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28680" yWindow="0" windowWidth="28725" windowHeight="12585" tabRatio="828"/>
  </bookViews>
  <sheets>
    <sheet name="ImportantDisclosures" sheetId="69" r:id="rId1"/>
    <sheet name="DCF" sheetId="17" r:id="rId2"/>
    <sheet name="IS" sheetId="4" r:id="rId3"/>
    <sheet name="REVS" sheetId="1" r:id="rId4"/>
    <sheet name="BS" sheetId="10" r:id="rId5"/>
    <sheet name="CF" sheetId="11" r:id="rId6"/>
    <sheet name="MW-Cache" sheetId="24" state="veryHidden" r:id="rId7"/>
    <sheet name="DEBT" sheetId="14" r:id="rId8"/>
    <sheet name="HIV Model" sheetId="12" r:id="rId9"/>
    <sheet name="US HCV" sheetId="18" r:id="rId10"/>
    <sheet name="EU HCV" sheetId="19" r:id="rId11"/>
    <sheet name="JPN HCV" sheetId="20" r:id="rId12"/>
    <sheet name="US ALL" sheetId="42" r:id="rId13"/>
    <sheet name="US DLBCL" sheetId="40" r:id="rId14"/>
    <sheet name="US FL" sheetId="41" r:id="rId15"/>
    <sheet name="US CLL" sheetId="44" r:id="rId16"/>
    <sheet name="US BCMA" sheetId="45" r:id="rId17"/>
    <sheet name="Crohns" sheetId="46" r:id="rId18"/>
    <sheet name="RA" sheetId="48" r:id="rId19"/>
    <sheet name="IndexInformation" sheetId="70" r:id="rId20"/>
    <sheet name="ModPubIndex" sheetId="71" r:id="rId21"/>
  </sheets>
  <externalReferences>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s>
  <definedNames>
    <definedName name="__a1" hidden="1">{"comp1",#N/A,FALSE,"COMPS";"footnotes",#N/A,FALSE,"COMPS"}</definedName>
    <definedName name="__aa1" hidden="1">{#N/A,#N/A,TRUE,"Pro Forma";#N/A,#N/A,TRUE,"PF_Bal";#N/A,#N/A,TRUE,"PF_INC";#N/A,#N/A,TRUE,"CBE";#N/A,#N/A,TRUE,"SWK"}</definedName>
    <definedName name="__ab1" hidden="1">{"comp1",#N/A,FALSE,"COMPS";"footnotes",#N/A,FALSE,"COMPS"}</definedName>
    <definedName name="__ae1" hidden="1">{#N/A,#N/A,FALSE,"Calc";#N/A,#N/A,FALSE,"Sensitivity";#N/A,#N/A,FALSE,"LT Earn.Dil.";#N/A,#N/A,FALSE,"Dil. AVP"}</definedName>
    <definedName name="__am1" hidden="1">{#N/A,#N/A,TRUE,"Pro Forma";#N/A,#N/A,TRUE,"PF_Bal";#N/A,#N/A,TRUE,"PF_INC";#N/A,#N/A,TRUE,"CBE";#N/A,#N/A,TRUE,"SWK"}</definedName>
    <definedName name="__as1" hidden="1">{"comp1",#N/A,FALSE,"COMPS";"footnotes",#N/A,FALSE,"COMPS"}</definedName>
    <definedName name="__f1" hidden="1">{"assumption cash",#N/A,TRUE,"Merger";"has gets cash",#N/A,TRUE,"Merger";"accretion dilution",#N/A,TRUE,"Merger";"comparison credit stats",#N/A,TRUE,"Merger";"pf credit stats",#N/A,TRUE,"Merger";"pf sheets",#N/A,TRUE,"Merger"}</definedName>
    <definedName name="__FDS_HYPERLINK_TOGGLE_STATE__" hidden="1">"ON"</definedName>
    <definedName name="__FDS_UNIQUE_RANGE_ID_GENERATOR_COUNTER" hidden="1">1</definedName>
    <definedName name="__ik1" hidden="1">{"casespecific",#N/A,FALSE,"Assumptions"}</definedName>
    <definedName name="_1__FDSAUDITLINK__" hidden="1">{"fdsup://directions/FAT Viewer?action=UPDATE&amp;creator=factset&amp;DYN_ARGS=TRUE&amp;DOC_NAME=FAT:FQL_AUDITING_CLIENT_TEMPLATE.FAT&amp;display_string=Audit&amp;VAR:KEY=FUDMZMZIRG&amp;VAR:QUERY=RkZfRUJJVERBX0lCKEFOTiwyMDA4KQ==&amp;WINDOW=FIRST_POPUP&amp;HEIGHT=450&amp;WIDTH=450&amp;START_MAXIMI","ZED=FALSE&amp;VAR:CALENDAR=FIVEDAY&amp;VAR:SYMBOL=PFE&amp;VAR:INDEX=0"}</definedName>
    <definedName name="_10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0__FDSAUDITLINK__" hidden="1">{"fdsup://directions/FAT Viewer?action=UPDATE&amp;creator=factset&amp;DYN_ARGS=TRUE&amp;DOC_NAME=FAT:FQL_AUDITING_CLIENT_TEMPLATE.FAT&amp;display_string=Audit&amp;VAR:KEY=PSDGZOPMZI&amp;VAR:QUERY=RkZfREVCVChRVFIsMCk=&amp;WINDOW=FIRST_POPUP&amp;HEIGHT=450&amp;WIDTH=450&amp;START_MAXIMIZED=FALSE&amp;VA","R:CALENDAR=FIVEDAY&amp;VAR:SYMBOL=ALXN&amp;VAR:INDEX=0"}</definedName>
    <definedName name="_101__FDSAUDITLINK__" hidden="1">{"fdsup://Directions/FactSet Auditing Viewer?action=AUDIT_VALUE&amp;DB=129&amp;ID1=03116210&amp;VALUEID=02001&amp;SDATE=201102&amp;PERIODTYPE=QTR_STD&amp;SCFT=3&amp;window=popup_no_bar&amp;width=385&amp;height=120&amp;START_MAXIMIZED=FALSE&amp;creator=factset&amp;display_string=Audit"}</definedName>
    <definedName name="_102__FDSAUDITLINK__" hidden="1">{"fdsup://directions/FAT Viewer?action=UPDATE&amp;creator=factset&amp;DYN_ARGS=TRUE&amp;DOC_NAME=FAT:FQL_AUDITING_CLIENT_TEMPLATE.FAT&amp;display_string=Audit&amp;VAR:KEY=VSXYLYBGBQ&amp;VAR:QUERY=RkZfREVCVChRVFIsMCk=&amp;WINDOW=FIRST_POPUP&amp;HEIGHT=450&amp;WIDTH=450&amp;START_MAXIMIZED=FALSE&amp;VA","R:CALENDAR=FIVEDAY&amp;VAR:SYMBOL=AMGN&amp;VAR:INDEX=0"}</definedName>
    <definedName name="_103__FDSAUDITLINK__" hidden="1">{"fdsup://Directions/FactSet Auditing Viewer?action=AUDIT_VALUE&amp;DB=129&amp;ID1=09062X10&amp;VALUEID=02001&amp;SDATE=201102&amp;PERIODTYPE=QTR_STD&amp;SCFT=3&amp;window=popup_no_bar&amp;width=385&amp;height=120&amp;START_MAXIMIZED=FALSE&amp;creator=factset&amp;display_string=Audit"}</definedName>
    <definedName name="_104__FDSAUDITLINK__" hidden="1">{"fdsup://directions/FAT Viewer?action=UPDATE&amp;creator=factset&amp;DYN_ARGS=TRUE&amp;DOC_NAME=FAT:FQL_AUDITING_CLIENT_TEMPLATE.FAT&amp;display_string=Audit&amp;VAR:KEY=VMDCDAZUDU&amp;VAR:QUERY=RkZfREVCVChRVFIsMCk=&amp;WINDOW=FIRST_POPUP&amp;HEIGHT=450&amp;WIDTH=450&amp;START_MAXIMIZED=FALSE&amp;VA","R:CALENDAR=FIVEDAY&amp;VAR:SYMBOL=BIIB&amp;VAR:INDEX=0"}</definedName>
    <definedName name="_105__FDSAUDITLINK__" hidden="1">{"fdsup://Directions/FactSet Auditing Viewer?action=AUDIT_VALUE&amp;DB=129&amp;ID1=15102010&amp;VALUEID=02001&amp;SDATE=201102&amp;PERIODTYPE=QTR_STD&amp;SCFT=3&amp;window=popup_no_bar&amp;width=385&amp;height=120&amp;START_MAXIMIZED=FALSE&amp;creator=factset&amp;display_string=Audit"}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PAZYDCHIJW&amp;VAR:QUERY=RkZfREVCVChRVFIsMCk=&amp;WINDOW=FIRST_POPUP&amp;HEIGHT=450&amp;WIDTH=450&amp;START_MAXIMIZED=FALSE&amp;VA","R:CALENDAR=FIVEDAY&amp;VAR:SYMBOL=CELG&amp;VAR:INDEX=0"}</definedName>
    <definedName name="_107__FDSAUDITLINK__" hidden="1">{"fdsup://Directions/FactSet Auditing Viewer?action=AUDIT_VALUE&amp;DB=129&amp;ID1=37555810&amp;VALUEID=02001&amp;SDATE=201102&amp;PERIODTYPE=QTR_STD&amp;SCFT=3&amp;window=popup_no_bar&amp;width=385&amp;height=120&amp;START_MAXIMIZED=FALSE&amp;creator=factset&amp;display_string=Audit"}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JEFCXSDILQ&amp;VAR:QUERY=RkZfREVCVChRVFIsMCk=&amp;WINDOW=FIRST_POPUP&amp;HEIGHT=450&amp;WIDTH=450&amp;START_MAXIMIZED=FALSE&amp;VA","R:CALENDAR=FIVEDAY&amp;VAR:SYMBOL=GILD&amp;VAR:INDEX=0"}</definedName>
    <definedName name="_109__FDSAUDITLINK__" hidden="1">{"fdsup://Directions/FactSet Auditing Viewer?action=AUDIT_VALUE&amp;DB=129&amp;ID1=01849010&amp;VALUEID=02001&amp;SDATE=201102&amp;PERIODTYPE=QTR_STD&amp;SCFT=3&amp;window=popup_no_bar&amp;width=385&amp;height=120&amp;START_MAXIMIZED=FALSE&amp;creator=factset&amp;display_string=Audit"}</definedName>
    <definedName name="_11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0__FDSAUDITLINK__" hidden="1">{"fdsup://directions/FAT Viewer?action=UPDATE&amp;creator=factset&amp;DYN_ARGS=TRUE&amp;DOC_NAME=FAT:FQL_AUDITING_CLIENT_TEMPLATE.FAT&amp;display_string=Audit&amp;VAR:KEY=VUZWFCLEDW&amp;VAR:QUERY=RkZfREVCVChRVFIsMCk=&amp;WINDOW=FIRST_POPUP&amp;HEIGHT=450&amp;WIDTH=450&amp;START_MAXIMIZED=FALSE&amp;VA","R:CALENDAR=FIVEDAY&amp;VAR:SYMBOL=AGN&amp;VAR:INDEX=0"}</definedName>
    <definedName name="_111__FDSAUDITLINK__" hidden="1">{"fdsup://Directions/FactSet Auditing Viewer?action=AUDIT_VALUE&amp;DB=129&amp;ID1=15670810&amp;VALUEID=02001&amp;SDATE=201102&amp;PERIODTYPE=QTR_STD&amp;SCFT=3&amp;window=popup_no_bar&amp;width=385&amp;height=120&amp;START_MAXIMIZED=FALSE&amp;creator=factset&amp;display_string=Audit"}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BCLCTSFIVE&amp;VAR:QUERY=RkZfREVCVChRVFIsMCk=&amp;WINDOW=FIRST_POPUP&amp;HEIGHT=450&amp;WIDTH=450&amp;START_MAXIMIZED=FALSE&amp;VA","R:CALENDAR=FIVEDAY&amp;VAR:SYMBOL=CEPH&amp;VAR:INDEX=0"}</definedName>
    <definedName name="_113__FDSAUDITLINK__" hidden="1">{"fdsup://Directions/FactSet Auditing Viewer?action=AUDIT_VALUE&amp;DB=129&amp;ID1=29264F20&amp;VALUEID=02001&amp;SDATE=201102&amp;PERIODTYPE=QTR_STD&amp;SCFT=3&amp;window=popup_no_bar&amp;width=385&amp;height=120&amp;START_MAXIMIZED=FALSE&amp;creator=factset&amp;display_string=Audit"}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VIDYPCHCVC&amp;VAR:QUERY=RkZfREVCVChRVFIsMCk=&amp;WINDOW=FIRST_POPUP&amp;HEIGHT=450&amp;WIDTH=450&amp;START_MAXIMIZED=FALSE&amp;VA","R:CALENDAR=FIVEDAY&amp;VAR:SYMBOL=ENDP&amp;VAR:INDEX=0"}</definedName>
    <definedName name="_115__FDSAUDITLINK__" hidden="1">{"fdsup://Directions/FactSet Auditing Viewer?action=AUDIT_VALUE&amp;DB=129&amp;ID1=34583810&amp;VALUEID=02001&amp;SDATE=201101&amp;PERIODTYPE=QTR_STD&amp;SCFT=3&amp;window=popup_no_bar&amp;width=385&amp;height=120&amp;START_MAXIMIZED=FALSE&amp;creator=factset&amp;display_string=Audit"}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VSVENCJCNO&amp;VAR:QUERY=RkZfREVCVChRVFIsMCk=&amp;WINDOW=FIRST_POPUP&amp;HEIGHT=450&amp;WIDTH=450&amp;START_MAXIMIZED=FALSE&amp;VA","R:CALENDAR=FIVEDAY&amp;VAR:SYMBOL=FRX&amp;VAR:INDEX=0"}</definedName>
    <definedName name="_117__FDSAUDITLINK__" hidden="1">{"fdsup://Directions/FactSet Auditing Viewer?action=AUDIT_VALUE&amp;DB=129&amp;ID1=47214710&amp;VALUEID=02001&amp;SDATE=201102&amp;PERIODTYPE=QTR_STD&amp;SCFT=3&amp;window=popup_no_bar&amp;width=385&amp;height=120&amp;START_MAXIMIZED=FALSE&amp;creator=factset&amp;display_string=Audit"}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FUTILMFCBM&amp;VAR:QUERY=RkZfREVCVChRVFIsMCk=&amp;WINDOW=FIRST_POPUP&amp;HEIGHT=450&amp;WIDTH=450&amp;START_MAXIMIZED=FALSE&amp;VA","R:CALENDAR=FIVEDAY&amp;VAR:SYMBOL=JAZZ&amp;VAR:INDEX=0"}</definedName>
    <definedName name="_119__FDSAUDITLINK__" hidden="1">{"fdsup://Directions/FactSet Auditing Viewer?action=AUDIT_VALUE&amp;DB=129&amp;ID1=58469030&amp;VALUEID=02001&amp;SDATE=201102&amp;PERIODTYPE=QTR_STD&amp;SCFT=3&amp;window=popup_no_bar&amp;width=385&amp;height=120&amp;START_MAXIMIZED=FALSE&amp;creator=factset&amp;display_string=Audit"}</definedName>
    <definedName name="_12__FDSAUDITLINK__"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0__FDSAUDITLINK__" hidden="1">{"fdsup://directions/FAT Viewer?action=UPDATE&amp;creator=factset&amp;DYN_ARGS=TRUE&amp;DOC_NAME=FAT:FQL_AUDITING_CLIENT_TEMPLATE.FAT&amp;display_string=Audit&amp;VAR:KEY=FGNOVMBIZI&amp;VAR:QUERY=RkZfREVCVChRVFIsMCk=&amp;WINDOW=FIRST_POPUP&amp;HEIGHT=450&amp;WIDTH=450&amp;START_MAXIMIZED=FALSE&amp;VA","R:CALENDAR=FIVEDAY&amp;VAR:SYMBOL=MRX&amp;VAR:INDEX=0"}</definedName>
    <definedName name="_121__FDSAUDITLINK__" hidden="1">{"fdsup://Directions/FactSet Auditing Viewer?action=AUDIT_VALUE&amp;DB=129&amp;ID1=79543510&amp;VALUEID=02001&amp;SDATE=201102&amp;PERIODTYPE=QTR_STD&amp;SCFT=3&amp;window=popup_no_bar&amp;width=385&amp;height=120&amp;START_MAXIMIZED=FALSE&amp;creator=factset&amp;display_string=Audit"}</definedName>
    <definedName name="_122__FDSAUDITLINK__" hidden="1">{"fdsup://directions/FAT Viewer?action=UPDATE&amp;creator=factset&amp;DYN_ARGS=TRUE&amp;DOC_NAME=FAT:FQL_AUDITING_CLIENT_TEMPLATE.FAT&amp;display_string=Audit&amp;VAR:KEY=ZUTEFOPYRO&amp;VAR:QUERY=RkZfREVCVChRVFIsMCk=&amp;WINDOW=FIRST_POPUP&amp;HEIGHT=450&amp;WIDTH=450&amp;START_MAXIMIZED=FALSE&amp;VA","R:CALENDAR=FIVEDAY&amp;VAR:SYMBOL=SLXP&amp;VAR:INDEX=0"}</definedName>
    <definedName name="_123__FDSAUDITLINK__" hidden="1">{"fdsup://directions/FAT Viewer?action=UPDATE&amp;creator=factset&amp;DYN_ARGS=TRUE&amp;DOC_NAME=FAT:FQL_AUDITING_CLIENT_TEMPLATE.FAT&amp;display_string=Audit&amp;VAR:KEY=PYDEHOFGDK&amp;VAR:QUERY=RkZfREVCVChRVFIsMCk=&amp;WINDOW=FIRST_POPUP&amp;HEIGHT=450&amp;WIDTH=450&amp;START_MAXIMIZED=FALSE&amp;VA","R:CALENDAR=FIVEDAY&amp;VAR:SYMBOL=VRX&amp;VAR:INDEX=0"}</definedName>
    <definedName name="_124__FDSAUDITLINK__" hidden="1">{"fdsup://Directions/FactSet Auditing Viewer?action=AUDIT_VALUE&amp;DB=129&amp;ID1=92824110&amp;VALUEID=02001&amp;SDATE=201102&amp;PERIODTYPE=QTR_STD&amp;SCFT=3&amp;window=popup_no_bar&amp;width=385&amp;height=120&amp;START_MAXIMIZED=FALSE&amp;creator=factset&amp;display_string=Audit"}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VYLUTCPEFG&amp;VAR:QUERY=RkZfREVCVChRVFIsMCk=&amp;WINDOW=FIRST_POPUP&amp;HEIGHT=450&amp;WIDTH=450&amp;START_MAXIMIZED=FALSE&amp;VA","R:CALENDAR=FIVEDAY&amp;VAR:SYMBOL=VPHM&amp;VAR:INDEX=0"}</definedName>
    <definedName name="_126__FDSAUDITLINK__" hidden="1">{"fdsup://Directions/FactSet Auditing Viewer?action=AUDIT_VALUE&amp;DB=129&amp;ID1=G9436810&amp;VALUEID=02001&amp;SDATE=201102&amp;PERIODTYPE=QTR_STD&amp;SCFT=3&amp;window=popup_no_bar&amp;width=385&amp;height=120&amp;START_MAXIMIZED=FALSE&amp;creator=factset&amp;display_string=Audit"}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VOFGXWTOLW&amp;VAR:QUERY=RkZfREVCVChRVFIsMCk=&amp;WINDOW=FIRST_POPUP&amp;HEIGHT=450&amp;WIDTH=450&amp;START_MAXIMIZED=FALSE&amp;VA","R:CALENDAR=FIVEDAY&amp;VAR:SYMBOL=WCRX&amp;VAR:INDEX=0"}</definedName>
    <definedName name="_128__FDSAUDITLINK__" hidden="1">{"fdsup://Directions/FactSet Auditing Viewer?action=AUDIT_VALUE&amp;DB=129&amp;ID1=42840B10&amp;VALUEID=02001&amp;SDATE=201004&amp;PERIODTYPE=QTR_STD&amp;SCFT=3&amp;window=popup_no_bar&amp;width=385&amp;height=120&amp;START_MAXIMIZED=FALSE&amp;creator=factset&amp;display_string=Audit"}</definedName>
    <definedName name="_129__FDSAUDITLINK__" hidden="1">{"fdsup://directions/FAT Viewer?action=UPDATE&amp;creator=factset&amp;DYN_ARGS=TRUE&amp;DOC_NAME=FAT:FQL_AUDITING_CLIENT_TEMPLATE.FAT&amp;display_string=Audit&amp;VAR:KEY=HQPMJKLSBE&amp;VAR:QUERY=RkZfREVCVChRVFIsMCk=&amp;WINDOW=FIRST_POPUP&amp;HEIGHT=450&amp;WIDTH=450&amp;START_MAXIMIZED=FALSE&amp;VA","R:CALENDAR=FIVEDAY&amp;VAR:SYMBOL=HITK&amp;VAR:INDEX=0"}</definedName>
    <definedName name="_13__FDSAUDITLINK__"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0__FDSAUDITLINK__" hidden="1">{"fdsup://Directions/FactSet Auditing Viewer?action=AUDIT_VALUE&amp;DB=129&amp;ID1=44106010&amp;VALUEID=02001&amp;SDATE=201102&amp;PERIODTYPE=QTR_STD&amp;SCFT=3&amp;window=popup_no_bar&amp;width=385&amp;height=120&amp;START_MAXIMIZED=FALSE&amp;creator=factset&amp;display_string=Audit"}</definedName>
    <definedName name="_131__FDSAUDITLINK__" hidden="1">{"fdsup://directions/FAT Viewer?action=UPDATE&amp;creator=factset&amp;DYN_ARGS=TRUE&amp;DOC_NAME=FAT:FQL_AUDITING_CLIENT_TEMPLATE.FAT&amp;display_string=Audit&amp;VAR:KEY=JOVQVKXOTE&amp;VAR:QUERY=RkZfREVCVChRVFIsMCk=&amp;WINDOW=FIRST_POPUP&amp;HEIGHT=450&amp;WIDTH=450&amp;START_MAXIMIZED=FALSE&amp;VA","R:CALENDAR=FIVEDAY&amp;VAR:SYMBOL=HSP&amp;VAR:INDEX=0"}</definedName>
    <definedName name="_132__FDSAUDITLINK__" hidden="1">{"fdsup://Directions/FactSet Auditing Viewer?action=AUDIT_VALUE&amp;DB=129&amp;ID1=45256B10&amp;VALUEID=02001&amp;SDATE=201102&amp;PERIODTYPE=QTR_STD&amp;SCFT=3&amp;window=popup_no_bar&amp;width=385&amp;height=120&amp;START_MAXIMIZED=FALSE&amp;creator=factset&amp;display_string=Audit"}</definedName>
    <definedName name="_133__FDSAUDITLINK__" hidden="1">{"fdsup://directions/FAT Viewer?action=UPDATE&amp;creator=factset&amp;DYN_ARGS=TRUE&amp;DOC_NAME=FAT:FQL_AUDITING_CLIENT_TEMPLATE.FAT&amp;display_string=Audit&amp;VAR:KEY=HUNQXUHUPG&amp;VAR:QUERY=RkZfREVCVChRVFIsMCk=&amp;WINDOW=FIRST_POPUP&amp;HEIGHT=450&amp;WIDTH=450&amp;START_MAXIMIZED=FALSE&amp;VA","R:CALENDAR=FIVEDAY&amp;VAR:SYMBOL=IPXL&amp;VAR:INDEX=0"}</definedName>
    <definedName name="_134__FDSAUDITLINK__" hidden="1">{"fdsup://Directions/FactSet Auditing Viewer?action=AUDIT_VALUE&amp;DB=129&amp;ID1=62853010&amp;VALUEID=02001&amp;SDATE=201102&amp;PERIODTYPE=QTR_STD&amp;SCFT=3&amp;window=popup_no_bar&amp;width=385&amp;height=120&amp;START_MAXIMIZED=FALSE&amp;creator=factset&amp;display_string=Audit"}</definedName>
    <definedName name="_135__FDSAUDITLINK__" hidden="1">{"fdsup://directions/FAT Viewer?action=UPDATE&amp;creator=factset&amp;DYN_ARGS=TRUE&amp;DOC_NAME=FAT:FQL_AUDITING_CLIENT_TEMPLATE.FAT&amp;display_string=Audit&amp;VAR:KEY=LGRYPMTCTO&amp;VAR:QUERY=RkZfREVCVChRVFIsMCk=&amp;WINDOW=FIRST_POPUP&amp;HEIGHT=450&amp;WIDTH=450&amp;START_MAXIMIZED=FALSE&amp;VA","R:CALENDAR=FIVEDAY&amp;VAR:SYMBOL=MYL&amp;VAR:INDEX=0"}</definedName>
    <definedName name="_136__FDSAUDITLINK__" hidden="1">{"fdsup://Directions/FactSet Auditing Viewer?action=AUDIT_VALUE&amp;DB=129&amp;ID1=71429010&amp;VALUEID=02001&amp;SDATE=201104&amp;PERIODTYPE=QTR_STD&amp;SCFT=3&amp;window=popup_no_bar&amp;width=385&amp;height=120&amp;START_MAXIMIZED=FALSE&amp;creator=factset&amp;display_string=Audit"}</definedName>
    <definedName name="_137__FDSAUDITLINK__" hidden="1">{"fdsup://directions/FAT Viewer?action=UPDATE&amp;creator=factset&amp;DYN_ARGS=TRUE&amp;DOC_NAME=FAT:FQL_AUDITING_CLIENT_TEMPLATE.FAT&amp;display_string=Audit&amp;VAR:KEY=LMPYFOLSXK&amp;VAR:QUERY=RkZfREVCVChRVFIsMCk=&amp;WINDOW=FIRST_POPUP&amp;HEIGHT=450&amp;WIDTH=450&amp;START_MAXIMIZED=FALSE&amp;VA","R:CALENDAR=FIVEDAY&amp;VAR:SYMBOL=PRGO&amp;VAR:INDEX=0"}</definedName>
    <definedName name="_138__FDSAUDITLINK__" hidden="1">{"fdsup://Directions/FactSet Auditing Viewer?action=AUDIT_VALUE&amp;DB=129&amp;ID1=69888P10&amp;VALUEID=02001&amp;SDATE=201102&amp;PERIODTYPE=QTR_STD&amp;SCFT=3&amp;window=popup_no_bar&amp;width=385&amp;height=120&amp;START_MAXIMIZED=FALSE&amp;creator=factset&amp;display_string=Audit"}</definedName>
    <definedName name="_139__FDSAUDITLINK__" hidden="1">{"fdsup://directions/FAT Viewer?action=UPDATE&amp;creator=factset&amp;DYN_ARGS=TRUE&amp;DOC_NAME=FAT:FQL_AUDITING_CLIENT_TEMPLATE.FAT&amp;display_string=Audit&amp;VAR:KEY=ZSVYTCNSBU&amp;VAR:QUERY=RkZfREVCVChRVFIsMCk=&amp;WINDOW=FIRST_POPUP&amp;HEIGHT=450&amp;WIDTH=450&amp;START_MAXIMIZED=FALSE&amp;VA","R:CALENDAR=FIVEDAY&amp;VAR:SYMBOL=PRX&amp;VAR:INDEX=0"}</definedName>
    <definedName name="_14__FDSAUDITLINK__"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0__FDSAUDITLINK__" hidden="1">{"fdsup://Directions/FactSet Auditing Viewer?action=AUDIT_VALUE&amp;DB=129&amp;ID1=78669210&amp;VALUEID=02001&amp;SDATE=201102&amp;PERIODTYPE=QTR_STD&amp;SCFT=3&amp;window=popup_no_bar&amp;width=385&amp;height=120&amp;START_MAXIMIZED=FALSE&amp;creator=factset&amp;display_string=Audit"}</definedName>
    <definedName name="_141__FDSAUDITLINK__" hidden="1">{"fdsup://directions/FAT Viewer?action=UPDATE&amp;creator=factset&amp;DYN_ARGS=TRUE&amp;DOC_NAME=FAT:FQL_AUDITING_CLIENT_TEMPLATE.FAT&amp;display_string=Audit&amp;VAR:KEY=FGXQXCPORU&amp;VAR:QUERY=RkZfREVCVChRVFIsMCk=&amp;WINDOW=FIRST_POPUP&amp;HEIGHT=450&amp;WIDTH=450&amp;START_MAXIMIZED=FALSE&amp;VA","R:CALENDAR=FIVEDAY&amp;VAR:SYMBOL=SGNT&amp;VAR:INDEX=0"}</definedName>
    <definedName name="_142__FDSAUDITLINK__" hidden="1">{"fdsup://directions/FAT Viewer?action=UPDATE&amp;creator=factset&amp;DYN_ARGS=TRUE&amp;DOC_NAME=FAT:FQL_AUDITING_CLIENT_TEMPLATE.FAT&amp;display_string=Audit&amp;VAR:KEY=POJIJMTWHO&amp;VAR:QUERY=RkZfREVCVChRVFIsMCk=&amp;WINDOW=FIRST_POPUP&amp;HEIGHT=450&amp;WIDTH=450&amp;START_MAXIMIZED=FALSE&amp;VA","R:CALENDAR=FIVEDAY&amp;VAR:SYMBOL=TEVA&amp;VAR:INDEX=0"}</definedName>
    <definedName name="_143__FDSAUDITLINK__" hidden="1">{"fdsup://Directions/FactSet Auditing Viewer?action=AUDIT_VALUE&amp;DB=129&amp;ID1=94268310&amp;VALUEID=02001&amp;SDATE=201102&amp;PERIODTYPE=QTR_STD&amp;SCFT=3&amp;window=popup_no_bar&amp;width=385&amp;height=120&amp;START_MAXIMIZED=FALSE&amp;creator=factset&amp;display_string=Audit"}</definedName>
    <definedName name="_144__FDSAUDITLINK__" hidden="1">{"fdsup://directions/FAT Viewer?action=UPDATE&amp;creator=factset&amp;DYN_ARGS=TRUE&amp;DOC_NAME=FAT:FQL_AUDITING_CLIENT_TEMPLATE.FAT&amp;display_string=Audit&amp;VAR:KEY=ZIBYFOFQBU&amp;VAR:QUERY=RkZfREVCVChRVFIsMCk=&amp;WINDOW=FIRST_POPUP&amp;HEIGHT=450&amp;WIDTH=450&amp;START_MAXIMIZED=FALSE&amp;VA","R:CALENDAR=FIVEDAY&amp;VAR:SYMBOL=WPI&amp;VAR:INDEX=0"}</definedName>
    <definedName name="_145__FDSAUDITLINK__" hidden="1">{"fdsup://directions/FAT Viewer?action=UPDATE&amp;creator=factset&amp;DYN_ARGS=TRUE&amp;DOC_NAME=FAT:FQL_AUDITING_CLIENT_TEMPLATE.FAT&amp;display_string=Audit&amp;VAR:KEY=ZYZQZMRURU&amp;VAR:QUERY=RkZfREVCVChRVFIsMCk=&amp;WINDOW=FIRST_POPUP&amp;HEIGHT=450&amp;WIDTH=450&amp;START_MAXIMIZED=FALSE&amp;VA","R:CALENDAR=FIVEDAY&amp;VAR:SYMBOL=SP50&amp;VAR:INDEX=0"}</definedName>
    <definedName name="_146__FDSAUDITLINK__" hidden="1">{"fdsup://directions/FAT Viewer?action=UPDATE&amp;creator=factset&amp;DYN_ARGS=TRUE&amp;DOC_NAME=FAT:FQL_AUDITING_CLIENT_TEMPLATE.FAT&amp;display_string=Audit&amp;VAR:KEY=ZWXQZQFWZW&amp;VAR:QUERY=RkZfREVCVChRVFIsMCk=&amp;WINDOW=FIRST_POPUP&amp;HEIGHT=450&amp;WIDTH=450&amp;START_MAXIMIZED=FALSE&amp;VA","R:CALENDAR=FIVEDAY&amp;VAR:SYMBOL=SP565&amp;VAR:INDEX=0"}</definedName>
    <definedName name="_147__FDSAUDITLINK__" hidden="1">{"fdsup://directions/FAT Viewer?action=UPDATE&amp;creator=factset&amp;DYN_ARGS=TRUE&amp;DOC_NAME=FAT:FQL_AUDITING_CLIENT_TEMPLATE.FAT&amp;display_string=Audit&amp;VAR:KEY=DSDATGHMDG&amp;VAR:QUERY=RkZfREVCVChRVFIsMCk=&amp;WINDOW=FIRST_POPUP&amp;HEIGHT=450&amp;WIDTH=450&amp;START_MAXIMIZED=FALSE&amp;VA","R:CALENDAR=FIVEDAY&amp;VAR:SYMBOL=DRG&amp;VAR:INDEX=0"}</definedName>
    <definedName name="_15__FDSAUDITLINK__"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7__FDSAUDITLINK__"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8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__FDSAUDITLINK__" hidden="1">{"fdsup://directions/FAT Viewer?action=UPDATE&amp;creator=factset&amp;DYN_ARGS=TRUE&amp;DOC_NAME=FAT:FQL_AUDITING_CLIENT_TEMPLATE.FAT&amp;display_string=Audit&amp;VAR:KEY=ZMPOLWNEPK&amp;VAR:QUERY=RkZfRUJJVERBX0lCKEFOTiwyMDA3KQ==&amp;WINDOW=FIRST_POPUP&amp;HEIGHT=450&amp;WIDTH=450&amp;START_MAXIMI","ZED=FALSE&amp;VAR:CALENDAR=FIVEDAY&amp;VAR:SYMBOL=PFE&amp;VAR:INDEX=0"}</definedName>
    <definedName name="_20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9__FDSAUDITLINK__" hidden="1">{"fdsup://directions/FAT Viewer?action=UPDATE&amp;creator=factset&amp;DYN_ARGS=TRUE&amp;DOC_NAME=FAT:FQL_AUDITING_CLIENT_TEMPLATE.FAT&amp;display_string=Audit&amp;VAR:KEY=PUPARQXUXG&amp;VAR:QUERY=RkZfUEFZX09VVF9SQVRJTyhBTk4sTk9XKQ==&amp;WINDOW=FIRST_POPUP&amp;HEIGHT=450&amp;WIDTH=450&amp;START_MA","XIMIZED=FALSE&amp;VAR:CALENDAR=FIVEDAY&amp;VAR:SYMBOL=AMGN&amp;VAR:INDEX=0"}</definedName>
    <definedName name="_3__FDSAUDITLINK__" hidden="1">{"fdsup://directions/FAT Viewer?action=UPDATE&amp;creator=factset&amp;DYN_ARGS=TRUE&amp;DOC_NAME=FAT:FQL_AUDITING_CLIENT_TEMPLATE.FAT&amp;display_string=Audit&amp;VAR:KEY=JELGTKDCPC&amp;VAR:QUERY=RkZfRUJJVERBX0lCKEFOTiwyMDA2KQ==&amp;WINDOW=FIRST_POPUP&amp;HEIGHT=450&amp;WIDTH=450&amp;START_MAXIMI","ZED=FALSE&amp;VAR:CALENDAR=FIVEDAY&amp;VAR:SYMBOL=PFE&amp;VAR:INDEX=0"}</definedName>
    <definedName name="_30__FDSAUDITLINK__" hidden="1">{"fdsup://directions/FAT Viewer?action=UPDATE&amp;creator=factset&amp;DYN_ARGS=TRUE&amp;DOC_NAME=FAT:FQL_AUDITING_CLIENT_TEMPLATE.FAT&amp;display_string=Audit&amp;VAR:KEY=NOBIVMNGPE&amp;VAR:QUERY=RkZfUEFZX09VVF9SQVRJTyhBTk4sTk9XKQ==&amp;WINDOW=FIRST_POPUP&amp;HEIGHT=450&amp;WIDTH=450&amp;START_MA","XIMIZED=FALSE&amp;VAR:CALENDAR=FIVEDAY&amp;VAR:SYMBOL=ALXN&amp;VAR:INDEX=0"}</definedName>
    <definedName name="_38__FDSAUDITLINK__" hidden="1">{"fdsup://directions/FAT Viewer?action=UPDATE&amp;creator=factset&amp;DYN_ARGS=TRUE&amp;DOC_NAME=FAT:FQL_AUDITING_CLIENT_TEMPLATE.FAT&amp;display_string=Audit&amp;VAR:KEY=NQHQDUZKFC&amp;VAR:QUERY=RkZfUEFZX09VVF9SQVRJTyhBTk4sTk9XKQ==&amp;WINDOW=FIRST_POPUP&amp;HEIGHT=450&amp;WIDTH=450&amp;START_MA","XIMIZED=FALSE&amp;VAR:CALENDAR=FIVEDAY&amp;VAR:SYMBOL=BAYRY&amp;VAR:INDEX=0"}</definedName>
    <definedName name="_39__FDSAUDITLINK__" hidden="1">{"fdsup://directions/FAT Viewer?action=UPDATE&amp;creator=factset&amp;DYN_ARGS=TRUE&amp;DOC_NAME=FAT:FQL_AUDITING_CLIENT_TEMPLATE.FAT&amp;display_string=Audit&amp;VAR:KEY=LOPGHWHAPU&amp;VAR:QUERY=RkZfUEFZX09VVF9SQVRJTyhBTk4sTk9XKQ==&amp;WINDOW=FIRST_POPUP&amp;HEIGHT=450&amp;WIDTH=450&amp;START_MA","XIMIZED=FALSE&amp;VAR:CALENDAR=FIVEDAY&amp;VAR:SYMBOL=AZN&amp;VAR:INDEX=0"}</definedName>
    <definedName name="_4__FDSAUDITLINK__"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40__FDSAUDITLINK__" hidden="1">{"fdsup://directions/FAT Viewer?action=UPDATE&amp;creator=factset&amp;DYN_ARGS=TRUE&amp;DOC_NAME=FAT:FQL_AUDITING_CLIENT_TEMPLATE.FAT&amp;display_string=Audit&amp;VAR:KEY=ZCLCRSDAPS&amp;VAR:QUERY=RkZfUEFZX09VVF9SQVRJTyhBTk4sTk9XKQ==&amp;WINDOW=FIRST_POPUP&amp;HEIGHT=450&amp;WIDTH=450&amp;START_MA","XIMIZED=FALSE&amp;VAR:CALENDAR=FIVEDAY&amp;VAR:SYMBOL=PFE&amp;VAR:INDEX=0"}</definedName>
    <definedName name="_41__FDSAUDITLINK__" hidden="1">{"fdsup://directions/FAT Viewer?action=UPDATE&amp;creator=factset&amp;DYN_ARGS=TRUE&amp;DOC_NAME=FAT:FQL_AUDITING_CLIENT_TEMPLATE.FAT&amp;display_string=Audit&amp;VAR:KEY=BYLCVWFIZG&amp;VAR:QUERY=RkZfUEFZX09VVF9SQVRJTyhBTk4sTk9XKQ==&amp;WINDOW=FIRST_POPUP&amp;HEIGHT=450&amp;WIDTH=450&amp;START_MA","XIMIZED=FALSE&amp;VAR:CALENDAR=FIVEDAY&amp;VAR:SYMBOL=MRK&amp;VAR:INDEX=0"}</definedName>
    <definedName name="_42__FDSAUDITLINK__" hidden="1">{"fdsup://directions/FAT Viewer?action=UPDATE&amp;creator=factset&amp;DYN_ARGS=TRUE&amp;DOC_NAME=FAT:FQL_AUDITING_CLIENT_TEMPLATE.FAT&amp;display_string=Audit&amp;VAR:KEY=ZIRGRQDQTW&amp;VAR:QUERY=RkZfUEFZX09VVF9SQVRJTyhBTk4sTk9XKQ==&amp;WINDOW=FIRST_POPUP&amp;HEIGHT=450&amp;WIDTH=450&amp;START_MA","XIMIZED=FALSE&amp;VAR:CALENDAR=FIVEDAY&amp;VAR:SYMBOL=LLY&amp;VAR:INDEX=0"}</definedName>
    <definedName name="_43__FDSAUDITLINK__" hidden="1">{"fdsup://directions/FAT Viewer?action=UPDATE&amp;creator=factset&amp;DYN_ARGS=TRUE&amp;DOC_NAME=FAT:FQL_AUDITING_CLIENT_TEMPLATE.FAT&amp;display_string=Audit&amp;VAR:KEY=NEPKPEBABG&amp;VAR:QUERY=RkZfUEFZX09VVF9SQVRJTyhBTk4sTk9XKQ==&amp;WINDOW=FIRST_POPUP&amp;HEIGHT=450&amp;WIDTH=450&amp;START_MA","XIMIZED=FALSE&amp;VAR:CALENDAR=FIVEDAY&amp;VAR:SYMBOL=JNJ&amp;VAR:INDEX=0"}</definedName>
    <definedName name="_44__FDSAUDITLINK__" hidden="1">{"fdsup://directions/FAT Viewer?action=UPDATE&amp;creator=factset&amp;DYN_ARGS=TRUE&amp;DOC_NAME=FAT:FQL_AUDITING_CLIENT_TEMPLATE.FAT&amp;display_string=Audit&amp;VAR:KEY=DCPCRGJOXS&amp;VAR:QUERY=RkZfUEFZX09VVF9SQVRJTyhBTk4sTk9XKQ==&amp;WINDOW=FIRST_POPUP&amp;HEIGHT=450&amp;WIDTH=450&amp;START_MA","XIMIZED=FALSE&amp;VAR:CALENDAR=FIVEDAY&amp;VAR:SYMBOL=BMY&amp;VAR:INDEX=0"}</definedName>
    <definedName name="_45__FDSAUDITLINK__" hidden="1">{"fdsup://directions/FAT Viewer?action=UPDATE&amp;creator=factset&amp;DYN_ARGS=TRUE&amp;DOC_NAME=FAT:FQL_AUDITING_CLIENT_TEMPLATE.FAT&amp;display_string=Audit&amp;VAR:KEY=ZYZAZOHSNG&amp;VAR:QUERY=RkZfUEFZX09VVF9SQVRJTyhBTk4sTk9XKQ==&amp;WINDOW=FIRST_POPUP&amp;HEIGHT=450&amp;WIDTH=450&amp;START_MA","XIMIZED=FALSE&amp;VAR:CALENDAR=FIVEDAY&amp;VAR:SYMBOL=ABT&amp;VAR:INDEX=0"}</definedName>
    <definedName name="_46__FDSAUDITLINK__" hidden="1">{"fdsup://directions/FAT Viewer?action=UPDATE&amp;creator=factset&amp;DYN_ARGS=TRUE&amp;DOC_NAME=FAT:FQL_AUDITING_CLIENT_TEMPLATE.FAT&amp;display_string=Audit&amp;VAR:KEY=BCPWDIXCDW&amp;VAR:QUERY=RkZfSU5WRVNUX0xUKFFUUiwwKQ==&amp;WINDOW=FIRST_POPUP&amp;HEIGHT=450&amp;WIDTH=450&amp;START_MAXIMIZED=","FALSE&amp;VAR:CALENDAR=FIVEDAY&amp;VAR:SYMBOL=DRG&amp;VAR:INDEX=0"}</definedName>
    <definedName name="_47__FDSAUDITLINK__" hidden="1">{"fdsup://directions/FAT Viewer?action=UPDATE&amp;creator=factset&amp;DYN_ARGS=TRUE&amp;DOC_NAME=FAT:FQL_AUDITING_CLIENT_TEMPLATE.FAT&amp;display_string=Audit&amp;VAR:KEY=TEDYJYHWRU&amp;VAR:QUERY=RkZfSU5WRVNUX0xUKFFUUiwwKQ==&amp;WINDOW=FIRST_POPUP&amp;HEIGHT=450&amp;WIDTH=450&amp;START_MAXIMIZED=","FALSE&amp;VAR:CALENDAR=FIVEDAY&amp;VAR:SYMBOL=SP565&amp;VAR:INDEX=0"}</definedName>
    <definedName name="_48__FDSAUDITLINK__" hidden="1">{"fdsup://directions/FAT Viewer?action=UPDATE&amp;creator=factset&amp;DYN_ARGS=TRUE&amp;DOC_NAME=FAT:FQL_AUDITING_CLIENT_TEMPLATE.FAT&amp;display_string=Audit&amp;VAR:KEY=DSLAREBAXY&amp;VAR:QUERY=RkZfSU5WRVNUX0xUKFFUUiwwKQ==&amp;WINDOW=FIRST_POPUP&amp;HEIGHT=450&amp;WIDTH=450&amp;START_MAXIMIZED=","FALSE&amp;VAR:CALENDAR=FIVEDAY&amp;VAR:SYMBOL=SP50&amp;VAR:INDEX=0"}</definedName>
    <definedName name="_49__FDSAUDITLINK__" hidden="1">{"fdsup://directions/FAT Viewer?action=UPDATE&amp;creator=factset&amp;DYN_ARGS=TRUE&amp;DOC_NAME=FAT:FQL_AUDITING_CLIENT_TEMPLATE.FAT&amp;display_string=Audit&amp;VAR:KEY=BCRAPSHKZU&amp;VAR:QUERY=RkZfSU5WRVNUX0xUKFFUUiwwKQ==&amp;WINDOW=FIRST_POPUP&amp;HEIGHT=450&amp;WIDTH=450&amp;START_MAXIMIZED=","FALSE&amp;VAR:CALENDAR=FIVEDAY&amp;VAR:SYMBOL=WPI&amp;VAR:INDEX=0"}</definedName>
    <definedName name="_5__FDSAUDITLINK__"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50__FDSAUDITLINK__" hidden="1">{"fdsup://directions/FAT Viewer?action=UPDATE&amp;creator=factset&amp;DYN_ARGS=TRUE&amp;DOC_NAME=FAT:FQL_AUDITING_CLIENT_TEMPLATE.FAT&amp;display_string=Audit&amp;VAR:KEY=DKBYXGNAJE&amp;VAR:QUERY=RkZfSU5WRVNUX0xUKFFUUiwwKQ==&amp;WINDOW=FIRST_POPUP&amp;HEIGHT=450&amp;WIDTH=450&amp;START_MAXIMIZED=","FALSE&amp;VAR:CALENDAR=FIVEDAY&amp;VAR:SYMBOL=TEVA&amp;VAR:INDEX=0"}</definedName>
    <definedName name="_51__FDSAUDITLINK__" hidden="1">{"fdsup://directions/FAT Viewer?action=UPDATE&amp;creator=factset&amp;DYN_ARGS=TRUE&amp;DOC_NAME=FAT:FQL_AUDITING_CLIENT_TEMPLATE.FAT&amp;display_string=Audit&amp;VAR:KEY=BSRGLGNQFU&amp;VAR:QUERY=RkZfSU5WRVNUX0xUKFFUUiwwKQ==&amp;WINDOW=FIRST_POPUP&amp;HEIGHT=450&amp;WIDTH=450&amp;START_MAXIMIZED=","FALSE&amp;VAR:CALENDAR=FIVEDAY&amp;VAR:SYMBOL=SGNT&amp;VAR:INDEX=0"}</definedName>
    <definedName name="_52__FDSAUDITLINK__" hidden="1">{"fdsup://directions/FAT Viewer?action=UPDATE&amp;creator=factset&amp;DYN_ARGS=TRUE&amp;DOC_NAME=FAT:FQL_AUDITING_CLIENT_TEMPLATE.FAT&amp;display_string=Audit&amp;VAR:KEY=JYNYLSNKZK&amp;VAR:QUERY=RkZfSU5WRVNUX0xUKFFUUiwwKQ==&amp;WINDOW=FIRST_POPUP&amp;HEIGHT=450&amp;WIDTH=450&amp;START_MAXIMIZED=","FALSE&amp;VAR:CALENDAR=FIVEDAY&amp;VAR:SYMBOL=PRX&amp;VAR:INDEX=0"}</definedName>
    <definedName name="_53__FDSAUDITLINK__" hidden="1">{"fdsup://directions/FAT Viewer?action=UPDATE&amp;creator=factset&amp;DYN_ARGS=TRUE&amp;DOC_NAME=FAT:FQL_AUDITING_CLIENT_TEMPLATE.FAT&amp;display_string=Audit&amp;VAR:KEY=VORGDSBSHE&amp;VAR:QUERY=RkZfSU5WRVNUX0xUKFFUUiwwKQ==&amp;WINDOW=FIRST_POPUP&amp;HEIGHT=450&amp;WIDTH=450&amp;START_MAXIMIZED=","FALSE&amp;VAR:CALENDAR=FIVEDAY&amp;VAR:SYMBOL=PRGO&amp;VAR:INDEX=0"}</definedName>
    <definedName name="_54__FDSAUDITLINK__" hidden="1">{"fdsup://directions/FAT Viewer?action=UPDATE&amp;creator=factset&amp;DYN_ARGS=TRUE&amp;DOC_NAME=FAT:FQL_AUDITING_CLIENT_TEMPLATE.FAT&amp;display_string=Audit&amp;VAR:KEY=NWLCFEHKDW&amp;VAR:QUERY=RkZfSU5WRVNUX0xUKFFUUiwwKQ==&amp;WINDOW=FIRST_POPUP&amp;HEIGHT=450&amp;WIDTH=450&amp;START_MAXIMIZED=","FALSE&amp;VAR:CALENDAR=FIVEDAY&amp;VAR:SYMBOL=MYL&amp;VAR:INDEX=0"}</definedName>
    <definedName name="_55__FDSAUDITLINK__" hidden="1">{"fdsup://directions/FAT Viewer?action=UPDATE&amp;creator=factset&amp;DYN_ARGS=TRUE&amp;DOC_NAME=FAT:FQL_AUDITING_CLIENT_TEMPLATE.FAT&amp;display_string=Audit&amp;VAR:KEY=VOTWJIPIRG&amp;VAR:QUERY=RkZfSU5WRVNUX0xUKFFUUiwwKQ==&amp;WINDOW=FIRST_POPUP&amp;HEIGHT=450&amp;WIDTH=450&amp;START_MAXIMIZED=","FALSE&amp;VAR:CALENDAR=FIVEDAY&amp;VAR:SYMBOL=IPXL&amp;VAR:INDEX=0"}</definedName>
    <definedName name="_56__FDSAUDITLINK__" hidden="1">{"fdsup://directions/FAT Viewer?action=UPDATE&amp;creator=factset&amp;DYN_ARGS=TRUE&amp;DOC_NAME=FAT:FQL_AUDITING_CLIENT_TEMPLATE.FAT&amp;display_string=Audit&amp;VAR:KEY=HYXOPWBMVW&amp;VAR:QUERY=RkZfSU5WRVNUX0xUKFFUUiwwKQ==&amp;WINDOW=FIRST_POPUP&amp;HEIGHT=450&amp;WIDTH=450&amp;START_MAXIMIZED=","FALSE&amp;VAR:CALENDAR=FIVEDAY&amp;VAR:SYMBOL=HSP&amp;VAR:INDEX=0"}</definedName>
    <definedName name="_57__FDSAUDITLINK__" hidden="1">{"fdsup://directions/FAT Viewer?action=UPDATE&amp;creator=factset&amp;DYN_ARGS=TRUE&amp;DOC_NAME=FAT:FQL_AUDITING_CLIENT_TEMPLATE.FAT&amp;display_string=Audit&amp;VAR:KEY=JGLIBUVSXS&amp;VAR:QUERY=RkZfSU5WRVNUX0xUKFFUUiwwKQ==&amp;WINDOW=FIRST_POPUP&amp;HEIGHT=450&amp;WIDTH=450&amp;START_MAXIMIZED=","FALSE&amp;VAR:CALENDAR=FIVEDAY&amp;VAR:SYMBOL=HITK&amp;VAR:INDEX=0"}</definedName>
    <definedName name="_58__FDSAUDITLINK__" hidden="1">{"fdsup://directions/FAT Viewer?action=UPDATE&amp;creator=factset&amp;DYN_ARGS=TRUE&amp;DOC_NAME=FAT:FQL_AUDITING_CLIENT_TEMPLATE.FAT&amp;display_string=Audit&amp;VAR:KEY=LIZAJWFUFG&amp;VAR:QUERY=RkZfSU5WRVNUX0xUKFFUUiwwKQ==&amp;WINDOW=FIRST_POPUP&amp;HEIGHT=450&amp;WIDTH=450&amp;START_MAXIMIZED=","FALSE&amp;VAR:CALENDAR=FIVEDAY&amp;VAR:SYMBOL=WCRX&amp;VAR:INDEX=0"}</definedName>
    <definedName name="_59__FDSAUDITLINK__" hidden="1">{"fdsup://directions/FAT Viewer?action=UPDATE&amp;creator=factset&amp;DYN_ARGS=TRUE&amp;DOC_NAME=FAT:FQL_AUDITING_CLIENT_TEMPLATE.FAT&amp;display_string=Audit&amp;VAR:KEY=ZAPCZANCVI&amp;VAR:QUERY=RkZfSU5WRVNUX0xUKFFUUiwwKQ==&amp;WINDOW=FIRST_POPUP&amp;HEIGHT=450&amp;WIDTH=450&amp;START_MAXIMIZED=","FALSE&amp;VAR:CALENDAR=FIVEDAY&amp;VAR:SYMBOL=VPHM&amp;VAR:INDEX=0"}</definedName>
    <definedName name="_6__FDSAUDITLINK__"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60__FDSAUDITLINK__" hidden="1">{"fdsup://directions/FAT Viewer?action=UPDATE&amp;creator=factset&amp;DYN_ARGS=TRUE&amp;DOC_NAME=FAT:FQL_AUDITING_CLIENT_TEMPLATE.FAT&amp;display_string=Audit&amp;VAR:KEY=DMPWPUVYLW&amp;VAR:QUERY=RkZfSU5WRVNUX0xUKFFUUiwwKQ==&amp;WINDOW=FIRST_POPUP&amp;HEIGHT=450&amp;WIDTH=450&amp;START_MAXIMIZED=","FALSE&amp;VAR:CALENDAR=FIVEDAY&amp;VAR:SYMBOL=VRX&amp;VAR:INDEX=0"}</definedName>
    <definedName name="_61__FDSAUDITLINK__" hidden="1">{"fdsup://directions/FAT Viewer?action=UPDATE&amp;creator=factset&amp;DYN_ARGS=TRUE&amp;DOC_NAME=FAT:FQL_AUDITING_CLIENT_TEMPLATE.FAT&amp;display_string=Audit&amp;VAR:KEY=ZWLERMTOXY&amp;VAR:QUERY=RkZfSU5WRVNUX0xUKFFUUiwwKQ==&amp;WINDOW=FIRST_POPUP&amp;HEIGHT=450&amp;WIDTH=450&amp;START_MAXIMIZED=","FALSE&amp;VAR:CALENDAR=FIVEDAY&amp;VAR:SYMBOL=SLXP&amp;VAR:INDEX=0"}</definedName>
    <definedName name="_62__FDSAUDITLINK__" hidden="1">{"fdsup://directions/FAT Viewer?action=UPDATE&amp;creator=factset&amp;DYN_ARGS=TRUE&amp;DOC_NAME=FAT:FQL_AUDITING_CLIENT_TEMPLATE.FAT&amp;display_string=Audit&amp;VAR:KEY=TEVCJYNIRA&amp;VAR:QUERY=RkZfSU5WRVNUX0xUKFFUUiwwKQ==&amp;WINDOW=FIRST_POPUP&amp;HEIGHT=450&amp;WIDTH=450&amp;START_MAXIMIZED=","FALSE&amp;VAR:CALENDAR=FIVEDAY&amp;VAR:SYMBOL=MRX&amp;VAR:INDEX=0"}</definedName>
    <definedName name="_63__FDSAUDITLINK__" hidden="1">{"fdsup://directions/FAT Viewer?action=UPDATE&amp;creator=factset&amp;DYN_ARGS=TRUE&amp;DOC_NAME=FAT:FQL_AUDITING_CLIENT_TEMPLATE.FAT&amp;display_string=Audit&amp;VAR:KEY=PQXQHMJAJK&amp;VAR:QUERY=RkZfSU5WRVNUX0xUKFFUUiwwKQ==&amp;WINDOW=FIRST_POPUP&amp;HEIGHT=450&amp;WIDTH=450&amp;START_MAXIMIZED=","FALSE&amp;VAR:CALENDAR=FIVEDAY&amp;VAR:SYMBOL=JAZZ&amp;VAR:INDEX=0"}</definedName>
    <definedName name="_64__FDSAUDITLINK__" hidden="1">{"fdsup://directions/FAT Viewer?action=UPDATE&amp;creator=factset&amp;DYN_ARGS=TRUE&amp;DOC_NAME=FAT:FQL_AUDITING_CLIENT_TEMPLATE.FAT&amp;display_string=Audit&amp;VAR:KEY=HORKLYBSXK&amp;VAR:QUERY=RkZfSU5WRVNUX0xUKFFUUiwwKQ==&amp;WINDOW=FIRST_POPUP&amp;HEIGHT=450&amp;WIDTH=450&amp;START_MAXIMIZED=","FALSE&amp;VAR:CALENDAR=FIVEDAY&amp;VAR:SYMBOL=FRX&amp;VAR:INDEX=0"}</definedName>
    <definedName name="_65__FDSAUDITLINK__" hidden="1">{"fdsup://directions/FAT Viewer?action=UPDATE&amp;creator=factset&amp;DYN_ARGS=TRUE&amp;DOC_NAME=FAT:FQL_AUDITING_CLIENT_TEMPLATE.FAT&amp;display_string=Audit&amp;VAR:KEY=DITIHIDQBQ&amp;VAR:QUERY=RkZfSU5WRVNUX0xUKFFUUiwwKQ==&amp;WINDOW=FIRST_POPUP&amp;HEIGHT=450&amp;WIDTH=450&amp;START_MAXIMIZED=","FALSE&amp;VAR:CALENDAR=FIVEDAY&amp;VAR:SYMBOL=ENDP&amp;VAR:INDEX=0"}</definedName>
    <definedName name="_66__FDSAUDITLINK__" hidden="1">{"fdsup://directions/FAT Viewer?action=UPDATE&amp;creator=factset&amp;DYN_ARGS=TRUE&amp;DOC_NAME=FAT:FQL_AUDITING_CLIENT_TEMPLATE.FAT&amp;display_string=Audit&amp;VAR:KEY=RKVMRORARM&amp;VAR:QUERY=RkZfSU5WRVNUX0xUKFFUUiwwKQ==&amp;WINDOW=FIRST_POPUP&amp;HEIGHT=450&amp;WIDTH=450&amp;START_MAXIMIZED=","FALSE&amp;VAR:CALENDAR=FIVEDAY&amp;VAR:SYMBOL=CEPH&amp;VAR:INDEX=0"}</definedName>
    <definedName name="_67__FDSAUDITLINK__" hidden="1">{"fdsup://directions/FAT Viewer?action=UPDATE&amp;creator=factset&amp;DYN_ARGS=TRUE&amp;DOC_NAME=FAT:FQL_AUDITING_CLIENT_TEMPLATE.FAT&amp;display_string=Audit&amp;VAR:KEY=XILINMFINW&amp;VAR:QUERY=RkZfSU5WRVNUX0xUKFFUUiwwKQ==&amp;WINDOW=FIRST_POPUP&amp;HEIGHT=450&amp;WIDTH=450&amp;START_MAXIMIZED=","FALSE&amp;VAR:CALENDAR=FIVEDAY&amp;VAR:SYMBOL=AGN&amp;VAR:INDEX=0"}</definedName>
    <definedName name="_68__FDSAUDITLINK__" hidden="1">{"fdsup://directions/FAT Viewer?action=UPDATE&amp;creator=factset&amp;DYN_ARGS=TRUE&amp;DOC_NAME=FAT:FQL_AUDITING_CLIENT_TEMPLATE.FAT&amp;display_string=Audit&amp;VAR:KEY=NAHOLSNWDY&amp;VAR:QUERY=RkZfSU5WRVNUX0xUKFFUUiwwKQ==&amp;WINDOW=FIRST_POPUP&amp;HEIGHT=450&amp;WIDTH=450&amp;START_MAXIMIZED=","FALSE&amp;VAR:CALENDAR=FIVEDAY&amp;VAR:SYMBOL=GILD&amp;VAR:INDEX=0"}</definedName>
    <definedName name="_69__FDSAUDITLINK__" hidden="1">{"fdsup://directions/FAT Viewer?action=UPDATE&amp;creator=factset&amp;DYN_ARGS=TRUE&amp;DOC_NAME=FAT:FQL_AUDITING_CLIENT_TEMPLATE.FAT&amp;display_string=Audit&amp;VAR:KEY=XYVWDOTINK&amp;VAR:QUERY=RkZfSU5WRVNUX0xUKFFUUiwwKQ==&amp;WINDOW=FIRST_POPUP&amp;HEIGHT=450&amp;WIDTH=450&amp;START_MAXIMIZED=","FALSE&amp;VAR:CALENDAR=FIVEDAY&amp;VAR:SYMBOL=CELG&amp;VAR:INDEX=0"}</definedName>
    <definedName name="_7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0__FDSAUDITLINK__" hidden="1">{"fdsup://directions/FAT Viewer?action=UPDATE&amp;creator=factset&amp;DYN_ARGS=TRUE&amp;DOC_NAME=FAT:FQL_AUDITING_CLIENT_TEMPLATE.FAT&amp;display_string=Audit&amp;VAR:KEY=VGXUNQXELC&amp;VAR:QUERY=RkZfSU5WRVNUX0xUKFFUUiwwKQ==&amp;WINDOW=FIRST_POPUP&amp;HEIGHT=450&amp;WIDTH=450&amp;START_MAXIMIZED=","FALSE&amp;VAR:CALENDAR=FIVEDAY&amp;VAR:SYMBOL=BIIB&amp;VAR:INDEX=0"}</definedName>
    <definedName name="_71__FDSAUDITLINK__" hidden="1">{"fdsup://directions/FAT Viewer?action=UPDATE&amp;creator=factset&amp;DYN_ARGS=TRUE&amp;DOC_NAME=FAT:FQL_AUDITING_CLIENT_TEMPLATE.FAT&amp;display_string=Audit&amp;VAR:KEY=ZWDUTWDEPG&amp;VAR:QUERY=RkZfSU5WRVNUX0xUKFFUUiwwKQ==&amp;WINDOW=FIRST_POPUP&amp;HEIGHT=450&amp;WIDTH=450&amp;START_MAXIMIZED=","FALSE&amp;VAR:CALENDAR=FIVEDAY&amp;VAR:SYMBOL=AMGN&amp;VAR:INDEX=0"}</definedName>
    <definedName name="_72__FDSAUDITLINK__" hidden="1">{"fdsup://directions/FAT Viewer?action=UPDATE&amp;creator=factset&amp;DYN_ARGS=TRUE&amp;DOC_NAME=FAT:FQL_AUDITING_CLIENT_TEMPLATE.FAT&amp;display_string=Audit&amp;VAR:KEY=LOPUXAFKXA&amp;VAR:QUERY=RkZfSU5WRVNUX0xUKFFUUiwwKQ==&amp;WINDOW=FIRST_POPUP&amp;HEIGHT=450&amp;WIDTH=450&amp;START_MAXIMIZED=","FALSE&amp;VAR:CALENDAR=FIVEDAY&amp;VAR:SYMBOL=ALXN&amp;VAR:INDEX=0"}</definedName>
    <definedName name="_73__FDSAUDITLINK__" hidden="1">{"fdsup://directions/FAT Viewer?action=UPDATE&amp;creator=factset&amp;DYN_ARGS=TRUE&amp;DOC_NAME=FAT:FQL_AUDITING_CLIENT_TEMPLATE.FAT&amp;display_string=Audit&amp;VAR:KEY=ZSHOZIHUTA&amp;VAR:QUERY=RkZfSU5WRVNUX0xUKFFUUiwwKQ==&amp;WINDOW=FIRST_POPUP&amp;HEIGHT=450&amp;WIDTH=450&amp;START_MAXIMIZED=","FALSE&amp;VAR:CALENDAR=FIVEDAY&amp;VAR:SYMBOL=435209&amp;VAR:INDEX=0"}</definedName>
    <definedName name="_74__FDSAUDITLINK__" hidden="1">{"fdsup://directions/FAT Viewer?action=UPDATE&amp;creator=factset&amp;DYN_ARGS=TRUE&amp;DOC_NAME=FAT:FQL_AUDITING_CLIENT_TEMPLATE.FAT&amp;display_string=Audit&amp;VAR:KEY=VQFEJCHUXU&amp;VAR:QUERY=RkZfREVCVChRVFIsMCk=&amp;WINDOW=FIRST_POPUP&amp;HEIGHT=450&amp;WIDTH=450&amp;START_MAXIMIZED=FALSE&amp;VA","R:CALENDAR=FIVEDAY&amp;VAR:SYMBOL=435209&amp;VAR:INDEX=0"}</definedName>
    <definedName name="_75__FDSAUDITLINK__" hidden="1">{"fdsup://directions/FAT Viewer?action=UPDATE&amp;creator=factset&amp;DYN_ARGS=TRUE&amp;DOC_NAME=FAT:FQL_AUDITING_CLIENT_TEMPLATE.FAT&amp;display_string=Audit&amp;VAR:KEY=LCJMPUTERA&amp;VAR:QUERY=RkZfSU5WRVNUX0xUKFFUUiwwKQ==&amp;WINDOW=FIRST_POPUP&amp;HEIGHT=450&amp;WIDTH=450&amp;START_MAXIMIZED=","FALSE&amp;VAR:CALENDAR=FIVEDAY&amp;VAR:SYMBOL=PFE&amp;VAR:INDEX=0"}</definedName>
    <definedName name="_76__FDSAUDITLINK__" hidden="1">{"fdsup://directions/FAT Viewer?action=UPDATE&amp;creator=factset&amp;DYN_ARGS=TRUE&amp;DOC_NAME=FAT:FQL_AUDITING_CLIENT_TEMPLATE.FAT&amp;display_string=Audit&amp;VAR:KEY=HYLCZGJGBW&amp;VAR:QUERY=RkZfSU5WRVNUX0xUKFFUUiwwKQ==&amp;WINDOW=FIRST_POPUP&amp;HEIGHT=450&amp;WIDTH=450&amp;START_MAXIMIZED=","FALSE&amp;VAR:CALENDAR=FIVEDAY&amp;VAR:SYMBOL=MRK&amp;VAR:INDEX=0"}</definedName>
    <definedName name="_77__FDSAUDITLINK__" hidden="1">{"fdsup://directions/FAT Viewer?action=UPDATE&amp;creator=factset&amp;DYN_ARGS=TRUE&amp;DOC_NAME=FAT:FQL_AUDITING_CLIENT_TEMPLATE.FAT&amp;display_string=Audit&amp;VAR:KEY=DERQHCPOHU&amp;VAR:QUERY=RkZfSU5WRVNUX0xUKFFUUiwwKQ==&amp;WINDOW=FIRST_POPUP&amp;HEIGHT=450&amp;WIDTH=450&amp;START_MAXIMIZED=","FALSE&amp;VAR:CALENDAR=FIVEDAY&amp;VAR:SYMBOL=LLY&amp;VAR:INDEX=0"}</definedName>
    <definedName name="_78__FDSAUDITLINK__" hidden="1">{"fdsup://directions/FAT Viewer?action=UPDATE&amp;creator=factset&amp;DYN_ARGS=TRUE&amp;DOC_NAME=FAT:FQL_AUDITING_CLIENT_TEMPLATE.FAT&amp;display_string=Audit&amp;VAR:KEY=FGNKPMPQZY&amp;VAR:QUERY=RkZfSU5WRVNUX0xUKFFUUiwwKQ==&amp;WINDOW=FIRST_POPUP&amp;HEIGHT=450&amp;WIDTH=450&amp;START_MAXIMIZED=","FALSE&amp;VAR:CALENDAR=FIVEDAY&amp;VAR:SYMBOL=JNJ&amp;VAR:INDEX=0"}</definedName>
    <definedName name="_79__FDSAUDITLINK__" hidden="1">{"fdsup://directions/FAT Viewer?action=UPDATE&amp;creator=factset&amp;DYN_ARGS=TRUE&amp;DOC_NAME=FAT:FQL_AUDITING_CLIENT_TEMPLATE.FAT&amp;display_string=Audit&amp;VAR:KEY=LYXSRCBOHA&amp;VAR:QUERY=RkZfSU5WRVNUX0xUKFFUUiwwKQ==&amp;WINDOW=FIRST_POPUP&amp;HEIGHT=450&amp;WIDTH=450&amp;START_MAXIMIZED=","FALSE&amp;VAR:CALENDAR=FIVEDAY&amp;VAR:SYMBOL=BMY&amp;VAR:INDEX=0"}</definedName>
    <definedName name="_8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0__FDSAUDITLINK__" hidden="1">{"fdsup://directions/FAT Viewer?action=UPDATE&amp;creator=factset&amp;DYN_ARGS=TRUE&amp;DOC_NAME=FAT:FQL_AUDITING_CLIENT_TEMPLATE.FAT&amp;display_string=Audit&amp;VAR:KEY=ZOVAZMHKPC&amp;VAR:QUERY=RkZfSU5WRVNUX0xUKFFUUiwwKQ==&amp;WINDOW=FIRST_POPUP&amp;HEIGHT=450&amp;WIDTH=450&amp;START_MAXIMIZED=","FALSE&amp;VAR:CALENDAR=FIVEDAY&amp;VAR:SYMBOL=ABT&amp;VAR:INDEX=0"}</definedName>
    <definedName name="_81__FDSAUDITLINK__" hidden="1">{"fdsup://directions/FAT Viewer?action=UPDATE&amp;creator=factset&amp;DYN_ARGS=TRUE&amp;DOC_NAME=FAT:FQL_AUDITING_CLIENT_TEMPLATE.FAT&amp;display_string=Audit&amp;VAR:KEY=JSLSBKVYHS&amp;VAR:QUERY=RkZfSU5WRVNUX0xUKFFUUiwwKQ==&amp;WINDOW=FIRST_POPUP&amp;HEIGHT=450&amp;WIDTH=450&amp;START_MAXIMIZED=","FALSE&amp;VAR:CALENDAR=FIVEDAY&amp;VAR:SYMBOL=AZN&amp;VAR:INDEX=0"}</definedName>
    <definedName name="_82__FDSAUDITLINK__" hidden="1">{"fdsup://directions/FAT Viewer?action=UPDATE&amp;creator=factset&amp;DYN_ARGS=TRUE&amp;DOC_NAME=FAT:FQL_AUDITING_CLIENT_TEMPLATE.FAT&amp;display_string=Audit&amp;VAR:KEY=HAHKXMLERQ&amp;VAR:QUERY=RkZfSU5WRVNUX0xUKFFUUiwwKQ==&amp;WINDOW=FIRST_POPUP&amp;HEIGHT=450&amp;WIDTH=450&amp;START_MAXIMIZED=","FALSE&amp;VAR:CALENDAR=FIVEDAY&amp;VAR:SYMBOL=NVS&amp;VAR:INDEX=0"}</definedName>
    <definedName name="_83__FDSAUDITLINK__" hidden="1">{"fdsup://directions/FAT Viewer?action=UPDATE&amp;creator=factset&amp;DYN_ARGS=TRUE&amp;DOC_NAME=FAT:FQL_AUDITING_CLIENT_TEMPLATE.FAT&amp;display_string=Audit&amp;VAR:KEY=ZGBABKVOBO&amp;VAR:QUERY=RkZfSU5WRVNUX0xUKFFUUiwwKQ==&amp;WINDOW=FIRST_POPUP&amp;HEIGHT=450&amp;WIDTH=450&amp;START_MAXIMIZED=","FALSE&amp;VAR:CALENDAR=FIVEDAY&amp;VAR:SYMBOL=SHPGY&amp;VAR:INDEX=0"}</definedName>
    <definedName name="_84__FDSAUDITLINK__" hidden="1">{"fdsup://Directions/FactSet Auditing Viewer?action=AUDIT_VALUE&amp;DB=129&amp;ID1=00282410&amp;VALUEID=02001&amp;SDATE=201102&amp;PERIODTYPE=QTR_STD&amp;SCFT=3&amp;window=popup_no_bar&amp;width=385&amp;height=120&amp;START_MAXIMIZED=FALSE&amp;creator=factset&amp;display_string=Audit"}</definedName>
    <definedName name="_85__FDSAUDITLINK__" hidden="1">{"fdsup://directions/FAT Viewer?action=UPDATE&amp;creator=factset&amp;DYN_ARGS=TRUE&amp;DOC_NAME=FAT:FQL_AUDITING_CLIENT_TEMPLATE.FAT&amp;display_string=Audit&amp;VAR:KEY=FQVITULUDU&amp;VAR:QUERY=RkZfREVCVChRVFIsMCk=&amp;WINDOW=FIRST_POPUP&amp;HEIGHT=450&amp;WIDTH=450&amp;START_MAXIMIZED=FALSE&amp;VA","R:CALENDAR=FIVEDAY&amp;VAR:SYMBOL=ABT&amp;VAR:INDEX=0"}</definedName>
    <definedName name="_86__FDSAUDITLINK__" hidden="1">{"fdsup://Directions/FactSet Auditing Viewer?action=AUDIT_VALUE&amp;DB=129&amp;ID1=11012210&amp;VALUEID=02001&amp;SDATE=201102&amp;PERIODTYPE=QTR_STD&amp;SCFT=3&amp;window=popup_no_bar&amp;width=385&amp;height=120&amp;START_MAXIMIZED=FALSE&amp;creator=factset&amp;display_string=Audit"}</definedName>
    <definedName name="_87__FDSAUDITLINK__" hidden="1">{"fdsup://directions/FAT Viewer?action=UPDATE&amp;creator=factset&amp;DYN_ARGS=TRUE&amp;DOC_NAME=FAT:FQL_AUDITING_CLIENT_TEMPLATE.FAT&amp;display_string=Audit&amp;VAR:KEY=DKTMXEVMHY&amp;VAR:QUERY=RkZfREVCVChRVFIsMCk=&amp;WINDOW=FIRST_POPUP&amp;HEIGHT=450&amp;WIDTH=450&amp;START_MAXIMIZED=FALSE&amp;VA","R:CALENDAR=FIVEDAY&amp;VAR:SYMBOL=BMY&amp;VAR:INDEX=0"}</definedName>
    <definedName name="_88__FDSAUDITLINK__" hidden="1">{"fdsup://Directions/FactSet Auditing Viewer?action=AUDIT_VALUE&amp;DB=129&amp;ID1=47816010&amp;VALUEID=02001&amp;SDATE=201102&amp;PERIODTYPE=QTR_STD&amp;SCFT=3&amp;window=popup_no_bar&amp;width=385&amp;height=120&amp;START_MAXIMIZED=FALSE&amp;creator=factset&amp;display_string=Audit"}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TCZQTEZSZW&amp;VAR:QUERY=RkZfREVCVChRVFIsMCk=&amp;WINDOW=FIRST_POPUP&amp;HEIGHT=450&amp;WIDTH=450&amp;START_MAXIMIZED=FALSE&amp;VA","R:CALENDAR=FIVEDAY&amp;VAR:SYMBOL=JNJ&amp;VAR:INDEX=0"}</definedName>
    <definedName name="_9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0__FDSAUDITLINK__" hidden="1">{"fdsup://Directions/FactSet Auditing Viewer?action=AUDIT_VALUE&amp;DB=129&amp;ID1=53245710&amp;VALUEID=02001&amp;SDATE=201102&amp;PERIODTYPE=QTR_STD&amp;SCFT=3&amp;window=popup_no_bar&amp;width=385&amp;height=120&amp;START_MAXIMIZED=FALSE&amp;creator=factset&amp;display_string=Audit"}</definedName>
    <definedName name="_91__FDSAUDITLINK__" hidden="1">{"fdsup://directions/FAT Viewer?action=UPDATE&amp;creator=factset&amp;DYN_ARGS=TRUE&amp;DOC_NAME=FAT:FQL_AUDITING_CLIENT_TEMPLATE.FAT&amp;display_string=Audit&amp;VAR:KEY=XEBYRMFCTI&amp;VAR:QUERY=RkZfREVCVChRVFIsMCk=&amp;WINDOW=FIRST_POPUP&amp;HEIGHT=450&amp;WIDTH=450&amp;START_MAXIMIZED=FALSE&amp;VA","R:CALENDAR=FIVEDAY&amp;VAR:SYMBOL=LLY&amp;VAR:INDEX=0"}</definedName>
    <definedName name="_92__FDSAUDITLINK__" hidden="1">{"fdsup://Directions/FactSet Auditing Viewer?action=AUDIT_VALUE&amp;DB=129&amp;ID1=58933Y10&amp;VALUEID=02001&amp;SDATE=201102&amp;PERIODTYPE=QTR_STD&amp;SCFT=3&amp;window=popup_no_bar&amp;width=385&amp;height=120&amp;START_MAXIMIZED=FALSE&amp;creator=factset&amp;display_string=Audit"}</definedName>
    <definedName name="_93__FDSAUDITLINK__" hidden="1">{"fdsup://directions/FAT Viewer?action=UPDATE&amp;creator=factset&amp;DYN_ARGS=TRUE&amp;DOC_NAME=FAT:FQL_AUDITING_CLIENT_TEMPLATE.FAT&amp;display_string=Audit&amp;VAR:KEY=VSHAXOFKJC&amp;VAR:QUERY=RkZfREVCVChRVFIsMCk=&amp;WINDOW=FIRST_POPUP&amp;HEIGHT=450&amp;WIDTH=450&amp;START_MAXIMIZED=FALSE&amp;VA","R:CALENDAR=FIVEDAY&amp;VAR:SYMBOL=MRK&amp;VAR:INDEX=0"}</definedName>
    <definedName name="_94__FDSAUDITLINK__" hidden="1">{"fdsup://Directions/FactSet Auditing Viewer?action=AUDIT_VALUE&amp;DB=129&amp;ID1=71708110&amp;VALUEID=02001&amp;SDATE=201102&amp;PERIODTYPE=QTR_STD&amp;SCFT=3&amp;window=popup_no_bar&amp;width=385&amp;height=120&amp;START_MAXIMIZED=FALSE&amp;creator=factset&amp;display_string=Audit"}</definedName>
    <definedName name="_95__FDSAUDITLINK__" hidden="1">{"fdsup://directions/FAT Viewer?action=UPDATE&amp;creator=factset&amp;DYN_ARGS=TRUE&amp;DOC_NAME=FAT:FQL_AUDITING_CLIENT_TEMPLATE.FAT&amp;display_string=Audit&amp;VAR:KEY=DKFMPYNSHQ&amp;VAR:QUERY=RkZfREVCVChRVFIsMCk=&amp;WINDOW=FIRST_POPUP&amp;HEIGHT=450&amp;WIDTH=450&amp;START_MAXIMIZED=FALSE&amp;VA","R:CALENDAR=FIVEDAY&amp;VAR:SYMBOL=PFE&amp;VAR:INDEX=0"}</definedName>
    <definedName name="_96__FDSAUDITLINK__" hidden="1">{"fdsup://directions/FAT Viewer?action=UPDATE&amp;creator=factset&amp;DYN_ARGS=TRUE&amp;DOC_NAME=FAT:FQL_AUDITING_CLIENT_TEMPLATE.FAT&amp;display_string=Audit&amp;VAR:KEY=JWRODKFUNO&amp;VAR:QUERY=RkZfREVCVChRVFIsMCk=&amp;WINDOW=FIRST_POPUP&amp;HEIGHT=450&amp;WIDTH=450&amp;START_MAXIMIZED=FALSE&amp;VA","R:CALENDAR=FIVEDAY&amp;VAR:SYMBOL=AZN&amp;VAR:INDEX=0"}</definedName>
    <definedName name="_97__FDSAUDITLINK__" hidden="1">{"fdsup://directions/FAT Viewer?action=UPDATE&amp;creator=factset&amp;DYN_ARGS=TRUE&amp;DOC_NAME=FAT:FQL_AUDITING_CLIENT_TEMPLATE.FAT&amp;display_string=Audit&amp;VAR:KEY=DIZEHARWFQ&amp;VAR:QUERY=RkZfREVCVChRVFIsMCk=&amp;WINDOW=FIRST_POPUP&amp;HEIGHT=450&amp;WIDTH=450&amp;START_MAXIMIZED=FALSE&amp;VA","R:CALENDAR=FIVEDAY&amp;VAR:SYMBOL=NVS&amp;VAR:INDEX=0"}</definedName>
    <definedName name="_98__FDSAUDITLINK__" hidden="1">{"fdsup://directions/FAT Viewer?action=UPDATE&amp;creator=factset&amp;DYN_ARGS=TRUE&amp;DOC_NAME=FAT:FQL_AUDITING_CLIENT_TEMPLATE.FAT&amp;display_string=Audit&amp;VAR:KEY=VSPITILQPU&amp;VAR:QUERY=RkZfREVCVChRVFIsMCk=&amp;WINDOW=FIRST_POPUP&amp;HEIGHT=450&amp;WIDTH=450&amp;START_MAXIMIZED=FALSE&amp;VA","R:CALENDAR=FIVEDAY&amp;VAR:SYMBOL=SHPGY&amp;VAR:INDEX=0"}</definedName>
    <definedName name="_99__FDSAUDITLINK__" hidden="1">{"fdsup://Directions/FactSet Auditing Viewer?action=AUDIT_VALUE&amp;DB=129&amp;ID1=01535110&amp;VALUEID=02001&amp;SDATE=201102&amp;PERIODTYPE=QTR_STD&amp;SCFT=3&amp;window=popup_no_bar&amp;width=385&amp;height=120&amp;START_MAXIMIZED=FALSE&amp;creator=factset&amp;display_string=Audit"}</definedName>
    <definedName name="_bdm.02E29E7B1053433EA3CCCBE4E5141596.edm" hidden="1">[1]Sheet1!$A:$IV</definedName>
    <definedName name="_bdm.0465D0F8BD2C4E888AB9C11EA0CBE52C.edm" hidden="1">'[2]rev change analysis'!$A:$IV</definedName>
    <definedName name="_bdm.23CAB1676C0C411BB6D812CE5B582BC0.edm" hidden="1">'[2]MWA RR'!$A:$IV</definedName>
    <definedName name="_bdm.2DD2C96D34A94119897BA9F9064DA371.edm" hidden="1">'[3]rev change analysis'!$A:$IV</definedName>
    <definedName name="_bdm.31B38A4456914D13B036C519BB497D92.edm" hidden="1">'[4]rev change analysis'!$A:$IV</definedName>
    <definedName name="_bdm.384BFCED33ED4B149016C877E23F998D.edm" hidden="1">'[4]short IS'!$A:$IV</definedName>
    <definedName name="_bdm.42F67CCC3C1C45638B5EC98256E90947.edm" hidden="1">'[5]Good 12-00 (2)'!$A:$IV</definedName>
    <definedName name="_bdm.46D56600DB7840728F138544F8E425DB.edm" hidden="1">'[5]Good 11-36'!$A:$IV</definedName>
    <definedName name="_bdm.60A1016E4A5045B0B4BE42FB21AAF6D6.edm" hidden="1">'[5]Good 11-50'!$A:$IV</definedName>
    <definedName name="_bdm.7317521E367C4A50896524C70180A68C.edm" hidden="1">'[4]2015 rev change'!$A:$IV</definedName>
    <definedName name="_bdm.731BDA48F9E34C35A30B181461F49F5F.edm" hidden="1">'[6]Retail prices'!$A:$IV</definedName>
    <definedName name="_bdm.76074D17ADD044A287D271B1AAFC4036.edm" hidden="1">'[4]Product Mix 100%'!$A:$IV</definedName>
    <definedName name="_bdm.77192A69936D48368D0A13E908672759.edm" hidden="1">'[4]cost savings'!$A:$IV</definedName>
    <definedName name="_bdm.84F38A9759994A80A6CF34B5BBEB633C.edm" hidden="1">'[7]rev change analysis'!$A:$IV</definedName>
    <definedName name="_bdm.9301DDFC67D846248C16E96B86458D94.edm" hidden="1">'[2]rev contribution analysis'!$A:$IV</definedName>
    <definedName name="_bdm.C7C6FBA36F39444B8BCEC128D5B7F931.edm" hidden="1">'[5]Sheet3 (5)'!$A:$IV</definedName>
    <definedName name="_bdm.E2B991B7B5454C4CBE252B2B73D6513B.edm" hidden="1">[8]margins!$A:$IV</definedName>
    <definedName name="_bdm.F0D73515AC3D4919BC3602806970DE2D.edm" hidden="1">'[4]Per Pharma Traditional &amp; Biolog'!$A:$IV</definedName>
    <definedName name="_bdm.F503F160FFA641EDB1AD757205401861.edm" hidden="1">'[8]rev change analysis'!$A:$IV</definedName>
    <definedName name="_Key1" hidden="1">[9]単独!$U$1</definedName>
    <definedName name="_Order1" hidden="1">255</definedName>
    <definedName name="_Sort" hidden="1">[9]単独!$A$512:$AC$552</definedName>
    <definedName name="a" hidden="1">[9]ｾｸﾞﾒﾝﾄ!$E$165:$I$165</definedName>
    <definedName name="abc"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hidden="1">{#N/A,#N/A,TRUE,"Historicals";#N/A,#N/A,TRUE,"Charts";#N/A,#N/A,TRUE,"Forecasts"}</definedName>
    <definedName name="AdditionalInstructions">IndexInformation!$B$42</definedName>
    <definedName name="Address" localSheetId="0">ImportantDisclosures!$A$2:$A$2</definedName>
    <definedName name="ANA" localSheetId="20">ModPubIndex!$A$7</definedName>
    <definedName name="anscount" hidden="1">1</definedName>
    <definedName name="asd" localSheetId="1"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a" hidden="1">{"fdsup://directions/FAT%20Viewer?VAR:PED=20071231&amp;VAR:PERIOD=FIXED&amp;VAR:V=5.898401&amp;VAR:AUDIT_ID=71692910&amp;VAR:DATE=20100305&amp;action=UPDATE&amp;creator=factset&amp;DOC_NAME=FAT:FMA_audit_DETAIL.fat&amp;DISPLAY_STRING=Display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Authors" localSheetId="0">ImportantDisclosures!$A$7</definedName>
    <definedName name="Authors" localSheetId="19">IndexInformation!$B$18</definedName>
    <definedName name="b" hidden="1">[9]ｾｸﾞﾒﾝﾄ!$E$167:$I$167</definedName>
    <definedName name="BRO" localSheetId="20">ModPubIndex!$A$1</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opyrightStamp">ImportantDisclosures!$A$27</definedName>
    <definedName name="COU" localSheetId="20">ModPubIndex!$A$5</definedName>
    <definedName name="CQEnd" localSheetId="19">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19">IndexInformation!$B$24</definedName>
    <definedName name="CurrentStockPrice" localSheetId="19">IndexInformation!$B$23</definedName>
    <definedName name="CurrQtrEPS" localSheetId="19">IndexInformation!$B$29</definedName>
    <definedName name="CurrYearEPS" localSheetId="19">IndexInformation!$B$11</definedName>
    <definedName name="CurrYearTotalRevenue" localSheetId="19">IndexInformation!$B$10</definedName>
    <definedName name="CurrYearTotalRevenueActual" localSheetId="19">IndexInformation!$B$32</definedName>
    <definedName name="CUSIP" localSheetId="19">IndexInformation!$B$20</definedName>
    <definedName name="CYEnd" localSheetId="19">IndexInformation!$B$30</definedName>
    <definedName name="Date" localSheetId="0">ImportantDisclosures!$A$8</definedName>
    <definedName name="Deleted" localSheetId="19">IndexInformation!$B$27</definedName>
    <definedName name="Description" localSheetId="19">IndexInformation!$B$7</definedName>
    <definedName name="Discipline" localSheetId="19">IndexInformation!$B$3</definedName>
    <definedName name="DISCIPLINE" localSheetId="20">ModPubIndex!$A$12</definedName>
    <definedName name="DisclosuresText">ImportantDisclosures!$A$22</definedName>
    <definedName name="Distribution" localSheetId="19">IndexInformation!$B$26</definedName>
    <definedName name="DistTable" localSheetId="0">ImportantDisclosures!#REF!</definedName>
    <definedName name="DistTablePreamble" localSheetId="0">ImportantDisclosures!#REF!</definedName>
    <definedName name="DOCDAT" localSheetId="20">ModPubIndex!$A$2</definedName>
    <definedName name="DOCTIME" localSheetId="20">ModPubIndex!$A$3</definedName>
    <definedName name="DocType" localSheetId="19">IndexInformation!$B$5</definedName>
    <definedName name="EMAIL_ALERT" localSheetId="20">ModPubIndex!$A$10</definedName>
    <definedName name="EmailAlert" localSheetId="19">IndexInformation!$B$28</definedName>
    <definedName name="ev.Calculation" hidden="1">-4135</definedName>
    <definedName name="ev.Initialized" hidden="1">FALSE</definedName>
    <definedName name="ｆ" hidden="1">"iQShowAnnual"</definedName>
    <definedName name="FiveYearGrowthRate" localSheetId="19">IndexInformation!$B$16</definedName>
    <definedName name="FollowingYearEPS" localSheetId="19">IndexInformation!$B$15</definedName>
    <definedName name="FollowingYearTotalRevenue" localSheetId="19">IndexInformation!$B$14</definedName>
    <definedName name="FollowingYearTotalRevenueActual" localSheetId="19">IndexInformation!$B$34</definedName>
    <definedName name="forecast" localSheetId="1"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HL" localSheetId="20">ModPubIndex!$A$8</definedName>
    <definedName name="hn.ModelVersion" hidden="1">1</definedName>
    <definedName name="hn.NoUpload" hidden="1">0</definedName>
    <definedName name="Img_ML_7g5e5e2b" hidden="1">"IMG_12"</definedName>
    <definedName name="IND" localSheetId="20">ModPubIndex!$A$9</definedName>
    <definedName name="Industry" localSheetId="0">ImportantDisclosures!$A$12</definedName>
    <definedName name="IndustryId">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KeepVersions" localSheetId="19">IndexInformation!$B$8</definedName>
    <definedName name="LanguageCode">IndexInformation!$B$38</definedName>
    <definedName name="LastCell" localSheetId="0">ImportantDisclosures!$A$22</definedName>
    <definedName name="limcount" hidden="1">1</definedName>
    <definedName name="Linking_1">IS!$B$1:$CT$88</definedName>
    <definedName name="Linking_10">IS!$B$1:$DI$88</definedName>
    <definedName name="Linking_11">CF!$B$1:$Y$28</definedName>
    <definedName name="Linking_12">IS!$B$1:$DI$89</definedName>
    <definedName name="Linking_13">IS!$B$1:$DS$88</definedName>
    <definedName name="Linking_14">REVS!$B$1:$DS$146</definedName>
    <definedName name="Linking_15">BS!$B$1:$AA$42</definedName>
    <definedName name="Linking_16">CF!$B$1:$AA$49</definedName>
    <definedName name="Linking_18">IS!$B$1:$DI$107</definedName>
    <definedName name="Linking_2">DCF!$B$30:$U$34</definedName>
    <definedName name="Linking_20">IS!$BV$2</definedName>
    <definedName name="Linking_21">IS!$B$1:$ER$88</definedName>
    <definedName name="Linking_22">REVS!$B$1:$ER$146</definedName>
    <definedName name="Linking_23">CF!$B$1:$AB$49</definedName>
    <definedName name="Linking_25">CF!$B$1:$AF$51</definedName>
    <definedName name="Linking_26">REVS!$B$1:$ES$146</definedName>
    <definedName name="Linking_27">IS!$B$2:$ER$88</definedName>
    <definedName name="Linking_3">DCF!$J$20</definedName>
    <definedName name="Linking_4">REVS!$B$1:$CT$51</definedName>
    <definedName name="Linking_5">REVS!$B$1:$DI$146</definedName>
    <definedName name="Linking_6">BS!$B$1:$Y$42</definedName>
    <definedName name="Linking_7">CF!$B$1:$Y$49</definedName>
    <definedName name="Linking_8">IS!$B$1:$CT$32</definedName>
    <definedName name="Linking_9">CF!$B$1:$V$28</definedName>
    <definedName name="Linking_Range_1">'HIV Model'!$B$3:$AQ$354</definedName>
    <definedName name="Linking_Range_10">DCF!$B$4:$U$11</definedName>
    <definedName name="Linking_Range_11">DCF!$B$5:$U$11</definedName>
    <definedName name="Linking_Range_12">DCF!$B$13:$C$22</definedName>
    <definedName name="Linking_Range_15">IS!$B$1:$ER$107</definedName>
    <definedName name="Linking_Range_16">CF!$B$1:$V$49</definedName>
    <definedName name="Linking_Range_17">BS!$B$1:$V$42</definedName>
    <definedName name="Linking_Range_18">IS!$B$1:$CT$107</definedName>
    <definedName name="Linking_Range_20">REVS!$B$1:$CT$130</definedName>
    <definedName name="Linking_Range_21">REVS!$B$1:$CT$146</definedName>
    <definedName name="Linking_Range_22">IS!$B$1:$CT$110</definedName>
    <definedName name="Linking_Range_3">REVS!$B$1:$ER$147</definedName>
    <definedName name="Linking_Range_4">REVS!$B$1:$ER$130</definedName>
    <definedName name="Linking_Range_5">IS!$B$1:$ER$33</definedName>
    <definedName name="Linking_Range_6">BS!$B$1:$AF$42</definedName>
    <definedName name="Linking_Range_7">CF!$B$1:$AF$28</definedName>
    <definedName name="Linking_Range_8">CF!$B$1:$AF$49</definedName>
    <definedName name="MacroVersion" localSheetId="19">IndexInformation!$B$1</definedName>
    <definedName name="ModelPrice" localSheetId="0">ImportantDisclosures!$A$14</definedName>
    <definedName name="Multiplier" localSheetId="19">IndexInformation!$B$35</definedName>
    <definedName name="NextYearEPS" localSheetId="19">IndexInformation!$B$13</definedName>
    <definedName name="NextYearTotalRevenue" localSheetId="19">IndexInformation!$B$12</definedName>
    <definedName name="NextYearTotalRevenueActual" localSheetId="19">IndexInformation!$B$33</definedName>
    <definedName name="ObjectType">IndexInformation!$B$37</definedName>
    <definedName name="PANA" localSheetId="20">ModPubIndex!$A$11</definedName>
    <definedName name="PathName" localSheetId="19">IndexInformation!$B$25</definedName>
    <definedName name="PRODUCT" localSheetId="20">ModPubIndex!$A$6</definedName>
    <definedName name="PSYM" localSheetId="20">ModPubIndex!$A$4</definedName>
    <definedName name="PublishDate" localSheetId="19">IndexInformation!$B$2</definedName>
    <definedName name="q" hidden="1">'[10]Qtr Sales'!$EM$2:$FJ$127</definedName>
    <definedName name="Rating" localSheetId="19">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 localSheetId="1" hidden="1">{#N/A,#N/A,FALSE,"COVER";#N/A,#N/A,FALSE,"VALUATION";#N/A,#N/A,FALSE,"FORECAST";#N/A,#N/A,FALSE,"FY ANALYSIS ";#N/A,#N/A,FALSE," HY ANALYSIS"}</definedName>
    <definedName name="rep" hidden="1">{#N/A,#N/A,FALSE,"COVER";#N/A,#N/A,FALSE,"VALUATION";#N/A,#N/A,FALSE,"FORECAST";#N/A,#N/A,FALSE,"FY ANALYSIS ";#N/A,#N/A,FALSE," HY ANALYSIS"}</definedName>
    <definedName name="RepairedName0004" hidden="1">"iQShowAnnual"</definedName>
    <definedName name="RepairedName0035" hidden="1">"iQShowAnnual"</definedName>
    <definedName name="RepairedName0074" hidden="1">"iQShowAnnual"</definedName>
    <definedName name="RepairedName2249" hidden="1">"iQShowAnnual"</definedName>
    <definedName name="ResearchTopic" localSheetId="19">IndexInformation!$B$4</definedName>
    <definedName name="RIC" localSheetId="19">IndexInformation!$B$21</definedName>
    <definedName name="SECSettlement" localSheetId="0">ImportantDisclosures!#REF!</definedName>
    <definedName name="SEDOL" localSheetId="19">IndexInformation!$B$22</definedName>
    <definedName name="sencount" hidden="1">2</definedName>
    <definedName name="SourceDefined" localSheetId="0">ImportantDisclosures!$A$19</definedName>
    <definedName name="StockRating" localSheetId="0">ImportantDisclosures!$A$11</definedName>
    <definedName name="SubjectCode" localSheetId="19">IndexInformation!$B$6</definedName>
    <definedName name="SubmitterUserId">IndexInformation!$B$39</definedName>
    <definedName name="SUPPRESSED" localSheetId="20">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9">IndexInformation!$B$19</definedName>
    <definedName name="UpdateReason" localSheetId="19">IndexInformation!$B$17</definedName>
    <definedName name="USRegDisclosures" localSheetId="0">ImportantDisclosures!#REF!</definedName>
    <definedName name="v" hidden="1">[9]ｾｸﾞﾒﾝﾄ!$E$164:$I$164</definedName>
    <definedName name="w" hidden="1">[9]単独!$AR$14:$AR$18</definedName>
    <definedName name="wrn.2._.pagers." localSheetId="1" hidden="1">{"Cover",#N/A,FALSE,"Cover";"Summary",#N/A,FALSE,"Summarpage"}</definedName>
    <definedName name="wrn.2._.pagers." hidden="1">{"Cover",#N/A,FALSE,"Cover";"Summary",#N/A,FALSE,"Summarpage"}</definedName>
    <definedName name="wrn.AGN._.MODELS." localSheetId="1" hidden="1">{"QTRINC1",#N/A,FALSE,"QTRINC";"QTRINC2",#N/A,FALSE,"QTRINC";"QTRSALES",#N/A,FALSE,"QTRSALES";"ANNSALES",#N/A,FALSE,"ANNSALES";"CASHFLOW",#N/A,FALSE,"CASHFLOW"}</definedName>
    <definedName name="wrn.AGN._.MODELS." hidden="1">{"QTRINC1",#N/A,FALSE,"QTRINC";"QTRINC2",#N/A,FALSE,"QTRINC";"QTRSALES",#N/A,FALSE,"QTRSALES";"ANNSALES",#N/A,FALSE,"ANNSALES";"CASHFLOW",#N/A,FALSE,"CASHFLOW"}</definedName>
    <definedName name="wrn.AHP._.MODELS." localSheetId="1" hidden="1">{"QTRINC",#N/A,FALSE,"QTRINC";"MARGIN",#N/A,FALSE,"MARGIN";"CASHFLOW",#N/A,FALSE,"CASHFLOW"}</definedName>
    <definedName name="wrn.AHP._.MODELS." hidden="1">{"QTRINC",#N/A,FALSE,"QTRINC";"MARGIN",#N/A,FALSE,"MARGIN";"CASHFLOW",#N/A,FALSE,"CASHFLOW"}</definedName>
    <definedName name="wrn.allpages." localSheetId="1" hidden="1">{#N/A,#N/A,TRUE,"Historicals";#N/A,#N/A,TRUE,"Charts";#N/A,#N/A,TRUE,"Forecasts"}</definedName>
    <definedName name="wrn.allpages." hidden="1">{#N/A,#N/A,TRUE,"Historicals";#N/A,#N/A,TRUE,"Charts";#N/A,#N/A,TRUE,"Forecasts"}</definedName>
    <definedName name="wrn.Annual._.Operating._.Earnings." localSheetId="1"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1"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lient._.cfbs." localSheetId="1" hidden="1">{"client cfbs",#N/A,FALSE,"Client"}</definedName>
    <definedName name="wrn.Client._.cfbs." hidden="1">{"client cfbs",#N/A,FALSE,"Client"}</definedName>
    <definedName name="wrn.Client._.is." localSheetId="1" hidden="1">{"Client is",#N/A,FALSE,"Client"}</definedName>
    <definedName name="wrn.Client._.is." hidden="1">{"Client is",#N/A,FALSE,"Client"}</definedName>
    <definedName name="wrn.Client._.stats." localSheetId="1" hidden="1">{"Client stats",#N/A,FALSE,"Client"}</definedName>
    <definedName name="wrn.Client._.stats." hidden="1">{"Client stats",#N/A,FALSE,"Client"}</definedName>
    <definedName name="wrn.Complete."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localSheetId="1" hidden="1">{"view1",#N/A,FALSE,"EARN (US$)";"view1",#N/A,FALSE,"DASTBS (US$)";"view1",#N/A,FALSE,"DASTCF (US$)"}</definedName>
    <definedName name="wrn.Consolidated._.Statements." hidden="1">{"view1",#N/A,FALSE,"EARN (US$)";"view1",#N/A,FALSE,"DASTBS (US$)";"view1",#N/A,FALSE,"DASTCF (US$)"}</definedName>
    <definedName name="wrn.Forecast._.Q1." localSheetId="1"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1"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1"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1"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1" hidden="1">{#N/A,#N/A,FALSE,"COVER";#N/A,#N/A,FALSE,"VALUATION";#N/A,#N/A,FALSE,"FORECAST";#N/A,#N/A,FALSE,"FY ANALYSIS ";#N/A,#N/A,FALSE," HY ANALYSIS"}</definedName>
    <definedName name="wrn.Full._.Report." hidden="1">{#N/A,#N/A,FALSE,"COVER";#N/A,#N/A,FALSE,"VALUATION";#N/A,#N/A,FALSE,"FORECAST";#N/A,#N/A,FALSE,"FY ANALYSIS ";#N/A,#N/A,FALSE," HY ANALYSIS"}</definedName>
    <definedName name="wrn.Income._.Stmt." localSheetId="1" hidden="1">{"Income Stmt",#N/A,FALSE,"Model"}</definedName>
    <definedName name="wrn.Income._.Stmt." hidden="1">{"Income Stmt",#N/A,FALSE,"Model"}</definedName>
    <definedName name="wrn.Industry.xls." localSheetId="1"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l._.is." localSheetId="1" hidden="1">{"Internal is",#N/A,FALSE,"Model"}</definedName>
    <definedName name="wrn.Internal._.is." hidden="1">{"Internal is",#N/A,FALSE,"Model"}</definedName>
    <definedName name="wrn.Leases.xls." localSheetId="1" hidden="1">{#N/A,#N/A,FALSE,"Initial Year";#N/A,#N/A,FALSE,"Historical";#N/A,#N/A,FALSE,"balsheet";#N/A,#N/A,FALSE,"incstate";#N/A,#N/A,FALSE,"Fleet"}</definedName>
    <definedName name="wrn.Leases.xls." hidden="1">{#N/A,#N/A,FALSE,"Initial Year";#N/A,#N/A,FALSE,"Historical";#N/A,#N/A,FALSE,"balsheet";#N/A,#N/A,FALSE,"incstate";#N/A,#N/A,FALSE,"Fleet"}</definedName>
    <definedName name="wrn.MOBIL." hidden="1">{"quarter",#N/A,FALSE,"MOB"}</definedName>
    <definedName name="wrn.MODELS." localSheetId="1"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Portrait._.IS." localSheetId="1" hidden="1">{"Portrait letter is",#N/A,FALSE,"Model"}</definedName>
    <definedName name="wrn.Portrait._.IS." hidden="1">{"Portrait letter is",#N/A,FALSE,"Model"}</definedName>
    <definedName name="wrn.Portrait._.letter._.is." localSheetId="1" hidden="1">{"Portrait letter is",#N/A,FALSE,"Model"}</definedName>
    <definedName name="wrn.Portrait._.letter._.is." hidden="1">{"Portrait letter is",#N/A,FALSE,"Model"}</definedName>
    <definedName name="wrn.printall." localSheetId="1" hidden="1">{"printall",#N/A,FALSE,"BAIRNUMB"}</definedName>
    <definedName name="wrn.printall." hidden="1">{"printall",#N/A,FALSE,"BAIRNUMB"}</definedName>
    <definedName name="wrn.Pulp." localSheetId="1" hidden="1">{"Pulp Production",#N/A,FALSE,"Pulp";"Pulp Earnings",#N/A,FALSE,"Pulp"}</definedName>
    <definedName name="wrn.Pulp." hidden="1">{"Pulp Production",#N/A,FALSE,"Pulp";"Pulp Earnings",#N/A,FALSE,"Pulp"}</definedName>
    <definedName name="wrn.qrt95." localSheetId="1" hidden="1">{"qrt95",#N/A,FALSE,"BAIRNUMB"}</definedName>
    <definedName name="wrn.qrt95." hidden="1">{"qrt95",#N/A,FALSE,"BAIRNUMB"}</definedName>
    <definedName name="wrn.Qtr._.Op._.Q1." localSheetId="1"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1"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1"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1"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1"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1" hidden="1">{"Qtr Op Mgd Q3",#N/A,FALSE,"Qtr-Op (Mng)";"Qtr Op Rpt Q4",#N/A,FALSE,"Qtr-Op (Rpt)";"Operating Vs Reported",#N/A,FALSE,"Rpt-Op Inc"}</definedName>
    <definedName name="wrn.Qtr_.Op._.Q4." hidden="1">{"Qtr Op Mgd Q3",#N/A,FALSE,"Qtr-Op (Mng)";"Qtr Op Rpt Q4",#N/A,FALSE,"Qtr-Op (Rpt)";"Operating Vs Reported",#N/A,FALSE,"Rpt-Op Inc"}</definedName>
    <definedName name="wrn.quarterly." localSheetId="1" hidden="1">{"quarterly",#N/A,FALSE,"BAIRNUMB"}</definedName>
    <definedName name="wrn.quarterly." hidden="1">{"quarterly",#N/A,FALSE,"BAIRNUMB"}</definedName>
    <definedName name="wrn.Report." localSheetId="1" hidden="1">{#N/A,#N/A,FALSE,"COVER";#N/A,#N/A,FALSE,"FORECAST";#N/A,#N/A,FALSE,"VALUATION";#N/A,#N/A,FALSE,"FY ANALYSIS ";#N/A,#N/A,FALSE," HY ANALYSIS"}</definedName>
    <definedName name="wrn.Report." hidden="1">{#N/A,#N/A,FALSE,"COVER";#N/A,#N/A,FALSE,"FORECAST";#N/A,#N/A,FALSE,"VALUATION";#N/A,#N/A,FALSE,"FY ANALYSIS ";#N/A,#N/A,FALSE," HY ANALYSIS"}</definedName>
    <definedName name="wrn.SGPMODELS." localSheetId="1" hidden="1">{"QTRINC1",#N/A,FALSE,"SGPNEW";"QTRINC2",#N/A,FALSE,"SGPNEW";"USSALES1",#N/A,FALSE,"SGPNEW";"USSALES2",#N/A,FALSE,"SGPNEW";"INTLSALES1",#N/A,FALSE,"SGPNEW";"INTLSALES2",#N/A,FALSE,"SGPNEW";"WWSALES1",#N/A,FALSE,"SGPNEW";"WWSALES2",#N/A,FALSE,"SGPNEW";"NEWPRODS",#N/A,FALSE,"SGPNEW";"CASHFLOW",#N/A,FALSE,"SGPNEW"}</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Tables." localSheetId="1" hidden="1">{"view1",#N/A,FALSE,"Tables";"view2",#N/A,FALSE,"Tables";"view3",#N/A,FALSE,"Tables"}</definedName>
    <definedName name="wrn.Tables." hidden="1">{"view1",#N/A,FALSE,"Tables";"view2",#N/A,FALSE,"Tables";"view3",#N/A,FALSE,"Tables"}</definedName>
    <definedName name="wrn.Variance._.3." localSheetId="1" hidden="1">{"Variance Q3",#N/A,FALSE,"Var"}</definedName>
    <definedName name="wrn.Variance._.3." hidden="1">{"Variance Q3",#N/A,FALSE,"Var"}</definedName>
    <definedName name="wrn.Variance._.Q1." localSheetId="1" hidden="1">{"Variance Q1",#N/A,FALSE,"Var"}</definedName>
    <definedName name="wrn.Variance._.Q1." hidden="1">{"Variance Q1",#N/A,FALSE,"Var"}</definedName>
    <definedName name="wrn.Variance._.Q2." localSheetId="1" hidden="1">{"Variance Q2",#N/A,FALSE,"Var"}</definedName>
    <definedName name="wrn.Variance._.Q2." hidden="1">{"Variance Q2",#N/A,FALSE,"Var"}</definedName>
    <definedName name="wrn.Variance._.Q3." localSheetId="1" hidden="1">{"Variance Q3",#N/A,FALSE,"Var"}</definedName>
    <definedName name="wrn.Variance._.Q3." hidden="1">{"Variance Q3",#N/A,FALSE,"Var"}</definedName>
    <definedName name="wrn.Variance._.Q4" localSheetId="1" hidden="1">{"Variance Q4",#N/A,FALSE,"Var"}</definedName>
    <definedName name="wrn.Variance._.Q4" hidden="1">{"Variance Q4",#N/A,FALSE,"Var"}</definedName>
    <definedName name="wrn.Variance._.Q4." localSheetId="1" hidden="1">{"Variance Q4",#N/A,FALSE,"Var"}</definedName>
    <definedName name="wrn.Variance._.Q4." hidden="1">{"Variance Q4",#N/A,FALSE,"Var"}</definedName>
    <definedName name="wrn.WLAVARIANCEANALYSIS." localSheetId="1" hidden="1">{"INCOME STATEMENT",#N/A,FALSE,"IS";"WWSALES",#N/A,FALSE,"WWSALES";"USSALES",#N/A,FALSE,"USSALES";"INTLSALES",#N/A,FALSE,"INTLSALES"}</definedName>
    <definedName name="wrn.WLAVARIANCEANALYSIS." hidden="1">{"INCOME STATEMENT",#N/A,FALSE,"IS";"WWSALES",#N/A,FALSE,"WWSALES";"USSALES",#N/A,FALSE,"USSALES";"INTLSALES",#N/A,FALSE,"INTLSALES"}</definedName>
  </definedNames>
  <calcPr calcId="145621" iterate="1"/>
</workbook>
</file>

<file path=xl/calcChain.xml><?xml version="1.0" encoding="utf-8"?>
<calcChain xmlns="http://schemas.openxmlformats.org/spreadsheetml/2006/main">
  <c r="C20" i="17" l="1"/>
  <c r="CI125" i="1" l="1"/>
  <c r="CG125" i="1"/>
  <c r="CH125" i="1"/>
  <c r="CF125" i="1"/>
  <c r="AO49" i="12"/>
  <c r="AQ161" i="12"/>
  <c r="AP161" i="12"/>
  <c r="AO161" i="12"/>
  <c r="N55" i="18"/>
  <c r="P123" i="18"/>
  <c r="Q123" i="18"/>
  <c r="R123" i="18"/>
  <c r="S123" i="18" s="1"/>
  <c r="T123" i="18" s="1"/>
  <c r="U123" i="18" s="1"/>
  <c r="V123" i="18" s="1"/>
  <c r="W123" i="18" s="1"/>
  <c r="X123" i="18" s="1"/>
  <c r="Y123" i="18" s="1"/>
  <c r="Z123" i="18" s="1"/>
  <c r="O123" i="18"/>
  <c r="N123" i="18"/>
  <c r="CG7" i="4"/>
  <c r="CO7" i="4"/>
  <c r="CH33" i="4"/>
  <c r="CI7" i="4"/>
  <c r="CJ33" i="4"/>
  <c r="CI33" i="4"/>
  <c r="CT7" i="4"/>
  <c r="CG33" i="4"/>
  <c r="CO33" i="4"/>
  <c r="CT33" i="4"/>
  <c r="FC2" i="4"/>
  <c r="CF33" i="4"/>
  <c r="CF7" i="4"/>
  <c r="CJ7" i="4"/>
  <c r="CH7" i="4"/>
  <c r="S52" i="42" l="1"/>
  <c r="T52" i="42" s="1"/>
  <c r="U52" i="42" s="1"/>
  <c r="V52" i="42" s="1"/>
  <c r="W52" i="42" s="1"/>
  <c r="X52" i="42" s="1"/>
  <c r="Y52" i="42" s="1"/>
  <c r="R52" i="42"/>
  <c r="Q52" i="42"/>
  <c r="P52" i="42"/>
  <c r="L17" i="45"/>
  <c r="M17" i="45" s="1"/>
  <c r="N17" i="45" s="1"/>
  <c r="O17" i="45" s="1"/>
  <c r="P17" i="45" s="1"/>
  <c r="Q17" i="45" s="1"/>
  <c r="R17" i="45" s="1"/>
  <c r="S17" i="45" s="1"/>
  <c r="K17" i="45"/>
  <c r="J17" i="45"/>
  <c r="N36" i="42"/>
  <c r="O36" i="42" s="1"/>
  <c r="P36" i="42" s="1"/>
  <c r="Q36" i="42" s="1"/>
  <c r="R36" i="42" s="1"/>
  <c r="S36" i="42" s="1"/>
  <c r="T36" i="42" s="1"/>
  <c r="U36" i="42" s="1"/>
  <c r="V36" i="42" s="1"/>
  <c r="W36" i="42" s="1"/>
  <c r="X36" i="42" s="1"/>
  <c r="Y36" i="42" s="1"/>
  <c r="M36" i="42"/>
  <c r="S39" i="11" l="1"/>
  <c r="S40" i="11"/>
  <c r="S45" i="11"/>
  <c r="W23" i="11"/>
  <c r="X23" i="11" s="1"/>
  <c r="Y23" i="11" s="1"/>
  <c r="Z23" i="11" s="1"/>
  <c r="AA23" i="11" s="1"/>
  <c r="AB23" i="11" s="1"/>
  <c r="AC23" i="11" s="1"/>
  <c r="AD23" i="11" s="1"/>
  <c r="AE23" i="11" s="1"/>
  <c r="AF23" i="11" s="1"/>
  <c r="V23" i="11"/>
  <c r="U23" i="11"/>
  <c r="T158" i="14" l="1"/>
  <c r="AF197" i="14"/>
  <c r="AE197" i="14"/>
  <c r="AD197" i="14"/>
  <c r="AC197" i="14"/>
  <c r="AB197" i="14"/>
  <c r="AA197" i="14"/>
  <c r="Z197" i="14"/>
  <c r="Y197" i="14"/>
  <c r="X197" i="14"/>
  <c r="T197" i="14"/>
  <c r="S197" i="14"/>
  <c r="AF186" i="14"/>
  <c r="AE186" i="14"/>
  <c r="AD186" i="14"/>
  <c r="AC186" i="14"/>
  <c r="AB186" i="14"/>
  <c r="AA186" i="14"/>
  <c r="Z186" i="14"/>
  <c r="Y186" i="14"/>
  <c r="X186" i="14"/>
  <c r="W186" i="14"/>
  <c r="V186" i="14"/>
  <c r="U186" i="14"/>
  <c r="T186" i="14"/>
  <c r="S186" i="14"/>
  <c r="AF180" i="14"/>
  <c r="AE180" i="14"/>
  <c r="AD180" i="14"/>
  <c r="AC180" i="14"/>
  <c r="AB180" i="14"/>
  <c r="AA180" i="14"/>
  <c r="Z180" i="14"/>
  <c r="Y180" i="14"/>
  <c r="X180" i="14"/>
  <c r="W180" i="14"/>
  <c r="V180" i="14"/>
  <c r="U180" i="14"/>
  <c r="T180" i="14"/>
  <c r="S180" i="14"/>
  <c r="U158" i="14"/>
  <c r="U197" i="14" s="1"/>
  <c r="U147" i="14"/>
  <c r="T147" i="14"/>
  <c r="AF87" i="14"/>
  <c r="AE87" i="14"/>
  <c r="AD87" i="14"/>
  <c r="AC87" i="14"/>
  <c r="AB87" i="14"/>
  <c r="AA87" i="14"/>
  <c r="Z87" i="14"/>
  <c r="Y87" i="14"/>
  <c r="X87" i="14"/>
  <c r="W87" i="14"/>
  <c r="V87" i="14"/>
  <c r="U87" i="14"/>
  <c r="T87" i="14"/>
  <c r="S87" i="14"/>
  <c r="W30" i="14"/>
  <c r="V30" i="14"/>
  <c r="U30" i="14"/>
  <c r="T30" i="14"/>
  <c r="U19" i="14"/>
  <c r="V76" i="14" s="1"/>
  <c r="T19" i="14"/>
  <c r="AF76" i="14"/>
  <c r="AE76" i="14"/>
  <c r="AD76" i="14"/>
  <c r="AC76" i="14"/>
  <c r="AB76" i="14"/>
  <c r="AA76" i="14"/>
  <c r="Z76" i="14"/>
  <c r="Y76" i="14"/>
  <c r="X76" i="14"/>
  <c r="W76" i="14"/>
  <c r="U76" i="14"/>
  <c r="T76" i="14"/>
  <c r="S76" i="14"/>
  <c r="AF70" i="14"/>
  <c r="AE70" i="14"/>
  <c r="AD70" i="14"/>
  <c r="AC70" i="14"/>
  <c r="AB70" i="14"/>
  <c r="AA70" i="14"/>
  <c r="Z70" i="14"/>
  <c r="Y70" i="14"/>
  <c r="X70" i="14"/>
  <c r="W70" i="14"/>
  <c r="V70" i="14"/>
  <c r="U70" i="14"/>
  <c r="T70" i="14"/>
  <c r="S70" i="14"/>
  <c r="S42" i="14"/>
  <c r="S121" i="11"/>
  <c r="S100" i="11"/>
  <c r="S82" i="11"/>
  <c r="S77" i="11"/>
  <c r="S75" i="11"/>
  <c r="S74" i="11"/>
  <c r="S69" i="11"/>
  <c r="S167" i="10"/>
  <c r="S166" i="10"/>
  <c r="S165" i="10"/>
  <c r="S151" i="10"/>
  <c r="S116" i="10"/>
  <c r="S114" i="10"/>
  <c r="S113" i="10"/>
  <c r="S112" i="10"/>
  <c r="S115" i="10" s="1"/>
  <c r="S84" i="10"/>
  <c r="S83" i="10"/>
  <c r="S81" i="10"/>
  <c r="S80" i="10"/>
  <c r="S79" i="10"/>
  <c r="S77" i="10"/>
  <c r="S75" i="10"/>
  <c r="S74" i="10"/>
  <c r="S71" i="10"/>
  <c r="S69" i="10"/>
  <c r="S68" i="10"/>
  <c r="S67" i="10"/>
  <c r="S65" i="10"/>
  <c r="S63" i="10"/>
  <c r="S62" i="10"/>
  <c r="S18" i="11"/>
  <c r="S24" i="10"/>
  <c r="V158" i="14" l="1"/>
  <c r="V197" i="14" l="1"/>
  <c r="W158" i="14"/>
  <c r="W197" i="14" s="1"/>
  <c r="EM18" i="4" l="1"/>
  <c r="ER18" i="4" s="1"/>
  <c r="EM12" i="4"/>
  <c r="CJ109" i="1"/>
  <c r="ER12" i="4"/>
  <c r="EH12" i="4"/>
  <c r="CY18" i="4"/>
  <c r="CT18" i="4"/>
  <c r="CO18" i="4"/>
  <c r="CG43" i="1"/>
  <c r="CF43" i="1"/>
  <c r="CD187" i="1"/>
  <c r="CD163" i="1"/>
  <c r="CD123" i="1"/>
  <c r="CD130" i="1" s="1"/>
  <c r="CE98" i="1"/>
  <c r="CE97" i="1"/>
  <c r="CD97" i="1"/>
  <c r="CN135" i="1"/>
  <c r="CM135" i="1"/>
  <c r="CL135" i="1"/>
  <c r="CK135" i="1"/>
  <c r="CG135" i="1"/>
  <c r="CH135" i="1"/>
  <c r="CI135" i="1"/>
  <c r="CF135" i="1"/>
  <c r="CD142" i="1"/>
  <c r="CE119" i="1"/>
  <c r="CE116" i="1"/>
  <c r="CE113" i="1"/>
  <c r="CI15" i="1"/>
  <c r="AN473" i="12"/>
  <c r="CC125" i="1"/>
  <c r="CD125" i="1"/>
  <c r="CD60" i="4" l="1"/>
  <c r="CD68" i="4"/>
  <c r="CE68" i="4"/>
  <c r="CE66" i="4"/>
  <c r="CE63" i="4"/>
  <c r="CE62" i="4"/>
  <c r="CE61" i="4"/>
  <c r="CE60" i="4"/>
  <c r="CE59" i="4"/>
  <c r="CE58" i="4"/>
  <c r="CD57" i="4"/>
  <c r="CD51" i="4"/>
  <c r="CE55" i="4"/>
  <c r="CE54" i="4"/>
  <c r="CE53" i="4"/>
  <c r="CE52" i="4"/>
  <c r="CE51" i="4"/>
  <c r="CE50" i="4"/>
  <c r="CE49" i="4"/>
  <c r="CD48" i="4"/>
  <c r="CE46" i="4"/>
  <c r="CE45" i="4"/>
  <c r="CD43" i="4"/>
  <c r="CE23" i="4"/>
  <c r="CE87" i="4"/>
  <c r="CE86" i="4"/>
  <c r="CD22" i="4"/>
  <c r="CE132" i="1"/>
  <c r="CE123" i="1"/>
  <c r="CE121" i="1"/>
  <c r="CE118" i="1"/>
  <c r="CE115" i="1"/>
  <c r="CE112" i="1"/>
  <c r="CD91" i="1"/>
  <c r="CC91" i="1"/>
  <c r="CB91" i="1"/>
  <c r="CA91" i="1"/>
  <c r="CE41" i="1"/>
  <c r="CE40" i="1"/>
  <c r="CE39" i="1"/>
  <c r="CE26" i="1"/>
  <c r="CE25" i="1"/>
  <c r="CE24" i="1"/>
  <c r="CE84" i="1"/>
  <c r="CE46" i="1"/>
  <c r="CE45" i="1"/>
  <c r="CE44" i="1"/>
  <c r="CE59" i="1"/>
  <c r="CE16" i="1"/>
  <c r="CE15" i="1"/>
  <c r="CE21" i="1"/>
  <c r="CE20" i="1"/>
  <c r="CE19" i="1"/>
  <c r="CE36" i="1"/>
  <c r="CE35" i="1"/>
  <c r="CE34" i="1"/>
  <c r="CE6" i="1"/>
  <c r="CE5" i="1"/>
  <c r="CE4" i="1"/>
  <c r="CE56" i="1"/>
  <c r="CE11" i="1"/>
  <c r="CE10" i="1"/>
  <c r="CE31" i="1"/>
  <c r="CE30" i="1"/>
  <c r="CE29" i="1"/>
  <c r="CE48" i="4" l="1"/>
  <c r="CE57" i="4"/>
  <c r="CD25" i="4"/>
  <c r="DE189" i="1" l="1"/>
  <c r="DF189" i="1"/>
  <c r="DG189" i="1"/>
  <c r="DH189" i="1"/>
  <c r="DJ189" i="1"/>
  <c r="DK189" i="1"/>
  <c r="DL189" i="1"/>
  <c r="DM189" i="1"/>
  <c r="DO189" i="1"/>
  <c r="DP189" i="1"/>
  <c r="DQ189" i="1"/>
  <c r="DR189" i="1"/>
  <c r="DT189" i="1"/>
  <c r="DU189" i="1"/>
  <c r="DV189" i="1"/>
  <c r="DW189" i="1"/>
  <c r="DY189" i="1"/>
  <c r="DZ189" i="1"/>
  <c r="EA189" i="1"/>
  <c r="EB189" i="1"/>
  <c r="ED189" i="1"/>
  <c r="EE189" i="1"/>
  <c r="EF189" i="1"/>
  <c r="EG189" i="1"/>
  <c r="EI189" i="1"/>
  <c r="EJ189" i="1"/>
  <c r="EK189" i="1"/>
  <c r="EL189" i="1"/>
  <c r="EN189" i="1"/>
  <c r="EO189" i="1"/>
  <c r="EP189" i="1"/>
  <c r="EQ189" i="1"/>
  <c r="CE189" i="1"/>
  <c r="CB142" i="1"/>
  <c r="CC142" i="1"/>
  <c r="CE9" i="1"/>
  <c r="O141" i="18" l="1"/>
  <c r="P141" i="18"/>
  <c r="Q141" i="18"/>
  <c r="R141" i="18"/>
  <c r="S141" i="18"/>
  <c r="Z141" i="18"/>
  <c r="U201" i="14" l="1"/>
  <c r="V201" i="14"/>
  <c r="W201" i="14"/>
  <c r="X201" i="14"/>
  <c r="Y201" i="14"/>
  <c r="Z201" i="14"/>
  <c r="AA201" i="14"/>
  <c r="AB201" i="14"/>
  <c r="AC201" i="14"/>
  <c r="AD201" i="14"/>
  <c r="AE201" i="14"/>
  <c r="AF201" i="14"/>
  <c r="X202" i="14"/>
  <c r="Y202" i="14"/>
  <c r="Z202" i="14"/>
  <c r="AA202" i="14"/>
  <c r="AB202" i="14"/>
  <c r="AC202" i="14"/>
  <c r="AD202" i="14"/>
  <c r="AE202" i="14"/>
  <c r="AF202" i="14"/>
  <c r="Y203" i="14"/>
  <c r="Z203" i="14"/>
  <c r="AA203" i="14"/>
  <c r="AB203" i="14"/>
  <c r="AC203" i="14"/>
  <c r="AD203" i="14"/>
  <c r="AE203" i="14"/>
  <c r="AF203" i="14"/>
  <c r="AC204" i="14"/>
  <c r="AD204" i="14"/>
  <c r="AE204" i="14"/>
  <c r="AF204" i="14"/>
  <c r="S203" i="14"/>
  <c r="S204" i="14"/>
  <c r="S205" i="14"/>
  <c r="S206" i="14"/>
  <c r="S202" i="14" l="1"/>
  <c r="X188" i="14"/>
  <c r="T162" i="14"/>
  <c r="U162" i="14"/>
  <c r="S201" i="14"/>
  <c r="S162" i="14"/>
  <c r="AF96" i="14"/>
  <c r="AE96" i="14"/>
  <c r="AD96" i="14"/>
  <c r="AC96" i="14"/>
  <c r="AB96" i="14"/>
  <c r="AA96" i="14"/>
  <c r="Z96" i="14"/>
  <c r="Y96" i="14"/>
  <c r="X96" i="14"/>
  <c r="W96" i="14"/>
  <c r="V96" i="14"/>
  <c r="S96" i="14"/>
  <c r="T39" i="14"/>
  <c r="U96" i="14" l="1"/>
  <c r="T201" i="14"/>
  <c r="T96" i="14"/>
  <c r="AQ443" i="12"/>
  <c r="AR443" i="12" s="1"/>
  <c r="CE14" i="1"/>
  <c r="O126" i="18"/>
  <c r="P126" i="18" s="1"/>
  <c r="Q126" i="18" s="1"/>
  <c r="R126" i="18" s="1"/>
  <c r="S126" i="18" s="1"/>
  <c r="T126" i="18" s="1"/>
  <c r="U126" i="18" s="1"/>
  <c r="V126" i="18" s="1"/>
  <c r="W126" i="18" s="1"/>
  <c r="X126" i="18" s="1"/>
  <c r="Y126" i="18" s="1"/>
  <c r="Z126" i="18" s="1"/>
  <c r="N97" i="19"/>
  <c r="CE51" i="1"/>
  <c r="CE61" i="1"/>
  <c r="CE66" i="1"/>
  <c r="CE55" i="1"/>
  <c r="CE60" i="1"/>
  <c r="CE65" i="1"/>
  <c r="CE49" i="1"/>
  <c r="CE54" i="1"/>
  <c r="CE64" i="1"/>
  <c r="CH29" i="4" l="1"/>
  <c r="CG29" i="4"/>
  <c r="CF29" i="4"/>
  <c r="CI29" i="4" s="1"/>
  <c r="CI172" i="1" l="1"/>
  <c r="CH172" i="1"/>
  <c r="CG172" i="1"/>
  <c r="CF172" i="1"/>
  <c r="CI165" i="1"/>
  <c r="CH165" i="1"/>
  <c r="CG165" i="1"/>
  <c r="CF165" i="1"/>
  <c r="CI164" i="1"/>
  <c r="CH164" i="1"/>
  <c r="CG164" i="1"/>
  <c r="CF164" i="1"/>
  <c r="CI163" i="1"/>
  <c r="CH163" i="1"/>
  <c r="CG163" i="1"/>
  <c r="CF163" i="1"/>
  <c r="CI151" i="1"/>
  <c r="CH151" i="1"/>
  <c r="CG151" i="1"/>
  <c r="CF151" i="1"/>
  <c r="CG97" i="1"/>
  <c r="CH97" i="1"/>
  <c r="CF97" i="1"/>
  <c r="CI100" i="1"/>
  <c r="CI99" i="1"/>
  <c r="CH187" i="1" l="1"/>
  <c r="CF187" i="1"/>
  <c r="CG187" i="1"/>
  <c r="EV67" i="1"/>
  <c r="EV66" i="1"/>
  <c r="EU67" i="1"/>
  <c r="EU66" i="1"/>
  <c r="AQ446" i="12" l="1"/>
  <c r="AR446" i="12" s="1"/>
  <c r="AS446" i="12" s="1"/>
  <c r="AT446" i="12" s="1"/>
  <c r="AU446" i="12" s="1"/>
  <c r="AV446" i="12" s="1"/>
  <c r="AW446" i="12" s="1"/>
  <c r="AX446" i="12" s="1"/>
  <c r="AP446" i="12"/>
  <c r="P117" i="19"/>
  <c r="Q117" i="19" s="1"/>
  <c r="R117" i="19" s="1"/>
  <c r="S117" i="19" s="1"/>
  <c r="T117" i="19" s="1"/>
  <c r="U117" i="19" s="1"/>
  <c r="V117" i="19" s="1"/>
  <c r="W117" i="19" s="1"/>
  <c r="X117" i="19" s="1"/>
  <c r="Y117" i="19" s="1"/>
  <c r="Z117" i="19" s="1"/>
  <c r="M115" i="19"/>
  <c r="CC44" i="4" l="1"/>
  <c r="CC48" i="4"/>
  <c r="CC57" i="4"/>
  <c r="CC22" i="4"/>
  <c r="CE22" i="4" s="1"/>
  <c r="CC25" i="4"/>
  <c r="CC43" i="4" l="1"/>
  <c r="CE44" i="4"/>
  <c r="CE43" i="4" s="1"/>
  <c r="M43" i="44" l="1"/>
  <c r="M46" i="41"/>
  <c r="N43" i="40"/>
  <c r="O43" i="40" s="1"/>
  <c r="O43" i="44" s="1"/>
  <c r="O44" i="40"/>
  <c r="P44" i="40" s="1"/>
  <c r="Q44" i="40" s="1"/>
  <c r="R44" i="40" s="1"/>
  <c r="S44" i="40" s="1"/>
  <c r="T44" i="40" s="1"/>
  <c r="U44" i="40" s="1"/>
  <c r="V44" i="40" s="1"/>
  <c r="W44" i="40" s="1"/>
  <c r="X44" i="40" s="1"/>
  <c r="Y44" i="40" s="1"/>
  <c r="O46" i="41" l="1"/>
  <c r="N46" i="41"/>
  <c r="N43" i="44"/>
  <c r="P43" i="40"/>
  <c r="Q43" i="40" l="1"/>
  <c r="P46" i="41"/>
  <c r="P43" i="44"/>
  <c r="D1" i="46"/>
  <c r="C2" i="48"/>
  <c r="R43" i="40" l="1"/>
  <c r="Q43" i="44"/>
  <c r="Q46" i="41"/>
  <c r="S43" i="40" l="1"/>
  <c r="R43" i="44"/>
  <c r="R46" i="41"/>
  <c r="T43" i="40" l="1"/>
  <c r="S43" i="44"/>
  <c r="S46" i="41"/>
  <c r="N21" i="45"/>
  <c r="O21" i="45" s="1"/>
  <c r="P21" i="45" s="1"/>
  <c r="Q21" i="45" s="1"/>
  <c r="R21" i="45" s="1"/>
  <c r="S21" i="45" s="1"/>
  <c r="K18" i="45"/>
  <c r="L18" i="45"/>
  <c r="M18" i="45"/>
  <c r="N18" i="45"/>
  <c r="O18" i="45"/>
  <c r="P18" i="45"/>
  <c r="Q18" i="45"/>
  <c r="R18" i="45"/>
  <c r="S18" i="45"/>
  <c r="J18" i="45"/>
  <c r="P31" i="44"/>
  <c r="Q31" i="44"/>
  <c r="R31" i="44"/>
  <c r="S31" i="44"/>
  <c r="O31" i="44"/>
  <c r="U43" i="40" l="1"/>
  <c r="T46" i="41"/>
  <c r="T43" i="44"/>
  <c r="V43" i="40" l="1"/>
  <c r="U43" i="44"/>
  <c r="U46" i="41"/>
  <c r="J22" i="45"/>
  <c r="K22" i="45"/>
  <c r="L22" i="45"/>
  <c r="M22" i="45"/>
  <c r="N22" i="45"/>
  <c r="O22" i="45"/>
  <c r="P22" i="45"/>
  <c r="Q22" i="45"/>
  <c r="R22" i="45"/>
  <c r="S22" i="45"/>
  <c r="W43" i="40" l="1"/>
  <c r="V43" i="44"/>
  <c r="V46" i="41"/>
  <c r="CY105" i="1"/>
  <c r="CC63" i="1"/>
  <c r="R125" i="18"/>
  <c r="S125" i="18" s="1"/>
  <c r="T125" i="18" s="1"/>
  <c r="U125" i="18" s="1"/>
  <c r="V125" i="18" s="1"/>
  <c r="W125" i="18" s="1"/>
  <c r="X125" i="18" s="1"/>
  <c r="Y125" i="18" s="1"/>
  <c r="Z125" i="18" s="1"/>
  <c r="L141" i="18"/>
  <c r="K141" i="18"/>
  <c r="T131" i="18"/>
  <c r="T141" i="18" s="1"/>
  <c r="L135" i="18"/>
  <c r="K135" i="18"/>
  <c r="U32" i="44"/>
  <c r="U31" i="44" s="1"/>
  <c r="T32" i="44"/>
  <c r="T31" i="44" s="1"/>
  <c r="T30" i="44"/>
  <c r="U30" i="44" s="1"/>
  <c r="V30" i="44" s="1"/>
  <c r="W30" i="44" s="1"/>
  <c r="X30" i="44" s="1"/>
  <c r="Y30" i="44" s="1"/>
  <c r="R36" i="41"/>
  <c r="S36" i="41" s="1"/>
  <c r="T36" i="41" s="1"/>
  <c r="U36" i="41" s="1"/>
  <c r="V36" i="41" s="1"/>
  <c r="W36" i="41" s="1"/>
  <c r="X36" i="41" s="1"/>
  <c r="Y36" i="41" s="1"/>
  <c r="Q36" i="41"/>
  <c r="R34" i="41"/>
  <c r="S34" i="41" s="1"/>
  <c r="T34" i="41" s="1"/>
  <c r="U34" i="41" s="1"/>
  <c r="V34" i="41" s="1"/>
  <c r="W34" i="41" s="1"/>
  <c r="X34" i="41" s="1"/>
  <c r="Y34" i="41" s="1"/>
  <c r="Q34" i="41"/>
  <c r="N33" i="40"/>
  <c r="O33" i="40" s="1"/>
  <c r="P33" i="40" s="1"/>
  <c r="Q33" i="40" s="1"/>
  <c r="R33" i="40" s="1"/>
  <c r="S33" i="40" s="1"/>
  <c r="T33" i="40" s="1"/>
  <c r="U33" i="40" s="1"/>
  <c r="V33" i="40" s="1"/>
  <c r="W33" i="40" s="1"/>
  <c r="X33" i="40" s="1"/>
  <c r="Y33" i="40" s="1"/>
  <c r="P31" i="40"/>
  <c r="Q31" i="40" s="1"/>
  <c r="R31" i="40" s="1"/>
  <c r="S31" i="40" s="1"/>
  <c r="T31" i="40" s="1"/>
  <c r="U31" i="40" s="1"/>
  <c r="V31" i="40" s="1"/>
  <c r="W31" i="40" s="1"/>
  <c r="X31" i="40" s="1"/>
  <c r="Y31" i="40" s="1"/>
  <c r="T35" i="41"/>
  <c r="U35" i="41" s="1"/>
  <c r="V35" i="41" s="1"/>
  <c r="W35" i="41" s="1"/>
  <c r="X35" i="41" s="1"/>
  <c r="Y35" i="41" s="1"/>
  <c r="T33" i="41"/>
  <c r="U33" i="41" s="1"/>
  <c r="V33" i="41" s="1"/>
  <c r="W33" i="41" s="1"/>
  <c r="X33" i="41" s="1"/>
  <c r="Y33" i="41" s="1"/>
  <c r="T30" i="40"/>
  <c r="U30" i="40" s="1"/>
  <c r="V30" i="40" s="1"/>
  <c r="W30" i="40" s="1"/>
  <c r="X30" i="40" s="1"/>
  <c r="Y30" i="40" s="1"/>
  <c r="Q32" i="40"/>
  <c r="R32" i="40" s="1"/>
  <c r="S32" i="40" s="1"/>
  <c r="T32" i="40" s="1"/>
  <c r="U32" i="40" s="1"/>
  <c r="V32" i="40" s="1"/>
  <c r="W32" i="40" s="1"/>
  <c r="X32" i="40" s="1"/>
  <c r="Y32" i="40" s="1"/>
  <c r="N53" i="42"/>
  <c r="R53" i="42"/>
  <c r="S53" i="42" s="1"/>
  <c r="T53" i="42" s="1"/>
  <c r="U53" i="42" s="1"/>
  <c r="V53" i="42" s="1"/>
  <c r="W53" i="42" s="1"/>
  <c r="X53" i="42" s="1"/>
  <c r="Y53" i="42" s="1"/>
  <c r="M55" i="42"/>
  <c r="N54" i="42"/>
  <c r="N55" i="42" s="1"/>
  <c r="O39" i="42"/>
  <c r="P39" i="42" s="1"/>
  <c r="Q39" i="42" s="1"/>
  <c r="R39" i="42" s="1"/>
  <c r="S39" i="42" s="1"/>
  <c r="T39" i="42" s="1"/>
  <c r="U39" i="42" s="1"/>
  <c r="V39" i="42" s="1"/>
  <c r="W39" i="42" s="1"/>
  <c r="X39" i="42" s="1"/>
  <c r="Y39" i="42" s="1"/>
  <c r="O37" i="42"/>
  <c r="P37" i="42"/>
  <c r="Q37" i="42"/>
  <c r="N37" i="42"/>
  <c r="R38" i="42"/>
  <c r="R37" i="42" s="1"/>
  <c r="V32" i="44" l="1"/>
  <c r="V31" i="44" s="1"/>
  <c r="X43" i="40"/>
  <c r="W43" i="44"/>
  <c r="W46" i="41"/>
  <c r="W32" i="44"/>
  <c r="O54" i="42"/>
  <c r="P54" i="42" s="1"/>
  <c r="Q54" i="42" s="1"/>
  <c r="S38" i="42"/>
  <c r="U131" i="18"/>
  <c r="U141" i="18" s="1"/>
  <c r="Y43" i="40" l="1"/>
  <c r="X46" i="41"/>
  <c r="X43" i="44"/>
  <c r="X32" i="44"/>
  <c r="W31" i="44"/>
  <c r="O55" i="42"/>
  <c r="P55" i="42"/>
  <c r="S37" i="42"/>
  <c r="T38" i="42"/>
  <c r="V131" i="18"/>
  <c r="V141" i="18" s="1"/>
  <c r="R54" i="42"/>
  <c r="Q55" i="42"/>
  <c r="Y43" i="44" l="1"/>
  <c r="Y46" i="41"/>
  <c r="Y32" i="44"/>
  <c r="Y31" i="44" s="1"/>
  <c r="X31" i="44"/>
  <c r="U38" i="42"/>
  <c r="T37" i="42"/>
  <c r="W131" i="18"/>
  <c r="W141" i="18" s="1"/>
  <c r="S54" i="42"/>
  <c r="R55" i="42"/>
  <c r="U37" i="42" l="1"/>
  <c r="V38" i="42"/>
  <c r="X131" i="18"/>
  <c r="X141" i="18" s="1"/>
  <c r="T54" i="42"/>
  <c r="S55" i="42"/>
  <c r="ER65" i="1"/>
  <c r="ER64" i="1"/>
  <c r="EM64" i="1"/>
  <c r="EH64" i="1"/>
  <c r="EC65" i="1"/>
  <c r="EC64" i="1"/>
  <c r="DX65" i="1"/>
  <c r="DX64" i="1"/>
  <c r="DS65" i="1"/>
  <c r="DS64" i="1"/>
  <c r="DN65" i="1"/>
  <c r="DN64" i="1"/>
  <c r="DI65" i="1"/>
  <c r="DI64" i="1"/>
  <c r="DD65" i="1"/>
  <c r="DD64" i="1"/>
  <c r="CY65" i="1"/>
  <c r="CY64" i="1"/>
  <c r="CT65" i="1"/>
  <c r="CT64" i="1"/>
  <c r="CO65" i="1"/>
  <c r="CO64" i="1"/>
  <c r="B113" i="19"/>
  <c r="M126" i="18"/>
  <c r="EH65" i="1" l="1"/>
  <c r="W38" i="42"/>
  <c r="V37" i="42"/>
  <c r="Y131" i="18"/>
  <c r="Y141" i="18" s="1"/>
  <c r="U54" i="42"/>
  <c r="T55" i="42"/>
  <c r="L46" i="42"/>
  <c r="L44" i="42"/>
  <c r="M41" i="40"/>
  <c r="X38" i="42" l="1"/>
  <c r="W37" i="42"/>
  <c r="EM66" i="1"/>
  <c r="EM65" i="1"/>
  <c r="V54" i="42"/>
  <c r="U55" i="42"/>
  <c r="X37" i="42" l="1"/>
  <c r="Y38" i="42"/>
  <c r="Y37" i="42" s="1"/>
  <c r="EM63" i="1"/>
  <c r="W54" i="42"/>
  <c r="V55" i="42"/>
  <c r="J11" i="45"/>
  <c r="K11" i="45" s="1"/>
  <c r="L11" i="45" s="1"/>
  <c r="X54" i="42" l="1"/>
  <c r="W55" i="42"/>
  <c r="Y54" i="42" l="1"/>
  <c r="Y55" i="42" s="1"/>
  <c r="X55" i="42"/>
  <c r="CE188" i="1" l="1"/>
  <c r="CE187" i="1"/>
  <c r="CP166" i="1" l="1"/>
  <c r="CU166" i="1" s="1"/>
  <c r="CZ166" i="1" s="1"/>
  <c r="DE166" i="1" s="1"/>
  <c r="DJ166" i="1" s="1"/>
  <c r="DO166" i="1" s="1"/>
  <c r="DT166" i="1" s="1"/>
  <c r="DY166" i="1" s="1"/>
  <c r="ED166" i="1" s="1"/>
  <c r="EI166" i="1" s="1"/>
  <c r="EN166" i="1" s="1"/>
  <c r="CQ166" i="1"/>
  <c r="CV166" i="1" s="1"/>
  <c r="DA166" i="1" s="1"/>
  <c r="DF166" i="1" s="1"/>
  <c r="DK166" i="1" s="1"/>
  <c r="DP166" i="1" s="1"/>
  <c r="DU166" i="1" s="1"/>
  <c r="DZ166" i="1" s="1"/>
  <c r="EE166" i="1" s="1"/>
  <c r="EJ166" i="1" s="1"/>
  <c r="EO166" i="1" s="1"/>
  <c r="CR166" i="1"/>
  <c r="CW166" i="1" s="1"/>
  <c r="DB166" i="1" s="1"/>
  <c r="DG166" i="1" s="1"/>
  <c r="DL166" i="1" s="1"/>
  <c r="DQ166" i="1" s="1"/>
  <c r="DV166" i="1" s="1"/>
  <c r="EA166" i="1" s="1"/>
  <c r="EF166" i="1" s="1"/>
  <c r="EK166" i="1" s="1"/>
  <c r="EP166" i="1" s="1"/>
  <c r="CS166" i="1"/>
  <c r="CX166" i="1" s="1"/>
  <c r="DC166" i="1" s="1"/>
  <c r="DH166" i="1" s="1"/>
  <c r="DM166" i="1" s="1"/>
  <c r="DR166" i="1" s="1"/>
  <c r="DW166" i="1" s="1"/>
  <c r="EB166" i="1" s="1"/>
  <c r="EG166" i="1" s="1"/>
  <c r="EL166" i="1" s="1"/>
  <c r="EQ166" i="1" s="1"/>
  <c r="CO166" i="1"/>
  <c r="CT166" i="1" s="1"/>
  <c r="CY166" i="1" s="1"/>
  <c r="DD166" i="1" s="1"/>
  <c r="DI166" i="1" s="1"/>
  <c r="DN166" i="1" s="1"/>
  <c r="DS166" i="1" s="1"/>
  <c r="DX166" i="1" s="1"/>
  <c r="EC166" i="1" s="1"/>
  <c r="EH166" i="1" s="1"/>
  <c r="EM166" i="1" s="1"/>
  <c r="ER166" i="1" s="1"/>
  <c r="CA123" i="1" l="1"/>
  <c r="CJ108" i="1"/>
  <c r="J60" i="48"/>
  <c r="K60" i="48" s="1"/>
  <c r="L60" i="48" s="1"/>
  <c r="M60" i="48" s="1"/>
  <c r="N60" i="48" s="1"/>
  <c r="O60" i="48" s="1"/>
  <c r="P60" i="48" s="1"/>
  <c r="Q60" i="48" s="1"/>
  <c r="R60" i="48" s="1"/>
  <c r="S60" i="48" s="1"/>
  <c r="I61" i="48"/>
  <c r="J61" i="48" s="1"/>
  <c r="K61" i="48" s="1"/>
  <c r="L61" i="48" s="1"/>
  <c r="M61" i="48" s="1"/>
  <c r="N61" i="48" s="1"/>
  <c r="O61" i="48" s="1"/>
  <c r="P61" i="48" s="1"/>
  <c r="Q61" i="48" s="1"/>
  <c r="R61" i="48" s="1"/>
  <c r="S61" i="48" s="1"/>
  <c r="D45" i="48"/>
  <c r="E45" i="48" s="1"/>
  <c r="D42" i="48"/>
  <c r="E39" i="48"/>
  <c r="F39" i="48" s="1"/>
  <c r="G39" i="48" s="1"/>
  <c r="H39" i="48" s="1"/>
  <c r="I39" i="48" s="1"/>
  <c r="J39" i="48" s="1"/>
  <c r="K39" i="48" s="1"/>
  <c r="L39" i="48" s="1"/>
  <c r="M39" i="48" s="1"/>
  <c r="N39" i="48" s="1"/>
  <c r="O39" i="48" s="1"/>
  <c r="P39" i="48" s="1"/>
  <c r="Q39" i="48" s="1"/>
  <c r="R39" i="48" s="1"/>
  <c r="S39" i="48" s="1"/>
  <c r="J33" i="48"/>
  <c r="J34" i="48"/>
  <c r="K34" i="48"/>
  <c r="L34" i="48"/>
  <c r="M34" i="48"/>
  <c r="O34" i="48"/>
  <c r="P34" i="48"/>
  <c r="Q34" i="48"/>
  <c r="S34" i="48"/>
  <c r="J23" i="48"/>
  <c r="J18" i="48"/>
  <c r="K22" i="48" s="1"/>
  <c r="L23" i="48"/>
  <c r="M23" i="48"/>
  <c r="N23" i="48"/>
  <c r="O23" i="48"/>
  <c r="P23" i="48"/>
  <c r="Q23" i="48"/>
  <c r="R23" i="48"/>
  <c r="R18" i="48"/>
  <c r="S22" i="48" s="1"/>
  <c r="S18" i="48"/>
  <c r="J24" i="48"/>
  <c r="K24" i="48"/>
  <c r="L24" i="48"/>
  <c r="M24" i="48"/>
  <c r="N24" i="48"/>
  <c r="O24" i="48"/>
  <c r="P24" i="48"/>
  <c r="Q24" i="48"/>
  <c r="R24" i="48"/>
  <c r="I24" i="48"/>
  <c r="I23" i="48"/>
  <c r="J13" i="48"/>
  <c r="J8" i="48"/>
  <c r="K12" i="48" s="1"/>
  <c r="K8" i="48"/>
  <c r="L12" i="48" s="1"/>
  <c r="M13" i="48"/>
  <c r="M8" i="48"/>
  <c r="N12" i="48" s="1"/>
  <c r="O13" i="48"/>
  <c r="O8" i="48"/>
  <c r="P12" i="48" s="1"/>
  <c r="Q13" i="48"/>
  <c r="R13" i="48"/>
  <c r="R8" i="48"/>
  <c r="S12" i="48" s="1"/>
  <c r="S8" i="48"/>
  <c r="J14" i="48"/>
  <c r="K14" i="48"/>
  <c r="M14" i="48"/>
  <c r="N14" i="48"/>
  <c r="O14" i="48"/>
  <c r="P14" i="48"/>
  <c r="Q14" i="48"/>
  <c r="S14" i="48"/>
  <c r="I14" i="48"/>
  <c r="H8" i="48"/>
  <c r="I12" i="48" s="1"/>
  <c r="H115" i="48"/>
  <c r="F114" i="48"/>
  <c r="I107" i="48"/>
  <c r="J94" i="48"/>
  <c r="K94" i="48" s="1"/>
  <c r="L94" i="48" s="1"/>
  <c r="M94" i="48" s="1"/>
  <c r="N94" i="48" s="1"/>
  <c r="O94" i="48" s="1"/>
  <c r="P94" i="48" s="1"/>
  <c r="Q94" i="48" s="1"/>
  <c r="R94" i="48" s="1"/>
  <c r="S94" i="48" s="1"/>
  <c r="C82" i="48"/>
  <c r="D79" i="48"/>
  <c r="D76" i="48"/>
  <c r="E76" i="48" s="1"/>
  <c r="E73" i="48"/>
  <c r="F73" i="48" s="1"/>
  <c r="G73" i="48" s="1"/>
  <c r="H73" i="48" s="1"/>
  <c r="I73" i="48" s="1"/>
  <c r="J73" i="48" s="1"/>
  <c r="K73" i="48" s="1"/>
  <c r="L73" i="48" s="1"/>
  <c r="M73" i="48" s="1"/>
  <c r="N73" i="48" s="1"/>
  <c r="O73" i="48" s="1"/>
  <c r="P73" i="48" s="1"/>
  <c r="Q73" i="48" s="1"/>
  <c r="R73" i="48" s="1"/>
  <c r="S73" i="48" s="1"/>
  <c r="C72" i="48"/>
  <c r="R34" i="48"/>
  <c r="N34" i="48"/>
  <c r="I34" i="48"/>
  <c r="H34" i="48"/>
  <c r="I33" i="48"/>
  <c r="H33" i="48"/>
  <c r="H32" i="48"/>
  <c r="H28" i="48"/>
  <c r="I32" i="48" s="1"/>
  <c r="S24" i="48"/>
  <c r="H24" i="48"/>
  <c r="K23" i="48"/>
  <c r="H23" i="48"/>
  <c r="H22" i="48"/>
  <c r="N18" i="48"/>
  <c r="O22" i="48" s="1"/>
  <c r="R14" i="48"/>
  <c r="L14" i="48"/>
  <c r="H14" i="48"/>
  <c r="H13" i="48"/>
  <c r="H12" i="48"/>
  <c r="N8" i="48"/>
  <c r="O12" i="48" s="1"/>
  <c r="E9" i="46"/>
  <c r="F9" i="46"/>
  <c r="G9" i="46"/>
  <c r="H9" i="46"/>
  <c r="I9" i="46"/>
  <c r="J9" i="46"/>
  <c r="K9" i="46"/>
  <c r="L9" i="46"/>
  <c r="M9" i="46"/>
  <c r="N9" i="46"/>
  <c r="O9" i="46"/>
  <c r="P9" i="46"/>
  <c r="Q9" i="46"/>
  <c r="R9" i="46"/>
  <c r="S9" i="46"/>
  <c r="D9" i="46"/>
  <c r="J32" i="46"/>
  <c r="K32" i="46" s="1"/>
  <c r="L32" i="46" s="1"/>
  <c r="M32" i="46" s="1"/>
  <c r="N32" i="46" s="1"/>
  <c r="O32" i="46" s="1"/>
  <c r="P32" i="46" s="1"/>
  <c r="Q32" i="46" s="1"/>
  <c r="R32" i="46" s="1"/>
  <c r="S32" i="46" s="1"/>
  <c r="H26" i="46"/>
  <c r="N13" i="48" l="1"/>
  <c r="K18" i="48"/>
  <c r="L22" i="48" s="1"/>
  <c r="I18" i="48"/>
  <c r="J22" i="48" s="1"/>
  <c r="Q18" i="48"/>
  <c r="R22" i="48" s="1"/>
  <c r="C43" i="48"/>
  <c r="Q8" i="48"/>
  <c r="R12" i="48" s="1"/>
  <c r="M18" i="48"/>
  <c r="N22" i="48" s="1"/>
  <c r="I8" i="48"/>
  <c r="J12" i="48" s="1"/>
  <c r="G114" i="48"/>
  <c r="K13" i="48"/>
  <c r="S13" i="48"/>
  <c r="S23" i="48"/>
  <c r="H62" i="48"/>
  <c r="O18" i="48"/>
  <c r="P22" i="48" s="1"/>
  <c r="C48" i="48"/>
  <c r="D48" i="48" s="1"/>
  <c r="J107" i="48"/>
  <c r="K107" i="48" s="1"/>
  <c r="L107" i="48" s="1"/>
  <c r="M107" i="48" s="1"/>
  <c r="N107" i="48" s="1"/>
  <c r="O107" i="48" s="1"/>
  <c r="P107" i="48" s="1"/>
  <c r="Q107" i="48" s="1"/>
  <c r="R107" i="48" s="1"/>
  <c r="S107" i="48" s="1"/>
  <c r="H93" i="48"/>
  <c r="H95" i="48" s="1"/>
  <c r="I59" i="48"/>
  <c r="I62" i="48" s="1"/>
  <c r="C46" i="48"/>
  <c r="D40" i="48"/>
  <c r="E40" i="48" s="1"/>
  <c r="F40" i="48" s="1"/>
  <c r="G40" i="48" s="1"/>
  <c r="H40" i="48" s="1"/>
  <c r="I40" i="48" s="1"/>
  <c r="J40" i="48" s="1"/>
  <c r="K40" i="48" s="1"/>
  <c r="L40" i="48" s="1"/>
  <c r="M40" i="48" s="1"/>
  <c r="N40" i="48" s="1"/>
  <c r="O40" i="48" s="1"/>
  <c r="P40" i="48" s="1"/>
  <c r="Q40" i="48" s="1"/>
  <c r="R40" i="48" s="1"/>
  <c r="S40" i="48" s="1"/>
  <c r="D38" i="48"/>
  <c r="E38" i="48" s="1"/>
  <c r="F38" i="48" s="1"/>
  <c r="G38" i="48" s="1"/>
  <c r="H38" i="48" s="1"/>
  <c r="I38" i="48" s="1"/>
  <c r="J38" i="48" s="1"/>
  <c r="K38" i="48" s="1"/>
  <c r="L38" i="48" s="1"/>
  <c r="M38" i="48" s="1"/>
  <c r="N38" i="48" s="1"/>
  <c r="O38" i="48" s="1"/>
  <c r="P38" i="48" s="1"/>
  <c r="Q38" i="48" s="1"/>
  <c r="R38" i="48" s="1"/>
  <c r="S38" i="48" s="1"/>
  <c r="P13" i="48"/>
  <c r="L13" i="48"/>
  <c r="L18" i="48"/>
  <c r="M22" i="48" s="1"/>
  <c r="P18" i="48"/>
  <c r="Q22" i="48" s="1"/>
  <c r="H18" i="48"/>
  <c r="I22" i="48" s="1"/>
  <c r="L8" i="48"/>
  <c r="M12" i="48" s="1"/>
  <c r="P8" i="48"/>
  <c r="Q12" i="48" s="1"/>
  <c r="I13" i="48"/>
  <c r="F45" i="48"/>
  <c r="R118" i="48"/>
  <c r="N118" i="48"/>
  <c r="J118" i="48"/>
  <c r="F118" i="48"/>
  <c r="Q118" i="48"/>
  <c r="M118" i="48"/>
  <c r="E118" i="48"/>
  <c r="P118" i="48"/>
  <c r="L118" i="48"/>
  <c r="H118" i="48"/>
  <c r="D118" i="48"/>
  <c r="S118" i="48"/>
  <c r="O118" i="48"/>
  <c r="K118" i="48"/>
  <c r="G118" i="48"/>
  <c r="I28" i="48"/>
  <c r="J32" i="48" s="1"/>
  <c r="C74" i="48"/>
  <c r="D72" i="48"/>
  <c r="E72" i="48" s="1"/>
  <c r="F72" i="48" s="1"/>
  <c r="G72" i="48" s="1"/>
  <c r="H72" i="48" s="1"/>
  <c r="I72" i="48" s="1"/>
  <c r="J72" i="48" s="1"/>
  <c r="K72" i="48" s="1"/>
  <c r="L72" i="48" s="1"/>
  <c r="M72" i="48" s="1"/>
  <c r="N72" i="48" s="1"/>
  <c r="O72" i="48" s="1"/>
  <c r="P72" i="48" s="1"/>
  <c r="Q72" i="48" s="1"/>
  <c r="R72" i="48" s="1"/>
  <c r="S72" i="48" s="1"/>
  <c r="E42" i="48"/>
  <c r="C49" i="48"/>
  <c r="F76" i="48"/>
  <c r="E79" i="48"/>
  <c r="C83" i="48"/>
  <c r="D82" i="48"/>
  <c r="H114" i="48"/>
  <c r="I115" i="48"/>
  <c r="I114" i="48" s="1"/>
  <c r="D19" i="46"/>
  <c r="S26" i="46"/>
  <c r="O26" i="46"/>
  <c r="K26" i="46"/>
  <c r="G26" i="46"/>
  <c r="R26" i="46"/>
  <c r="N26" i="46"/>
  <c r="J26" i="46"/>
  <c r="F26" i="46"/>
  <c r="Q26" i="46"/>
  <c r="M26" i="46"/>
  <c r="I26" i="46"/>
  <c r="E26" i="46"/>
  <c r="D26" i="46"/>
  <c r="P26" i="46"/>
  <c r="L26" i="46"/>
  <c r="I31" i="46"/>
  <c r="J31" i="46" s="1"/>
  <c r="D16" i="46"/>
  <c r="D17" i="46"/>
  <c r="D18" i="46"/>
  <c r="I93" i="48" l="1"/>
  <c r="I95" i="48" s="1"/>
  <c r="J59" i="48"/>
  <c r="D46" i="48"/>
  <c r="D43" i="48"/>
  <c r="E46" i="48"/>
  <c r="F79" i="48"/>
  <c r="D49" i="48"/>
  <c r="E48" i="48"/>
  <c r="G76" i="48"/>
  <c r="F46" i="48"/>
  <c r="G45" i="48"/>
  <c r="E82" i="48"/>
  <c r="E43" i="48"/>
  <c r="F42" i="48"/>
  <c r="C77" i="48"/>
  <c r="D74" i="48"/>
  <c r="C80" i="48"/>
  <c r="K33" i="48"/>
  <c r="J28" i="48"/>
  <c r="K32" i="48" s="1"/>
  <c r="I118" i="48"/>
  <c r="E19" i="46"/>
  <c r="K31" i="46"/>
  <c r="F19" i="46"/>
  <c r="F18" i="46"/>
  <c r="F17" i="46"/>
  <c r="F16" i="46"/>
  <c r="J93" i="48" l="1"/>
  <c r="J95" i="48" s="1"/>
  <c r="J62" i="48"/>
  <c r="K59" i="48"/>
  <c r="F43" i="48"/>
  <c r="G42" i="48"/>
  <c r="H45" i="48"/>
  <c r="G46" i="48"/>
  <c r="H76" i="48"/>
  <c r="D77" i="48"/>
  <c r="E74" i="48"/>
  <c r="D80" i="48"/>
  <c r="L33" i="48"/>
  <c r="K28" i="48"/>
  <c r="L32" i="48" s="1"/>
  <c r="E83" i="48"/>
  <c r="F82" i="48"/>
  <c r="E124" i="48"/>
  <c r="E125" i="48" s="1"/>
  <c r="E49" i="48"/>
  <c r="F48" i="48"/>
  <c r="G79" i="48"/>
  <c r="D83" i="48"/>
  <c r="E126" i="48"/>
  <c r="E16" i="46"/>
  <c r="E17" i="46"/>
  <c r="E18" i="46"/>
  <c r="L31" i="46"/>
  <c r="G19" i="46"/>
  <c r="G27" i="46" s="1"/>
  <c r="G18" i="46"/>
  <c r="G17" i="46"/>
  <c r="G16" i="46"/>
  <c r="K93" i="48" l="1"/>
  <c r="K62" i="48"/>
  <c r="L59" i="48"/>
  <c r="F49" i="48"/>
  <c r="G48" i="48"/>
  <c r="F74" i="48"/>
  <c r="F83" i="48" s="1"/>
  <c r="E77" i="48"/>
  <c r="E80" i="48"/>
  <c r="I76" i="48"/>
  <c r="G43" i="48"/>
  <c r="H42" i="48"/>
  <c r="H79" i="48"/>
  <c r="M33" i="48"/>
  <c r="L28" i="48"/>
  <c r="M32" i="48" s="1"/>
  <c r="G82" i="48"/>
  <c r="I45" i="48"/>
  <c r="H46" i="48"/>
  <c r="H19" i="46"/>
  <c r="H27" i="46" s="1"/>
  <c r="H34" i="46" s="1"/>
  <c r="H37" i="46" s="1"/>
  <c r="H18" i="46"/>
  <c r="H17" i="46"/>
  <c r="H16" i="46"/>
  <c r="M31" i="46"/>
  <c r="L93" i="48" l="1"/>
  <c r="K95" i="48"/>
  <c r="L62" i="48"/>
  <c r="M59" i="48"/>
  <c r="I79" i="48"/>
  <c r="J76" i="48"/>
  <c r="G74" i="48"/>
  <c r="F77" i="48"/>
  <c r="F80" i="48"/>
  <c r="G49" i="48"/>
  <c r="H48" i="48"/>
  <c r="I46" i="48"/>
  <c r="J45" i="48"/>
  <c r="H82" i="48"/>
  <c r="N33" i="48"/>
  <c r="M28" i="48"/>
  <c r="N32" i="48" s="1"/>
  <c r="H43" i="48"/>
  <c r="I42" i="48"/>
  <c r="N31" i="46"/>
  <c r="I19" i="46"/>
  <c r="I27" i="46" s="1"/>
  <c r="I34" i="46" s="1"/>
  <c r="I37" i="46" s="1"/>
  <c r="I18" i="46"/>
  <c r="I17" i="46"/>
  <c r="I16" i="46"/>
  <c r="L95" i="48" l="1"/>
  <c r="M93" i="48"/>
  <c r="M62" i="48"/>
  <c r="N59" i="48"/>
  <c r="O33" i="48"/>
  <c r="N28" i="48"/>
  <c r="O32" i="48" s="1"/>
  <c r="J46" i="48"/>
  <c r="K45" i="48"/>
  <c r="I43" i="48"/>
  <c r="J42" i="48"/>
  <c r="J79" i="48"/>
  <c r="H52" i="48"/>
  <c r="H65" i="48" s="1"/>
  <c r="H53" i="48"/>
  <c r="H66" i="48" s="1"/>
  <c r="I82" i="48"/>
  <c r="H49" i="48"/>
  <c r="H54" i="48" s="1"/>
  <c r="I48" i="48"/>
  <c r="H74" i="48"/>
  <c r="G77" i="48"/>
  <c r="G80" i="48"/>
  <c r="G83" i="48"/>
  <c r="K76" i="48"/>
  <c r="O31" i="46"/>
  <c r="J19" i="46"/>
  <c r="J27" i="46" s="1"/>
  <c r="J34" i="46" s="1"/>
  <c r="J37" i="46" s="1"/>
  <c r="J18" i="46"/>
  <c r="J17" i="46"/>
  <c r="J16" i="46"/>
  <c r="M95" i="48" l="1"/>
  <c r="N93" i="48"/>
  <c r="N62" i="48"/>
  <c r="O59" i="48"/>
  <c r="I49" i="48"/>
  <c r="I54" i="48" s="1"/>
  <c r="J48" i="48"/>
  <c r="K79" i="48"/>
  <c r="K46" i="48"/>
  <c r="L45" i="48"/>
  <c r="H67" i="48"/>
  <c r="H69" i="48" s="1"/>
  <c r="H109" i="48" s="1"/>
  <c r="H56" i="48"/>
  <c r="J82" i="48"/>
  <c r="J43" i="48"/>
  <c r="K42" i="48"/>
  <c r="L76" i="48"/>
  <c r="I74" i="48"/>
  <c r="H77" i="48"/>
  <c r="H80" i="48"/>
  <c r="H83" i="48"/>
  <c r="H88" i="48" s="1"/>
  <c r="I53" i="48"/>
  <c r="I66" i="48" s="1"/>
  <c r="I52" i="48"/>
  <c r="I65" i="48" s="1"/>
  <c r="P33" i="48"/>
  <c r="O28" i="48"/>
  <c r="P32" i="48" s="1"/>
  <c r="K19" i="46"/>
  <c r="K27" i="46" s="1"/>
  <c r="K34" i="46" s="1"/>
  <c r="K37" i="46" s="1"/>
  <c r="K18" i="46"/>
  <c r="K17" i="46"/>
  <c r="K16" i="46"/>
  <c r="P31" i="46"/>
  <c r="CO108" i="1" l="1"/>
  <c r="O93" i="48"/>
  <c r="N95" i="48"/>
  <c r="O62" i="48"/>
  <c r="P59" i="48"/>
  <c r="H100" i="48"/>
  <c r="M76" i="48"/>
  <c r="Q33" i="48"/>
  <c r="P28" i="48"/>
  <c r="Q32" i="48" s="1"/>
  <c r="I56" i="48"/>
  <c r="I67" i="48"/>
  <c r="I69" i="48" s="1"/>
  <c r="I109" i="48" s="1"/>
  <c r="H87" i="48"/>
  <c r="H99" i="48" s="1"/>
  <c r="H86" i="48"/>
  <c r="H98" i="48" s="1"/>
  <c r="K43" i="48"/>
  <c r="L42" i="48"/>
  <c r="K82" i="48"/>
  <c r="L79" i="48"/>
  <c r="J74" i="48"/>
  <c r="I77" i="48"/>
  <c r="I80" i="48"/>
  <c r="J53" i="48"/>
  <c r="J66" i="48" s="1"/>
  <c r="J52" i="48"/>
  <c r="J65" i="48" s="1"/>
  <c r="I83" i="48"/>
  <c r="I88" i="48" s="1"/>
  <c r="M45" i="48"/>
  <c r="L46" i="48"/>
  <c r="J49" i="48"/>
  <c r="J54" i="48" s="1"/>
  <c r="K48" i="48"/>
  <c r="L19" i="46"/>
  <c r="L27" i="46" s="1"/>
  <c r="L34" i="46" s="1"/>
  <c r="L37" i="46" s="1"/>
  <c r="L18" i="46"/>
  <c r="L17" i="46"/>
  <c r="L16" i="46"/>
  <c r="Q31" i="46"/>
  <c r="CT108" i="1" l="1"/>
  <c r="O95" i="48"/>
  <c r="P93" i="48"/>
  <c r="H102" i="48"/>
  <c r="Q59" i="48"/>
  <c r="P62" i="48"/>
  <c r="J56" i="48"/>
  <c r="J67" i="48"/>
  <c r="J69" i="48" s="1"/>
  <c r="J109" i="48" s="1"/>
  <c r="M79" i="48"/>
  <c r="L43" i="48"/>
  <c r="M42" i="48"/>
  <c r="R33" i="48"/>
  <c r="Q28" i="48"/>
  <c r="R32" i="48" s="1"/>
  <c r="H90" i="48"/>
  <c r="I100" i="48"/>
  <c r="I86" i="48"/>
  <c r="I98" i="48" s="1"/>
  <c r="I87" i="48"/>
  <c r="I99" i="48" s="1"/>
  <c r="K53" i="48"/>
  <c r="K66" i="48" s="1"/>
  <c r="K52" i="48"/>
  <c r="K65" i="48" s="1"/>
  <c r="N76" i="48"/>
  <c r="M46" i="48"/>
  <c r="N45" i="48"/>
  <c r="K74" i="48"/>
  <c r="K83" i="48" s="1"/>
  <c r="K88" i="48" s="1"/>
  <c r="J77" i="48"/>
  <c r="J80" i="48"/>
  <c r="L82" i="48"/>
  <c r="K49" i="48"/>
  <c r="K54" i="48" s="1"/>
  <c r="L48" i="48"/>
  <c r="J83" i="48"/>
  <c r="J88" i="48" s="1"/>
  <c r="M19" i="46"/>
  <c r="M27" i="46" s="1"/>
  <c r="M34" i="46" s="1"/>
  <c r="M37" i="46" s="1"/>
  <c r="M18" i="46"/>
  <c r="M17" i="46"/>
  <c r="M16" i="46"/>
  <c r="R31" i="46"/>
  <c r="CY108" i="1" l="1"/>
  <c r="H110" i="48"/>
  <c r="CO109" i="1" s="1"/>
  <c r="H104" i="48"/>
  <c r="H106" i="48" s="1"/>
  <c r="P95" i="48"/>
  <c r="Q93" i="48"/>
  <c r="Q62" i="48"/>
  <c r="R59" i="48"/>
  <c r="I102" i="48"/>
  <c r="K100" i="48"/>
  <c r="M82" i="48"/>
  <c r="L53" i="48"/>
  <c r="L66" i="48" s="1"/>
  <c r="L52" i="48"/>
  <c r="L65" i="48" s="1"/>
  <c r="J100" i="48"/>
  <c r="K56" i="48"/>
  <c r="K67" i="48"/>
  <c r="K69" i="48" s="1"/>
  <c r="K109" i="48" s="1"/>
  <c r="N46" i="48"/>
  <c r="O45" i="48"/>
  <c r="S33" i="48"/>
  <c r="S28" i="48"/>
  <c r="R28" i="48"/>
  <c r="S32" i="48" s="1"/>
  <c r="N79" i="48"/>
  <c r="L49" i="48"/>
  <c r="L54" i="48" s="1"/>
  <c r="M48" i="48"/>
  <c r="I90" i="48"/>
  <c r="L74" i="48"/>
  <c r="K77" i="48"/>
  <c r="K80" i="48"/>
  <c r="J87" i="48"/>
  <c r="J99" i="48" s="1"/>
  <c r="J86" i="48"/>
  <c r="J98" i="48" s="1"/>
  <c r="O76" i="48"/>
  <c r="M43" i="48"/>
  <c r="N42" i="48"/>
  <c r="N19" i="46"/>
  <c r="N27" i="46" s="1"/>
  <c r="N34" i="46" s="1"/>
  <c r="N37" i="46" s="1"/>
  <c r="N18" i="46"/>
  <c r="N17" i="46"/>
  <c r="N16" i="46"/>
  <c r="S31" i="46"/>
  <c r="I104" i="48" l="1"/>
  <c r="I106" i="48" s="1"/>
  <c r="I110" i="48"/>
  <c r="CT109" i="1" s="1"/>
  <c r="DD108" i="1"/>
  <c r="CJ107" i="1"/>
  <c r="H111" i="48"/>
  <c r="Q95" i="48"/>
  <c r="R93" i="48"/>
  <c r="R62" i="48"/>
  <c r="S59" i="48"/>
  <c r="S62" i="48" s="1"/>
  <c r="J90" i="48"/>
  <c r="J102" i="48"/>
  <c r="M74" i="48"/>
  <c r="M83" i="48" s="1"/>
  <c r="M88" i="48" s="1"/>
  <c r="L77" i="48"/>
  <c r="L80" i="48"/>
  <c r="O79" i="48"/>
  <c r="M52" i="48"/>
  <c r="M65" i="48" s="1"/>
  <c r="M53" i="48"/>
  <c r="M66" i="48" s="1"/>
  <c r="K87" i="48"/>
  <c r="K86" i="48"/>
  <c r="K98" i="48" s="1"/>
  <c r="M49" i="48"/>
  <c r="M54" i="48" s="1"/>
  <c r="N48" i="48"/>
  <c r="O46" i="48"/>
  <c r="P45" i="48"/>
  <c r="N82" i="48"/>
  <c r="L56" i="48"/>
  <c r="L67" i="48"/>
  <c r="L69" i="48" s="1"/>
  <c r="L109" i="48" s="1"/>
  <c r="L83" i="48"/>
  <c r="L88" i="48" s="1"/>
  <c r="P76" i="48"/>
  <c r="N43" i="48"/>
  <c r="O42" i="48"/>
  <c r="O19" i="46"/>
  <c r="O27" i="46" s="1"/>
  <c r="O34" i="46" s="1"/>
  <c r="O37" i="46" s="1"/>
  <c r="O18" i="46"/>
  <c r="O17" i="46"/>
  <c r="O16" i="46"/>
  <c r="CJ189" i="1" l="1"/>
  <c r="CI189" i="1" s="1"/>
  <c r="J104" i="48"/>
  <c r="J106" i="48" s="1"/>
  <c r="J110" i="48"/>
  <c r="CY109" i="1" s="1"/>
  <c r="CO107" i="1"/>
  <c r="CO189" i="1" s="1"/>
  <c r="I111" i="48"/>
  <c r="DI108" i="1"/>
  <c r="S93" i="48"/>
  <c r="S95" i="48" s="1"/>
  <c r="R95" i="48"/>
  <c r="Q76" i="48"/>
  <c r="P46" i="48"/>
  <c r="Q45" i="48"/>
  <c r="K99" i="48"/>
  <c r="K102" i="48" s="1"/>
  <c r="K90" i="48"/>
  <c r="O43" i="48"/>
  <c r="P42" i="48"/>
  <c r="O82" i="48"/>
  <c r="N49" i="48"/>
  <c r="N54" i="48" s="1"/>
  <c r="O48" i="48"/>
  <c r="L87" i="48"/>
  <c r="L99" i="48" s="1"/>
  <c r="L86" i="48"/>
  <c r="L98" i="48" s="1"/>
  <c r="N53" i="48"/>
  <c r="N66" i="48" s="1"/>
  <c r="N52" i="48"/>
  <c r="N65" i="48" s="1"/>
  <c r="L100" i="48"/>
  <c r="M100" i="48"/>
  <c r="M56" i="48"/>
  <c r="M67" i="48"/>
  <c r="M69" i="48" s="1"/>
  <c r="M109" i="48" s="1"/>
  <c r="P79" i="48"/>
  <c r="N74" i="48"/>
  <c r="M77" i="48"/>
  <c r="M80" i="48"/>
  <c r="P19" i="46"/>
  <c r="P27" i="46" s="1"/>
  <c r="P34" i="46" s="1"/>
  <c r="P37" i="46" s="1"/>
  <c r="P18" i="46"/>
  <c r="P17" i="46"/>
  <c r="P16" i="46"/>
  <c r="DN108" i="1" l="1"/>
  <c r="K104" i="48"/>
  <c r="K106" i="48" s="1"/>
  <c r="K110" i="48"/>
  <c r="DD109" i="1" s="1"/>
  <c r="CT107" i="1"/>
  <c r="CT189" i="1" s="1"/>
  <c r="J111" i="48"/>
  <c r="L102" i="48"/>
  <c r="M87" i="48"/>
  <c r="M86" i="48"/>
  <c r="M98" i="48" s="1"/>
  <c r="O49" i="48"/>
  <c r="O54" i="48" s="1"/>
  <c r="P48" i="48"/>
  <c r="P43" i="48"/>
  <c r="Q42" i="48"/>
  <c r="Q46" i="48"/>
  <c r="R45" i="48"/>
  <c r="O53" i="48"/>
  <c r="O66" i="48" s="1"/>
  <c r="O52" i="48"/>
  <c r="O65" i="48" s="1"/>
  <c r="Q79" i="48"/>
  <c r="L90" i="48"/>
  <c r="P82" i="48"/>
  <c r="R76" i="48"/>
  <c r="O74" i="48"/>
  <c r="O83" i="48" s="1"/>
  <c r="O88" i="48" s="1"/>
  <c r="N77" i="48"/>
  <c r="N80" i="48"/>
  <c r="N56" i="48"/>
  <c r="N67" i="48"/>
  <c r="N69" i="48" s="1"/>
  <c r="N109" i="48" s="1"/>
  <c r="N83" i="48"/>
  <c r="N88" i="48" s="1"/>
  <c r="Q19" i="46"/>
  <c r="Q27" i="46" s="1"/>
  <c r="Q34" i="46" s="1"/>
  <c r="Q37" i="46" s="1"/>
  <c r="Q18" i="46"/>
  <c r="Q17" i="46"/>
  <c r="Q16" i="46"/>
  <c r="CY107" i="1" l="1"/>
  <c r="CY189" i="1" s="1"/>
  <c r="K111" i="48"/>
  <c r="DS108" i="1"/>
  <c r="L104" i="48"/>
  <c r="L106" i="48" s="1"/>
  <c r="L110" i="48"/>
  <c r="DI109" i="1" s="1"/>
  <c r="N100" i="48"/>
  <c r="R79" i="48"/>
  <c r="R46" i="48"/>
  <c r="S45" i="48"/>
  <c r="S46" i="48" s="1"/>
  <c r="P49" i="48"/>
  <c r="P54" i="48" s="1"/>
  <c r="Q48" i="48"/>
  <c r="O56" i="48"/>
  <c r="O67" i="48"/>
  <c r="O69" i="48" s="1"/>
  <c r="O109" i="48" s="1"/>
  <c r="Q82" i="48"/>
  <c r="O100" i="48"/>
  <c r="N86" i="48"/>
  <c r="N98" i="48" s="1"/>
  <c r="N87" i="48"/>
  <c r="N99" i="48" s="1"/>
  <c r="P74" i="48"/>
  <c r="P83" i="48" s="1"/>
  <c r="P88" i="48" s="1"/>
  <c r="O77" i="48"/>
  <c r="O80" i="48"/>
  <c r="Q43" i="48"/>
  <c r="R42" i="48"/>
  <c r="S76" i="48"/>
  <c r="P53" i="48"/>
  <c r="P66" i="48" s="1"/>
  <c r="P52" i="48"/>
  <c r="P65" i="48" s="1"/>
  <c r="M99" i="48"/>
  <c r="M102" i="48" s="1"/>
  <c r="M90" i="48"/>
  <c r="S19" i="46"/>
  <c r="S27" i="46" s="1"/>
  <c r="S34" i="46" s="1"/>
  <c r="S37" i="46" s="1"/>
  <c r="S18" i="46"/>
  <c r="S17" i="46"/>
  <c r="S16" i="46"/>
  <c r="R19" i="46"/>
  <c r="R27" i="46" s="1"/>
  <c r="R34" i="46" s="1"/>
  <c r="R37" i="46" s="1"/>
  <c r="R18" i="46"/>
  <c r="R17" i="46"/>
  <c r="R16" i="46"/>
  <c r="DX108" i="1" l="1"/>
  <c r="DD107" i="1"/>
  <c r="DD189" i="1" s="1"/>
  <c r="L111" i="48"/>
  <c r="M104" i="48"/>
  <c r="M106" i="48" s="1"/>
  <c r="M110" i="48"/>
  <c r="DN109" i="1" s="1"/>
  <c r="N102" i="48"/>
  <c r="O87" i="48"/>
  <c r="O86" i="48"/>
  <c r="O98" i="48" s="1"/>
  <c r="R82" i="48"/>
  <c r="Q49" i="48"/>
  <c r="Q54" i="48" s="1"/>
  <c r="R48" i="48"/>
  <c r="S79" i="48"/>
  <c r="P100" i="48"/>
  <c r="P56" i="48"/>
  <c r="P67" i="48"/>
  <c r="P69" i="48" s="1"/>
  <c r="P109" i="48" s="1"/>
  <c r="R43" i="48"/>
  <c r="S42" i="48"/>
  <c r="S43" i="48" s="1"/>
  <c r="Q53" i="48"/>
  <c r="Q66" i="48" s="1"/>
  <c r="Q52" i="48"/>
  <c r="Q65" i="48" s="1"/>
  <c r="Q74" i="48"/>
  <c r="Q83" i="48" s="1"/>
  <c r="Q88" i="48" s="1"/>
  <c r="P77" i="48"/>
  <c r="P80" i="48"/>
  <c r="N90" i="48"/>
  <c r="EC108" i="1" l="1"/>
  <c r="N104" i="48"/>
  <c r="N106" i="48" s="1"/>
  <c r="N110" i="48"/>
  <c r="DS109" i="1" s="1"/>
  <c r="DI107" i="1"/>
  <c r="DI189" i="1" s="1"/>
  <c r="M111" i="48"/>
  <c r="Q100" i="48"/>
  <c r="P87" i="48"/>
  <c r="P86" i="48"/>
  <c r="P98" i="48" s="1"/>
  <c r="R74" i="48"/>
  <c r="Q77" i="48"/>
  <c r="Q80" i="48"/>
  <c r="S53" i="48"/>
  <c r="S66" i="48" s="1"/>
  <c r="S52" i="48"/>
  <c r="S65" i="48" s="1"/>
  <c r="R49" i="48"/>
  <c r="R54" i="48" s="1"/>
  <c r="S48" i="48"/>
  <c r="S49" i="48" s="1"/>
  <c r="S54" i="48" s="1"/>
  <c r="R52" i="48"/>
  <c r="R65" i="48" s="1"/>
  <c r="R53" i="48"/>
  <c r="R66" i="48" s="1"/>
  <c r="Q56" i="48"/>
  <c r="Q67" i="48"/>
  <c r="Q69" i="48" s="1"/>
  <c r="Q109" i="48" s="1"/>
  <c r="O99" i="48"/>
  <c r="O102" i="48" s="1"/>
  <c r="O90" i="48"/>
  <c r="R83" i="48"/>
  <c r="R88" i="48" s="1"/>
  <c r="S82" i="48"/>
  <c r="O104" i="48" l="1"/>
  <c r="O106" i="48" s="1"/>
  <c r="O110" i="48"/>
  <c r="DX109" i="1" s="1"/>
  <c r="EH108" i="1"/>
  <c r="DN107" i="1"/>
  <c r="DN189" i="1" s="1"/>
  <c r="N111" i="48"/>
  <c r="S56" i="48"/>
  <c r="S57" i="48" s="1"/>
  <c r="S67" i="48"/>
  <c r="S69" i="48" s="1"/>
  <c r="S109" i="48" s="1"/>
  <c r="P99" i="48"/>
  <c r="P102" i="48" s="1"/>
  <c r="P90" i="48"/>
  <c r="R56" i="48"/>
  <c r="R67" i="48"/>
  <c r="R69" i="48" s="1"/>
  <c r="R109" i="48" s="1"/>
  <c r="Q86" i="48"/>
  <c r="Q98" i="48" s="1"/>
  <c r="Q87" i="48"/>
  <c r="R100" i="48"/>
  <c r="S74" i="48"/>
  <c r="R77" i="48"/>
  <c r="R80" i="48"/>
  <c r="P104" i="48" l="1"/>
  <c r="P106" i="48" s="1"/>
  <c r="P110" i="48"/>
  <c r="EC109" i="1" s="1"/>
  <c r="DS107" i="1"/>
  <c r="DS189" i="1" s="1"/>
  <c r="O111" i="48"/>
  <c r="EM108" i="1"/>
  <c r="ER108" i="1"/>
  <c r="R87" i="48"/>
  <c r="R86" i="48"/>
  <c r="R98" i="48" s="1"/>
  <c r="S77" i="48"/>
  <c r="S80" i="48"/>
  <c r="Q99" i="48"/>
  <c r="Q102" i="48" s="1"/>
  <c r="Q90" i="48"/>
  <c r="S83" i="48"/>
  <c r="S88" i="48" s="1"/>
  <c r="DX107" i="1" l="1"/>
  <c r="DX189" i="1" s="1"/>
  <c r="P111" i="48"/>
  <c r="Q104" i="48"/>
  <c r="Q106" i="48" s="1"/>
  <c r="Q110" i="48"/>
  <c r="EH109" i="1" s="1"/>
  <c r="S87" i="48"/>
  <c r="S99" i="48" s="1"/>
  <c r="S86" i="48"/>
  <c r="S98" i="48" s="1"/>
  <c r="S100" i="48"/>
  <c r="R99" i="48"/>
  <c r="R102" i="48" s="1"/>
  <c r="R90" i="48"/>
  <c r="R104" i="48" l="1"/>
  <c r="R106" i="48" s="1"/>
  <c r="R110" i="48"/>
  <c r="EM109" i="1" s="1"/>
  <c r="EC107" i="1"/>
  <c r="EC189" i="1" s="1"/>
  <c r="Q111" i="48"/>
  <c r="S90" i="48"/>
  <c r="S102" i="48"/>
  <c r="S104" i="48" l="1"/>
  <c r="S106" i="48" s="1"/>
  <c r="S110" i="48"/>
  <c r="ER109" i="1" s="1"/>
  <c r="ER107" i="1" s="1"/>
  <c r="ER189" i="1" s="1"/>
  <c r="EH107" i="1"/>
  <c r="EH189" i="1" s="1"/>
  <c r="R111" i="48"/>
  <c r="EM107" i="1" l="1"/>
  <c r="EM189" i="1" s="1"/>
  <c r="S111" i="48"/>
  <c r="S184" i="14" l="1"/>
  <c r="T145" i="14"/>
  <c r="U145" i="14" s="1"/>
  <c r="W74" i="14"/>
  <c r="X74" i="14"/>
  <c r="Y74" i="14"/>
  <c r="Z74" i="14"/>
  <c r="AA74" i="14"/>
  <c r="AB74" i="14"/>
  <c r="AC74" i="14"/>
  <c r="AD74" i="14"/>
  <c r="AE74" i="14"/>
  <c r="AF74" i="14"/>
  <c r="S74" i="14"/>
  <c r="T179" i="14"/>
  <c r="T14" i="14"/>
  <c r="T16" i="14"/>
  <c r="T73" i="14" s="1"/>
  <c r="T17" i="14"/>
  <c r="T184" i="14" s="1"/>
  <c r="T183" i="14"/>
  <c r="S183" i="14"/>
  <c r="S181" i="14"/>
  <c r="S179" i="14"/>
  <c r="U69" i="14"/>
  <c r="V69" i="14"/>
  <c r="W69" i="14"/>
  <c r="X69" i="14"/>
  <c r="Y69" i="14"/>
  <c r="Z69" i="14"/>
  <c r="AA69" i="14"/>
  <c r="AB69" i="14"/>
  <c r="AC69" i="14"/>
  <c r="AD69" i="14"/>
  <c r="AE69" i="14"/>
  <c r="AF69" i="14"/>
  <c r="W71" i="14"/>
  <c r="X71" i="14"/>
  <c r="Y71" i="14"/>
  <c r="Z71" i="14"/>
  <c r="AA71" i="14"/>
  <c r="AB71" i="14"/>
  <c r="AC71" i="14"/>
  <c r="AD71" i="14"/>
  <c r="AE71" i="14"/>
  <c r="AF71" i="14"/>
  <c r="W73" i="14"/>
  <c r="X73" i="14"/>
  <c r="Y73" i="14"/>
  <c r="Z73" i="14"/>
  <c r="AA73" i="14"/>
  <c r="AB73" i="14"/>
  <c r="AC73" i="14"/>
  <c r="AD73" i="14"/>
  <c r="AE73" i="14"/>
  <c r="AF73" i="14"/>
  <c r="S73" i="14"/>
  <c r="T69" i="14"/>
  <c r="S71" i="14"/>
  <c r="S69" i="14"/>
  <c r="Q72" i="14"/>
  <c r="T181" i="14" l="1"/>
  <c r="T74" i="14"/>
  <c r="U71" i="14"/>
  <c r="U181" i="14"/>
  <c r="V71" i="14"/>
  <c r="T71" i="14"/>
  <c r="CO103" i="1"/>
  <c r="CO102" i="1" s="1"/>
  <c r="CO188" i="1" s="1"/>
  <c r="CJ103" i="1"/>
  <c r="CJ102" i="1" s="1"/>
  <c r="CJ188" i="1" s="1"/>
  <c r="Y34" i="40"/>
  <c r="X34" i="40"/>
  <c r="W34" i="40"/>
  <c r="V34" i="40"/>
  <c r="U34" i="40"/>
  <c r="T34" i="40"/>
  <c r="S34" i="40"/>
  <c r="R34" i="40"/>
  <c r="Q34" i="40"/>
  <c r="P34" i="40"/>
  <c r="O34" i="40"/>
  <c r="N34" i="40"/>
  <c r="M34" i="40"/>
  <c r="M35" i="40" s="1"/>
  <c r="M39" i="41"/>
  <c r="N39" i="41"/>
  <c r="O40" i="41"/>
  <c r="N37" i="41"/>
  <c r="N38" i="41" s="1"/>
  <c r="O37" i="41"/>
  <c r="O38" i="41" s="1"/>
  <c r="P37" i="41"/>
  <c r="P38" i="41" s="1"/>
  <c r="Q37" i="41"/>
  <c r="Q38" i="41" s="1"/>
  <c r="R37" i="41"/>
  <c r="R38" i="41" s="1"/>
  <c r="S37" i="41"/>
  <c r="S38" i="41" s="1"/>
  <c r="T37" i="41"/>
  <c r="T38" i="41" s="1"/>
  <c r="U37" i="41"/>
  <c r="U38" i="41" s="1"/>
  <c r="V37" i="41"/>
  <c r="V38" i="41" s="1"/>
  <c r="W37" i="41"/>
  <c r="W38" i="41" s="1"/>
  <c r="X37" i="41"/>
  <c r="X38" i="41" s="1"/>
  <c r="Y37" i="41"/>
  <c r="Y38" i="41" s="1"/>
  <c r="M37" i="41"/>
  <c r="M38" i="41" s="1"/>
  <c r="M56" i="42"/>
  <c r="N56" i="42"/>
  <c r="O56" i="42"/>
  <c r="P56" i="42"/>
  <c r="Q56" i="42"/>
  <c r="R56" i="42"/>
  <c r="S56" i="42"/>
  <c r="T56" i="42"/>
  <c r="U56" i="42"/>
  <c r="V56" i="42"/>
  <c r="W56" i="42"/>
  <c r="X56" i="42"/>
  <c r="Y56" i="42"/>
  <c r="L56" i="42"/>
  <c r="M40" i="42"/>
  <c r="N40" i="42"/>
  <c r="O40" i="42"/>
  <c r="P40" i="42"/>
  <c r="Q40" i="42"/>
  <c r="R40" i="42"/>
  <c r="S40" i="42"/>
  <c r="T40" i="42"/>
  <c r="U40" i="42"/>
  <c r="V40" i="42"/>
  <c r="W40" i="42"/>
  <c r="X40" i="42"/>
  <c r="Y40" i="42"/>
  <c r="L40" i="42"/>
  <c r="L41" i="42" s="1"/>
  <c r="M34" i="44"/>
  <c r="M35" i="44" s="1"/>
  <c r="N34" i="44"/>
  <c r="O34" i="44"/>
  <c r="P34" i="44"/>
  <c r="Q34" i="44"/>
  <c r="R34" i="44"/>
  <c r="S34" i="44"/>
  <c r="T34" i="44"/>
  <c r="U34" i="44"/>
  <c r="V34" i="44"/>
  <c r="W34" i="44"/>
  <c r="X34" i="44"/>
  <c r="Y34" i="44"/>
  <c r="Y35" i="44" s="1"/>
  <c r="U183" i="14" l="1"/>
  <c r="U73" i="14"/>
  <c r="V73" i="14"/>
  <c r="U184" i="14"/>
  <c r="U74" i="14"/>
  <c r="V74" i="14"/>
  <c r="X41" i="42"/>
  <c r="Y41" i="42"/>
  <c r="U41" i="42"/>
  <c r="Q41" i="42"/>
  <c r="M41" i="42"/>
  <c r="P41" i="42"/>
  <c r="T41" i="42"/>
  <c r="W41" i="42"/>
  <c r="S41" i="42"/>
  <c r="O41" i="42"/>
  <c r="V41" i="42"/>
  <c r="R41" i="42"/>
  <c r="N41" i="42"/>
  <c r="U57" i="42"/>
  <c r="X57" i="42"/>
  <c r="T57" i="42"/>
  <c r="P57" i="42"/>
  <c r="W57" i="42"/>
  <c r="S57" i="42"/>
  <c r="O57" i="42"/>
  <c r="Y57" i="42"/>
  <c r="V57" i="42"/>
  <c r="R57" i="42"/>
  <c r="Q57" i="42"/>
  <c r="N57" i="42"/>
  <c r="M57" i="42"/>
  <c r="O39" i="41"/>
  <c r="P40" i="41"/>
  <c r="P39" i="41" l="1"/>
  <c r="Q40" i="41"/>
  <c r="C2" i="45"/>
  <c r="I21" i="45" s="1"/>
  <c r="I22" i="45" s="1"/>
  <c r="J29" i="45"/>
  <c r="K29" i="45" s="1"/>
  <c r="L29" i="45" s="1"/>
  <c r="M29" i="45" s="1"/>
  <c r="N29" i="45" s="1"/>
  <c r="O29" i="45" s="1"/>
  <c r="P29" i="45" s="1"/>
  <c r="Q29" i="45" s="1"/>
  <c r="R29" i="45" s="1"/>
  <c r="S29" i="45" s="1"/>
  <c r="I12" i="45"/>
  <c r="D12" i="45"/>
  <c r="D11" i="45"/>
  <c r="I10" i="45"/>
  <c r="D10" i="45"/>
  <c r="D6" i="45"/>
  <c r="E6" i="45" s="1"/>
  <c r="F6" i="45" s="1"/>
  <c r="G6" i="45" s="1"/>
  <c r="H6" i="45" s="1"/>
  <c r="I6" i="45" s="1"/>
  <c r="J6" i="45" s="1"/>
  <c r="K6" i="45" s="1"/>
  <c r="L6" i="45" s="1"/>
  <c r="M6" i="45" s="1"/>
  <c r="N6" i="45" s="1"/>
  <c r="O6" i="45" s="1"/>
  <c r="P6" i="45" s="1"/>
  <c r="Q6" i="45" s="1"/>
  <c r="R6" i="45" s="1"/>
  <c r="S6" i="45" s="1"/>
  <c r="P39" i="44"/>
  <c r="N35" i="44" s="1"/>
  <c r="Q39" i="44"/>
  <c r="R39" i="44"/>
  <c r="P35" i="44" s="1"/>
  <c r="S39" i="44"/>
  <c r="Q35" i="44" s="1"/>
  <c r="T39" i="44"/>
  <c r="R35" i="44" s="1"/>
  <c r="U39" i="44"/>
  <c r="V39" i="44"/>
  <c r="T35" i="44" s="1"/>
  <c r="W39" i="44"/>
  <c r="U35" i="44" s="1"/>
  <c r="X39" i="44"/>
  <c r="V35" i="44" s="1"/>
  <c r="Y39" i="44"/>
  <c r="O39" i="44"/>
  <c r="G50" i="44"/>
  <c r="H50" i="44" s="1"/>
  <c r="I50" i="44" s="1"/>
  <c r="J50" i="44" s="1"/>
  <c r="K50" i="44" s="1"/>
  <c r="L50" i="44" s="1"/>
  <c r="M50" i="44" s="1"/>
  <c r="N50" i="44" s="1"/>
  <c r="O50" i="44" s="1"/>
  <c r="P50" i="44" s="1"/>
  <c r="Q50" i="44" s="1"/>
  <c r="R50" i="44" s="1"/>
  <c r="S50" i="44" s="1"/>
  <c r="T50" i="44" s="1"/>
  <c r="U50" i="44" s="1"/>
  <c r="V50" i="44" s="1"/>
  <c r="W50" i="44" s="1"/>
  <c r="X50" i="44" s="1"/>
  <c r="Y50" i="44" s="1"/>
  <c r="X37" i="44"/>
  <c r="X35" i="44" s="1"/>
  <c r="W36" i="44"/>
  <c r="V36" i="44"/>
  <c r="U36" i="44"/>
  <c r="T36" i="44"/>
  <c r="S36" i="44"/>
  <c r="R36" i="44"/>
  <c r="Q36" i="44"/>
  <c r="P36" i="44"/>
  <c r="O36" i="44"/>
  <c r="N36" i="44"/>
  <c r="M36" i="44"/>
  <c r="G20" i="44"/>
  <c r="G25" i="44" s="1"/>
  <c r="F20" i="44"/>
  <c r="E20" i="44"/>
  <c r="D20" i="44"/>
  <c r="C20" i="44"/>
  <c r="G16" i="44"/>
  <c r="G10" i="44"/>
  <c r="H10" i="44" s="1"/>
  <c r="D7" i="44"/>
  <c r="H5" i="44"/>
  <c r="H6" i="44" s="1"/>
  <c r="H20" i="44" s="1"/>
  <c r="F5" i="44"/>
  <c r="E5" i="44" s="1"/>
  <c r="D5" i="44" s="1"/>
  <c r="D2" i="44"/>
  <c r="E2" i="44" s="1"/>
  <c r="F2" i="44" s="1"/>
  <c r="G2" i="44" s="1"/>
  <c r="H2" i="44" s="1"/>
  <c r="I2" i="44" s="1"/>
  <c r="J2" i="44" s="1"/>
  <c r="K2" i="44" s="1"/>
  <c r="L2" i="44" s="1"/>
  <c r="M2" i="44" s="1"/>
  <c r="N2" i="44" s="1"/>
  <c r="O2" i="44" s="1"/>
  <c r="P2" i="44" s="1"/>
  <c r="Q2" i="44" s="1"/>
  <c r="R2" i="44" s="1"/>
  <c r="S2" i="44" s="1"/>
  <c r="T2" i="44" s="1"/>
  <c r="U2" i="44" s="1"/>
  <c r="V2" i="44" s="1"/>
  <c r="W2" i="44" s="1"/>
  <c r="X2" i="44" s="1"/>
  <c r="Y2" i="44" s="1"/>
  <c r="M39" i="40"/>
  <c r="N42" i="41"/>
  <c r="O42" i="41"/>
  <c r="P42" i="41"/>
  <c r="M42" i="41"/>
  <c r="M44" i="41"/>
  <c r="B92" i="42"/>
  <c r="O63" i="42"/>
  <c r="P63" i="42" s="1"/>
  <c r="Q63" i="42" s="1"/>
  <c r="R63" i="42" s="1"/>
  <c r="S63" i="42" s="1"/>
  <c r="T63" i="42" s="1"/>
  <c r="U63" i="42" s="1"/>
  <c r="V63" i="42" s="1"/>
  <c r="W63" i="42" s="1"/>
  <c r="X63" i="42" s="1"/>
  <c r="Y63" i="42" s="1"/>
  <c r="T58" i="42"/>
  <c r="M47" i="42"/>
  <c r="N63" i="42" s="1"/>
  <c r="R42" i="42"/>
  <c r="I25" i="42"/>
  <c r="I23" i="42"/>
  <c r="I22" i="42"/>
  <c r="J21" i="42"/>
  <c r="I9" i="42"/>
  <c r="I7" i="42"/>
  <c r="I6" i="42"/>
  <c r="J5" i="42"/>
  <c r="H5" i="42"/>
  <c r="D2" i="42"/>
  <c r="E2" i="42" s="1"/>
  <c r="F2" i="42" s="1"/>
  <c r="G2" i="42" s="1"/>
  <c r="H2" i="42" s="1"/>
  <c r="I2" i="42" s="1"/>
  <c r="J2" i="42" s="1"/>
  <c r="K2" i="42" s="1"/>
  <c r="L2" i="42" s="1"/>
  <c r="M2" i="42" s="1"/>
  <c r="N2" i="42" s="1"/>
  <c r="O2" i="42" s="1"/>
  <c r="P2" i="42" s="1"/>
  <c r="Q2" i="42" s="1"/>
  <c r="R2" i="42" s="1"/>
  <c r="S2" i="42" s="1"/>
  <c r="T2" i="42" s="1"/>
  <c r="U2" i="42" s="1"/>
  <c r="V2" i="42" s="1"/>
  <c r="W2" i="42" s="1"/>
  <c r="X2" i="42" s="1"/>
  <c r="Y2" i="42" s="1"/>
  <c r="I78" i="42" l="1"/>
  <c r="J78" i="42" s="1"/>
  <c r="I27" i="42"/>
  <c r="I32" i="42" s="1"/>
  <c r="K21" i="42"/>
  <c r="L21" i="42" s="1"/>
  <c r="G5" i="42"/>
  <c r="K5" i="42"/>
  <c r="I11" i="42"/>
  <c r="I15" i="42" s="1"/>
  <c r="W35" i="44"/>
  <c r="S35" i="44"/>
  <c r="O35" i="44"/>
  <c r="E11" i="45"/>
  <c r="J12" i="45"/>
  <c r="E10" i="45"/>
  <c r="E12" i="45"/>
  <c r="J10" i="45"/>
  <c r="Q39" i="41"/>
  <c r="R40" i="41"/>
  <c r="Q42" i="41"/>
  <c r="U58" i="42"/>
  <c r="S42" i="42"/>
  <c r="M46" i="42"/>
  <c r="J4" i="42"/>
  <c r="J7" i="42" s="1"/>
  <c r="J20" i="42"/>
  <c r="J25" i="42" s="1"/>
  <c r="H6" i="42"/>
  <c r="I77" i="42"/>
  <c r="J77" i="42" s="1"/>
  <c r="K77" i="42" s="1"/>
  <c r="L77" i="42" s="1"/>
  <c r="M77" i="42" s="1"/>
  <c r="N77" i="42" s="1"/>
  <c r="O77" i="42" s="1"/>
  <c r="P77" i="42" s="1"/>
  <c r="Q77" i="42" s="1"/>
  <c r="R77" i="42" s="1"/>
  <c r="S77" i="42" s="1"/>
  <c r="T77" i="42" s="1"/>
  <c r="U77" i="42" s="1"/>
  <c r="V77" i="42" s="1"/>
  <c r="W77" i="42" s="1"/>
  <c r="X77" i="42" s="1"/>
  <c r="Y77" i="42" s="1"/>
  <c r="E4" i="44"/>
  <c r="E7" i="44" s="1"/>
  <c r="F4" i="44" s="1"/>
  <c r="C5" i="44"/>
  <c r="C4" i="44" s="1"/>
  <c r="F10" i="44"/>
  <c r="G21" i="44"/>
  <c r="G23" i="44"/>
  <c r="X36" i="44"/>
  <c r="M41" i="44"/>
  <c r="N41" i="44" s="1"/>
  <c r="O41" i="44" s="1"/>
  <c r="P41" i="44" s="1"/>
  <c r="Q41" i="44" s="1"/>
  <c r="R41" i="44" s="1"/>
  <c r="C9" i="45"/>
  <c r="C15" i="45" s="1"/>
  <c r="C24" i="45" s="1"/>
  <c r="K9" i="45"/>
  <c r="K15" i="45" s="1"/>
  <c r="K24" i="45" s="1"/>
  <c r="D9" i="45"/>
  <c r="D15" i="45" s="1"/>
  <c r="D24" i="45" s="1"/>
  <c r="J9" i="45"/>
  <c r="J15" i="45" s="1"/>
  <c r="I9" i="45"/>
  <c r="I15" i="45" s="1"/>
  <c r="H24" i="44"/>
  <c r="H26" i="44" s="1"/>
  <c r="H25" i="44"/>
  <c r="I10" i="44"/>
  <c r="H9" i="44"/>
  <c r="H16" i="44" s="1"/>
  <c r="I5" i="44"/>
  <c r="G24" i="44"/>
  <c r="G26" i="44" s="1"/>
  <c r="Y37" i="44"/>
  <c r="K78" i="42"/>
  <c r="L78" i="42" s="1"/>
  <c r="M78" i="42" s="1"/>
  <c r="N78" i="42" s="1"/>
  <c r="O78" i="42" s="1"/>
  <c r="P78" i="42" s="1"/>
  <c r="Q78" i="42" s="1"/>
  <c r="R78" i="42" s="1"/>
  <c r="S78" i="42" s="1"/>
  <c r="T78" i="42" s="1"/>
  <c r="U78" i="42" s="1"/>
  <c r="V78" i="42" s="1"/>
  <c r="W78" i="42" s="1"/>
  <c r="X78" i="42" s="1"/>
  <c r="Y78" i="42" s="1"/>
  <c r="J22" i="42"/>
  <c r="I14" i="42"/>
  <c r="I12" i="42"/>
  <c r="H7" i="42"/>
  <c r="T42" i="42"/>
  <c r="I28" i="42"/>
  <c r="N47" i="42"/>
  <c r="O47" i="42" s="1"/>
  <c r="P47" i="42" s="1"/>
  <c r="Q47" i="42" s="1"/>
  <c r="R47" i="42" s="1"/>
  <c r="S47" i="42" s="1"/>
  <c r="T47" i="42" s="1"/>
  <c r="U47" i="42" s="1"/>
  <c r="V47" i="42" s="1"/>
  <c r="W47" i="42" s="1"/>
  <c r="X47" i="42" s="1"/>
  <c r="Y47" i="42" s="1"/>
  <c r="I16" i="42" l="1"/>
  <c r="E9" i="45"/>
  <c r="E15" i="45" s="1"/>
  <c r="E24" i="45" s="1"/>
  <c r="I31" i="42"/>
  <c r="I33" i="42" s="1"/>
  <c r="I30" i="42"/>
  <c r="I17" i="42"/>
  <c r="L5" i="42"/>
  <c r="F5" i="42"/>
  <c r="J27" i="42"/>
  <c r="G6" i="42"/>
  <c r="K6" i="42"/>
  <c r="V58" i="42"/>
  <c r="J9" i="42"/>
  <c r="J6" i="42"/>
  <c r="L9" i="45"/>
  <c r="L15" i="45" s="1"/>
  <c r="L24" i="45" s="1"/>
  <c r="K12" i="45"/>
  <c r="F12" i="45"/>
  <c r="K10" i="45"/>
  <c r="F10" i="45"/>
  <c r="F11" i="45"/>
  <c r="R39" i="41"/>
  <c r="S40" i="41"/>
  <c r="R42" i="41"/>
  <c r="J23" i="42"/>
  <c r="M62" i="42"/>
  <c r="J24" i="45"/>
  <c r="I24" i="45"/>
  <c r="E10" i="44"/>
  <c r="F9" i="44"/>
  <c r="F16" i="44" s="1"/>
  <c r="M11" i="45"/>
  <c r="L12" i="45"/>
  <c r="F7" i="44"/>
  <c r="G4" i="44" s="1"/>
  <c r="Y36" i="44"/>
  <c r="J10" i="44"/>
  <c r="I9" i="44"/>
  <c r="I16" i="44" s="1"/>
  <c r="J5" i="44"/>
  <c r="I6" i="44"/>
  <c r="I20" i="44" s="1"/>
  <c r="S41" i="44"/>
  <c r="M60" i="42"/>
  <c r="N60" i="42" s="1"/>
  <c r="O60" i="42" s="1"/>
  <c r="P60" i="42" s="1"/>
  <c r="Q60" i="42" s="1"/>
  <c r="R60" i="42" s="1"/>
  <c r="S60" i="42" s="1"/>
  <c r="T60" i="42" s="1"/>
  <c r="U60" i="42" s="1"/>
  <c r="V60" i="42" s="1"/>
  <c r="W60" i="42" s="1"/>
  <c r="X60" i="42" s="1"/>
  <c r="Y60" i="42" s="1"/>
  <c r="K22" i="42"/>
  <c r="M44" i="42"/>
  <c r="N44" i="42" s="1"/>
  <c r="O44" i="42" s="1"/>
  <c r="P44" i="42" s="1"/>
  <c r="Q44" i="42" s="1"/>
  <c r="R44" i="42" s="1"/>
  <c r="S44" i="42" s="1"/>
  <c r="T44" i="42" s="1"/>
  <c r="U44" i="42" s="1"/>
  <c r="V44" i="42" s="1"/>
  <c r="W44" i="42" s="1"/>
  <c r="X44" i="42" s="1"/>
  <c r="Y44" i="42" s="1"/>
  <c r="U42" i="42"/>
  <c r="L22" i="42"/>
  <c r="M21" i="42"/>
  <c r="N46" i="42"/>
  <c r="G7" i="42"/>
  <c r="H4" i="42"/>
  <c r="J28" i="42" l="1"/>
  <c r="J31" i="42"/>
  <c r="J33" i="42" s="1"/>
  <c r="J30" i="42"/>
  <c r="J32" i="42"/>
  <c r="F7" i="42"/>
  <c r="K20" i="42"/>
  <c r="K25" i="42" s="1"/>
  <c r="J11" i="42"/>
  <c r="J15" i="42" s="1"/>
  <c r="L27" i="42"/>
  <c r="K4" i="42"/>
  <c r="K27" i="42"/>
  <c r="F6" i="42"/>
  <c r="E5" i="42"/>
  <c r="K11" i="42"/>
  <c r="L6" i="42"/>
  <c r="M5" i="42"/>
  <c r="N62" i="42"/>
  <c r="W58" i="42"/>
  <c r="G11" i="45"/>
  <c r="F9" i="45"/>
  <c r="F15" i="45" s="1"/>
  <c r="F24" i="45" s="1"/>
  <c r="L10" i="45"/>
  <c r="G12" i="45"/>
  <c r="G10" i="45"/>
  <c r="S39" i="41"/>
  <c r="T40" i="41"/>
  <c r="S42" i="41"/>
  <c r="G4" i="42"/>
  <c r="F4" i="42" s="1"/>
  <c r="D10" i="44"/>
  <c r="E9" i="44"/>
  <c r="E16" i="44" s="1"/>
  <c r="I17" i="44" s="1"/>
  <c r="N11" i="45"/>
  <c r="O11" i="45" s="1"/>
  <c r="P11" i="45" s="1"/>
  <c r="Q11" i="45" s="1"/>
  <c r="R11" i="45" s="1"/>
  <c r="S11" i="45" s="1"/>
  <c r="M12" i="45"/>
  <c r="M9" i="45"/>
  <c r="M15" i="45" s="1"/>
  <c r="M24" i="45" s="1"/>
  <c r="G13" i="44"/>
  <c r="G7" i="44"/>
  <c r="H4" i="44" s="1"/>
  <c r="T41" i="44"/>
  <c r="I24" i="44"/>
  <c r="I26" i="44" s="1"/>
  <c r="I25" i="44"/>
  <c r="K10" i="44"/>
  <c r="J9" i="44"/>
  <c r="J16" i="44" s="1"/>
  <c r="J17" i="44" s="1"/>
  <c r="J6" i="44"/>
  <c r="J20" i="44" s="1"/>
  <c r="K5" i="44"/>
  <c r="K23" i="42"/>
  <c r="M22" i="42"/>
  <c r="N21" i="42"/>
  <c r="O46" i="42"/>
  <c r="K31" i="42"/>
  <c r="V42" i="42"/>
  <c r="I27" i="45" l="1"/>
  <c r="K30" i="42"/>
  <c r="J14" i="42"/>
  <c r="K28" i="42"/>
  <c r="L32" i="42"/>
  <c r="K33" i="42"/>
  <c r="J17" i="42"/>
  <c r="D5" i="42"/>
  <c r="K32" i="42"/>
  <c r="E7" i="42"/>
  <c r="M27" i="42"/>
  <c r="M32" i="42" s="1"/>
  <c r="L20" i="42"/>
  <c r="L23" i="42" s="1"/>
  <c r="M6" i="42"/>
  <c r="N5" i="42"/>
  <c r="E6" i="42"/>
  <c r="J16" i="42"/>
  <c r="J12" i="42"/>
  <c r="L11" i="42"/>
  <c r="K16" i="42"/>
  <c r="K9" i="42"/>
  <c r="K7" i="42"/>
  <c r="O62" i="42"/>
  <c r="X58" i="42"/>
  <c r="M10" i="45"/>
  <c r="H10" i="45"/>
  <c r="H12" i="45"/>
  <c r="H11" i="45"/>
  <c r="G9" i="45"/>
  <c r="G15" i="45" s="1"/>
  <c r="G24" i="45" s="1"/>
  <c r="T39" i="41"/>
  <c r="U40" i="41"/>
  <c r="T42" i="41"/>
  <c r="C10" i="44"/>
  <c r="C9" i="44" s="1"/>
  <c r="C16" i="44" s="1"/>
  <c r="D9" i="44"/>
  <c r="D16" i="44" s="1"/>
  <c r="H17" i="44" s="1"/>
  <c r="N44" i="44"/>
  <c r="N12" i="45"/>
  <c r="N9" i="45"/>
  <c r="N15" i="45" s="1"/>
  <c r="N24" i="45" s="1"/>
  <c r="K6" i="44"/>
  <c r="K20" i="44" s="1"/>
  <c r="L5" i="44"/>
  <c r="L10" i="44"/>
  <c r="K9" i="44"/>
  <c r="K16" i="44" s="1"/>
  <c r="K17" i="44" s="1"/>
  <c r="H7" i="44"/>
  <c r="I4" i="44" s="1"/>
  <c r="J24" i="44"/>
  <c r="J26" i="44" s="1"/>
  <c r="J25" i="44"/>
  <c r="U41" i="44"/>
  <c r="H13" i="44"/>
  <c r="F13" i="44"/>
  <c r="W42" i="42"/>
  <c r="P46" i="42"/>
  <c r="N22" i="42"/>
  <c r="O21" i="42"/>
  <c r="J27" i="45" l="1"/>
  <c r="L25" i="42"/>
  <c r="L28" i="42" s="1"/>
  <c r="K12" i="42"/>
  <c r="K15" i="42"/>
  <c r="M11" i="42"/>
  <c r="D7" i="42"/>
  <c r="N27" i="42"/>
  <c r="I30" i="45"/>
  <c r="I33" i="45" s="1"/>
  <c r="CT103" i="1" s="1"/>
  <c r="L16" i="42"/>
  <c r="C5" i="42"/>
  <c r="D6" i="42"/>
  <c r="K14" i="42"/>
  <c r="L4" i="42"/>
  <c r="O5" i="42"/>
  <c r="N6" i="42"/>
  <c r="M20" i="42"/>
  <c r="E4" i="42"/>
  <c r="P62" i="42"/>
  <c r="Y58" i="42"/>
  <c r="H9" i="45"/>
  <c r="H15" i="45" s="1"/>
  <c r="H24" i="45" s="1"/>
  <c r="N10" i="45"/>
  <c r="U39" i="41"/>
  <c r="V40" i="41"/>
  <c r="U42" i="41"/>
  <c r="G17" i="44"/>
  <c r="G18" i="44" s="1"/>
  <c r="O44" i="44"/>
  <c r="O12" i="45"/>
  <c r="O9" i="45"/>
  <c r="O15" i="45" s="1"/>
  <c r="O24" i="45" s="1"/>
  <c r="I7" i="44"/>
  <c r="J4" i="44" s="1"/>
  <c r="F12" i="44"/>
  <c r="F21" i="44" s="1"/>
  <c r="E13" i="44"/>
  <c r="M10" i="44"/>
  <c r="L9" i="44"/>
  <c r="L16" i="44" s="1"/>
  <c r="L17" i="44" s="1"/>
  <c r="I13" i="44"/>
  <c r="H12" i="44"/>
  <c r="M5" i="44"/>
  <c r="L6" i="44"/>
  <c r="L20" i="44" s="1"/>
  <c r="V41" i="44"/>
  <c r="K25" i="44"/>
  <c r="K24" i="44"/>
  <c r="K26" i="44" s="1"/>
  <c r="L31" i="42"/>
  <c r="L30" i="42"/>
  <c r="O22" i="42"/>
  <c r="P21" i="42"/>
  <c r="Q46" i="42"/>
  <c r="X42" i="42"/>
  <c r="K27" i="45" l="1"/>
  <c r="D4" i="42"/>
  <c r="N11" i="42"/>
  <c r="M16" i="42"/>
  <c r="L33" i="42"/>
  <c r="L49" i="42" s="1"/>
  <c r="P5" i="42"/>
  <c r="O6" i="42"/>
  <c r="K17" i="42"/>
  <c r="O27" i="42"/>
  <c r="O32" i="42" s="1"/>
  <c r="C6" i="42"/>
  <c r="CT102" i="1"/>
  <c r="CT188" i="1" s="1"/>
  <c r="CY104" i="1"/>
  <c r="DD105" i="1" s="1"/>
  <c r="C7" i="42"/>
  <c r="N32" i="42"/>
  <c r="M25" i="42"/>
  <c r="M23" i="42"/>
  <c r="L9" i="42"/>
  <c r="L7" i="42"/>
  <c r="Q62" i="42"/>
  <c r="O10" i="45"/>
  <c r="V39" i="41"/>
  <c r="W40" i="41"/>
  <c r="V42" i="41"/>
  <c r="P44" i="44"/>
  <c r="P12" i="45"/>
  <c r="P9" i="45"/>
  <c r="P15" i="45" s="1"/>
  <c r="P24" i="45" s="1"/>
  <c r="M6" i="44"/>
  <c r="M20" i="44" s="1"/>
  <c r="N5" i="44"/>
  <c r="J7" i="44"/>
  <c r="K4" i="44" s="1"/>
  <c r="N10" i="44"/>
  <c r="M9" i="44"/>
  <c r="M16" i="44" s="1"/>
  <c r="M17" i="44" s="1"/>
  <c r="W41" i="44"/>
  <c r="H21" i="44"/>
  <c r="H23" i="44"/>
  <c r="H18" i="44"/>
  <c r="E12" i="44"/>
  <c r="E21" i="44" s="1"/>
  <c r="D13" i="44"/>
  <c r="L24" i="44"/>
  <c r="L26" i="44" s="1"/>
  <c r="L25" i="44"/>
  <c r="J13" i="44"/>
  <c r="I12" i="44"/>
  <c r="R46" i="42"/>
  <c r="Y42" i="42"/>
  <c r="P22" i="42"/>
  <c r="Q21" i="42"/>
  <c r="L27" i="45" l="1"/>
  <c r="C4" i="42"/>
  <c r="P27" i="42"/>
  <c r="P32" i="42" s="1"/>
  <c r="N16" i="42"/>
  <c r="N20" i="42"/>
  <c r="P6" i="42"/>
  <c r="Q5" i="42"/>
  <c r="M4" i="42"/>
  <c r="M30" i="42"/>
  <c r="M28" i="42"/>
  <c r="M31" i="42"/>
  <c r="O11" i="42"/>
  <c r="K30" i="45"/>
  <c r="L15" i="42"/>
  <c r="L12" i="42"/>
  <c r="L14" i="42"/>
  <c r="J28" i="45"/>
  <c r="J30" i="45"/>
  <c r="J33" i="45" s="1"/>
  <c r="CY103" i="1" s="1"/>
  <c r="R62" i="42"/>
  <c r="P10" i="45"/>
  <c r="W39" i="41"/>
  <c r="X40" i="41"/>
  <c r="W42" i="41"/>
  <c r="Q44" i="44"/>
  <c r="Q12" i="45"/>
  <c r="Q9" i="45"/>
  <c r="Q15" i="45" s="1"/>
  <c r="Q24" i="45" s="1"/>
  <c r="K7" i="44"/>
  <c r="L4" i="44" s="1"/>
  <c r="C13" i="44"/>
  <c r="C12" i="44" s="1"/>
  <c r="C21" i="44" s="1"/>
  <c r="D12" i="44"/>
  <c r="D21" i="44" s="1"/>
  <c r="O10" i="44"/>
  <c r="N9" i="44"/>
  <c r="N16" i="44" s="1"/>
  <c r="N17" i="44" s="1"/>
  <c r="N6" i="44"/>
  <c r="N20" i="44" s="1"/>
  <c r="O5" i="44"/>
  <c r="X41" i="44"/>
  <c r="M24" i="44"/>
  <c r="M26" i="44" s="1"/>
  <c r="M46" i="44" s="1"/>
  <c r="M25" i="44"/>
  <c r="I21" i="44"/>
  <c r="I23" i="44"/>
  <c r="I18" i="44"/>
  <c r="K13" i="44"/>
  <c r="J12" i="44"/>
  <c r="Q22" i="42"/>
  <c r="R21" i="42"/>
  <c r="S46" i="42"/>
  <c r="M27" i="45" l="1"/>
  <c r="N25" i="42"/>
  <c r="N23" i="42"/>
  <c r="K33" i="45"/>
  <c r="DD103" i="1" s="1"/>
  <c r="L17" i="42"/>
  <c r="Q6" i="42"/>
  <c r="R5" i="42"/>
  <c r="M9" i="42"/>
  <c r="M7" i="42"/>
  <c r="CY102" i="1"/>
  <c r="CY188" i="1" s="1"/>
  <c r="DD104" i="1"/>
  <c r="DI105" i="1" s="1"/>
  <c r="Q27" i="42"/>
  <c r="K28" i="45"/>
  <c r="O16" i="42"/>
  <c r="M33" i="42"/>
  <c r="M49" i="42" s="1"/>
  <c r="P11" i="42"/>
  <c r="S62" i="42"/>
  <c r="Q10" i="45"/>
  <c r="X39" i="41"/>
  <c r="Y40" i="41"/>
  <c r="X42" i="41"/>
  <c r="R44" i="44"/>
  <c r="R12" i="45"/>
  <c r="R9" i="45"/>
  <c r="R15" i="45" s="1"/>
  <c r="R24" i="45" s="1"/>
  <c r="Y41" i="44"/>
  <c r="L7" i="44"/>
  <c r="M4" i="44" s="1"/>
  <c r="P10" i="44"/>
  <c r="O9" i="44"/>
  <c r="O16" i="44" s="1"/>
  <c r="O17" i="44" s="1"/>
  <c r="J21" i="44"/>
  <c r="J23" i="44"/>
  <c r="J18" i="44"/>
  <c r="P5" i="44"/>
  <c r="O6" i="44"/>
  <c r="O20" i="44" s="1"/>
  <c r="L13" i="44"/>
  <c r="K12" i="44"/>
  <c r="N24" i="44"/>
  <c r="N26" i="44" s="1"/>
  <c r="N46" i="44" s="1"/>
  <c r="N25" i="44"/>
  <c r="Q32" i="42"/>
  <c r="T46" i="42"/>
  <c r="S21" i="42"/>
  <c r="R22" i="42"/>
  <c r="N27" i="45" l="1"/>
  <c r="L28" i="45"/>
  <c r="L30" i="45"/>
  <c r="DD102" i="1"/>
  <c r="DD188" i="1" s="1"/>
  <c r="DI104" i="1"/>
  <c r="DN105" i="1" s="1"/>
  <c r="R27" i="42"/>
  <c r="M14" i="42"/>
  <c r="M12" i="42"/>
  <c r="M15" i="42"/>
  <c r="O20" i="42"/>
  <c r="N4" i="42"/>
  <c r="S5" i="42"/>
  <c r="R6" i="42"/>
  <c r="N28" i="42"/>
  <c r="N31" i="42"/>
  <c r="N30" i="42"/>
  <c r="P16" i="42"/>
  <c r="Q11" i="42"/>
  <c r="T62" i="42"/>
  <c r="R10" i="45"/>
  <c r="Y39" i="41"/>
  <c r="Y42" i="41"/>
  <c r="S44" i="44"/>
  <c r="S12" i="45"/>
  <c r="S9" i="45"/>
  <c r="S15" i="45" s="1"/>
  <c r="S24" i="45" s="1"/>
  <c r="M7" i="44"/>
  <c r="N4" i="44" s="1"/>
  <c r="M13" i="44"/>
  <c r="L12" i="44"/>
  <c r="Q10" i="44"/>
  <c r="P9" i="44"/>
  <c r="P16" i="44" s="1"/>
  <c r="P17" i="44" s="1"/>
  <c r="O25" i="44"/>
  <c r="O24" i="44"/>
  <c r="O26" i="44" s="1"/>
  <c r="O46" i="44" s="1"/>
  <c r="K21" i="44"/>
  <c r="K23" i="44"/>
  <c r="K18" i="44"/>
  <c r="Q5" i="44"/>
  <c r="P6" i="44"/>
  <c r="P20" i="44" s="1"/>
  <c r="U46" i="42"/>
  <c r="R32" i="42"/>
  <c r="S22" i="42"/>
  <c r="T21" i="42"/>
  <c r="O27" i="45" l="1"/>
  <c r="L33" i="45"/>
  <c r="DI103" i="1" s="1"/>
  <c r="S27" i="42"/>
  <c r="N33" i="42"/>
  <c r="N49" i="42" s="1"/>
  <c r="Q16" i="42"/>
  <c r="N7" i="42"/>
  <c r="N9" i="42"/>
  <c r="R11" i="42"/>
  <c r="M28" i="45"/>
  <c r="M30" i="45"/>
  <c r="M17" i="42"/>
  <c r="M65" i="42" s="1"/>
  <c r="S6" i="42"/>
  <c r="T5" i="42"/>
  <c r="O23" i="42"/>
  <c r="O25" i="42"/>
  <c r="U62" i="42"/>
  <c r="S10" i="45"/>
  <c r="T44" i="44"/>
  <c r="N7" i="44"/>
  <c r="O4" i="44" s="1"/>
  <c r="P24" i="44"/>
  <c r="P26" i="44" s="1"/>
  <c r="P46" i="44" s="1"/>
  <c r="P25" i="44"/>
  <c r="Q9" i="44"/>
  <c r="Q16" i="44" s="1"/>
  <c r="Q17" i="44" s="1"/>
  <c r="R10" i="44"/>
  <c r="Q6" i="44"/>
  <c r="Q20" i="44" s="1"/>
  <c r="R5" i="44"/>
  <c r="L21" i="44"/>
  <c r="L23" i="44"/>
  <c r="L18" i="44"/>
  <c r="N13" i="44"/>
  <c r="M12" i="44"/>
  <c r="V46" i="42"/>
  <c r="T22" i="42"/>
  <c r="U21" i="42"/>
  <c r="S32" i="42"/>
  <c r="P27" i="45" l="1"/>
  <c r="DI102" i="1"/>
  <c r="DI188" i="1" s="1"/>
  <c r="DN104" i="1"/>
  <c r="DS105" i="1" s="1"/>
  <c r="M33" i="45"/>
  <c r="DN103" i="1" s="1"/>
  <c r="T27" i="42"/>
  <c r="N28" i="45"/>
  <c r="N30" i="45"/>
  <c r="O28" i="42"/>
  <c r="O30" i="42"/>
  <c r="O31" i="42"/>
  <c r="T6" i="42"/>
  <c r="U5" i="42"/>
  <c r="N14" i="42"/>
  <c r="N15" i="42"/>
  <c r="N12" i="42"/>
  <c r="P20" i="42"/>
  <c r="S11" i="42"/>
  <c r="R16" i="42"/>
  <c r="O4" i="42"/>
  <c r="O30" i="45"/>
  <c r="V62" i="42"/>
  <c r="U44" i="44"/>
  <c r="Q24" i="44"/>
  <c r="Q26" i="44" s="1"/>
  <c r="Q46" i="44" s="1"/>
  <c r="Q25" i="44"/>
  <c r="O7" i="44"/>
  <c r="P4" i="44" s="1"/>
  <c r="M21" i="44"/>
  <c r="M23" i="44"/>
  <c r="M18" i="44"/>
  <c r="R9" i="44"/>
  <c r="S10" i="44"/>
  <c r="O13" i="44"/>
  <c r="N12" i="44"/>
  <c r="R16" i="44"/>
  <c r="R17" i="44" s="1"/>
  <c r="R6" i="44"/>
  <c r="R20" i="44" s="1"/>
  <c r="S5" i="44"/>
  <c r="U22" i="42"/>
  <c r="V21" i="42"/>
  <c r="W46" i="42"/>
  <c r="Q27" i="45" l="1"/>
  <c r="T32" i="42"/>
  <c r="DN102" i="1"/>
  <c r="DN188" i="1" s="1"/>
  <c r="DS104" i="1"/>
  <c r="DX105" i="1" s="1"/>
  <c r="U6" i="42"/>
  <c r="V5" i="42"/>
  <c r="U27" i="42"/>
  <c r="O33" i="45"/>
  <c r="DX103" i="1" s="1"/>
  <c r="O7" i="42"/>
  <c r="O9" i="42"/>
  <c r="S16" i="42"/>
  <c r="N17" i="42"/>
  <c r="N65" i="42" s="1"/>
  <c r="T11" i="42"/>
  <c r="O28" i="45"/>
  <c r="P23" i="42"/>
  <c r="P25" i="42"/>
  <c r="O33" i="42"/>
  <c r="O49" i="42" s="1"/>
  <c r="N33" i="45"/>
  <c r="DS103" i="1" s="1"/>
  <c r="W62" i="42"/>
  <c r="V44" i="44"/>
  <c r="P7" i="44"/>
  <c r="Q4" i="44" s="1"/>
  <c r="N23" i="44"/>
  <c r="N21" i="44"/>
  <c r="N18" i="44"/>
  <c r="S6" i="44"/>
  <c r="S20" i="44" s="1"/>
  <c r="T5" i="44"/>
  <c r="P13" i="44"/>
  <c r="O12" i="44"/>
  <c r="R24" i="44"/>
  <c r="R26" i="44" s="1"/>
  <c r="R46" i="44" s="1"/>
  <c r="R25" i="44"/>
  <c r="T10" i="44"/>
  <c r="S9" i="44"/>
  <c r="S16" i="44" s="1"/>
  <c r="S17" i="44" s="1"/>
  <c r="V22" i="42"/>
  <c r="W21" i="42"/>
  <c r="X46" i="42"/>
  <c r="R27" i="45" l="1"/>
  <c r="EC104" i="1"/>
  <c r="EH105" i="1" s="1"/>
  <c r="DS102" i="1"/>
  <c r="DS188" i="1" s="1"/>
  <c r="DX104" i="1"/>
  <c r="EC105" i="1" s="1"/>
  <c r="U11" i="42"/>
  <c r="T16" i="42"/>
  <c r="U32" i="42"/>
  <c r="V27" i="42"/>
  <c r="P31" i="42"/>
  <c r="P30" i="42"/>
  <c r="P28" i="42"/>
  <c r="O12" i="42"/>
  <c r="O14" i="42"/>
  <c r="O15" i="42"/>
  <c r="Q20" i="42"/>
  <c r="P4" i="42"/>
  <c r="P28" i="45"/>
  <c r="P30" i="45"/>
  <c r="V6" i="42"/>
  <c r="W5" i="42"/>
  <c r="X62" i="42"/>
  <c r="W44" i="44"/>
  <c r="O21" i="44"/>
  <c r="O23" i="44"/>
  <c r="O18" i="44"/>
  <c r="Q7" i="44"/>
  <c r="R4" i="44" s="1"/>
  <c r="Q13" i="44"/>
  <c r="P12" i="44"/>
  <c r="T6" i="44"/>
  <c r="T20" i="44" s="1"/>
  <c r="U5" i="44"/>
  <c r="U10" i="44"/>
  <c r="T9" i="44"/>
  <c r="T16" i="44" s="1"/>
  <c r="T17" i="44" s="1"/>
  <c r="S25" i="44"/>
  <c r="S24" i="44"/>
  <c r="S26" i="44" s="1"/>
  <c r="S46" i="44" s="1"/>
  <c r="Y46" i="42"/>
  <c r="W22" i="42"/>
  <c r="X21" i="42"/>
  <c r="S27" i="45" l="1"/>
  <c r="DX102" i="1"/>
  <c r="DX188" i="1" s="1"/>
  <c r="V32" i="42"/>
  <c r="P7" i="42"/>
  <c r="P9" i="42"/>
  <c r="X5" i="42"/>
  <c r="W6" i="42"/>
  <c r="V11" i="42"/>
  <c r="O17" i="42"/>
  <c r="O65" i="42" s="1"/>
  <c r="Q28" i="45"/>
  <c r="Q30" i="45"/>
  <c r="P33" i="45"/>
  <c r="EC103" i="1" s="1"/>
  <c r="U16" i="42"/>
  <c r="Q23" i="42"/>
  <c r="Q25" i="42"/>
  <c r="P33" i="42"/>
  <c r="P49" i="42" s="1"/>
  <c r="W27" i="42"/>
  <c r="Y62" i="42"/>
  <c r="X44" i="44"/>
  <c r="R7" i="44"/>
  <c r="S4" i="44" s="1"/>
  <c r="V5" i="44"/>
  <c r="U6" i="44"/>
  <c r="U20" i="44" s="1"/>
  <c r="T24" i="44"/>
  <c r="T26" i="44" s="1"/>
  <c r="T46" i="44" s="1"/>
  <c r="T25" i="44"/>
  <c r="V10" i="44"/>
  <c r="U9" i="44"/>
  <c r="U16" i="44" s="1"/>
  <c r="U17" i="44" s="1"/>
  <c r="P21" i="44"/>
  <c r="P23" i="44"/>
  <c r="P18" i="44"/>
  <c r="R13" i="44"/>
  <c r="Q12" i="44"/>
  <c r="X22" i="42"/>
  <c r="Y21" i="42"/>
  <c r="EC102" i="1" l="1"/>
  <c r="EC188" i="1" s="1"/>
  <c r="EH104" i="1"/>
  <c r="EM105" i="1" s="1"/>
  <c r="W11" i="42"/>
  <c r="Y22" i="42"/>
  <c r="X27" i="42"/>
  <c r="S30" i="45"/>
  <c r="S33" i="45" s="1"/>
  <c r="ER103" i="1" s="1"/>
  <c r="Q31" i="42"/>
  <c r="Q28" i="42"/>
  <c r="Q30" i="42"/>
  <c r="Q33" i="45"/>
  <c r="EH103" i="1" s="1"/>
  <c r="Y5" i="42"/>
  <c r="X6" i="42"/>
  <c r="R20" i="42"/>
  <c r="P14" i="42"/>
  <c r="P12" i="42"/>
  <c r="P15" i="42"/>
  <c r="W32" i="42"/>
  <c r="R28" i="45"/>
  <c r="R30" i="45"/>
  <c r="V16" i="42"/>
  <c r="Q4" i="42"/>
  <c r="Y44" i="44"/>
  <c r="W10" i="44"/>
  <c r="V9" i="44"/>
  <c r="V16" i="44" s="1"/>
  <c r="V17" i="44" s="1"/>
  <c r="S7" i="44"/>
  <c r="T4" i="44" s="1"/>
  <c r="U24" i="44"/>
  <c r="U26" i="44" s="1"/>
  <c r="U46" i="44" s="1"/>
  <c r="U25" i="44"/>
  <c r="Q21" i="44"/>
  <c r="Q23" i="44"/>
  <c r="Q18" i="44"/>
  <c r="V6" i="44"/>
  <c r="V20" i="44" s="1"/>
  <c r="W5" i="44"/>
  <c r="S13" i="44"/>
  <c r="R12" i="44"/>
  <c r="EH102" i="1" l="1"/>
  <c r="EH188" i="1" s="1"/>
  <c r="EM104" i="1"/>
  <c r="ER105" i="1" s="1"/>
  <c r="R33" i="45"/>
  <c r="EM103" i="1" s="1"/>
  <c r="P17" i="42"/>
  <c r="P65" i="42" s="1"/>
  <c r="Q7" i="42"/>
  <c r="Q9" i="42"/>
  <c r="Y6" i="42"/>
  <c r="Q33" i="42"/>
  <c r="Q49" i="42" s="1"/>
  <c r="W16" i="42"/>
  <c r="R23" i="42"/>
  <c r="R25" i="42"/>
  <c r="Y27" i="42"/>
  <c r="X32" i="42"/>
  <c r="S28" i="45"/>
  <c r="X11" i="42"/>
  <c r="T7" i="44"/>
  <c r="U4" i="44" s="1"/>
  <c r="W6" i="44"/>
  <c r="W20" i="44" s="1"/>
  <c r="X5" i="44"/>
  <c r="R21" i="44"/>
  <c r="R23" i="44"/>
  <c r="R18" i="44"/>
  <c r="V24" i="44"/>
  <c r="V26" i="44" s="1"/>
  <c r="V46" i="44" s="1"/>
  <c r="V25" i="44"/>
  <c r="X10" i="44"/>
  <c r="W9" i="44"/>
  <c r="W16" i="44" s="1"/>
  <c r="W17" i="44" s="1"/>
  <c r="T13" i="44"/>
  <c r="S12" i="44"/>
  <c r="Y32" i="42" l="1"/>
  <c r="EM102" i="1"/>
  <c r="EM188" i="1" s="1"/>
  <c r="ER104" i="1"/>
  <c r="ER102" i="1" s="1"/>
  <c r="ER188" i="1" s="1"/>
  <c r="R30" i="42"/>
  <c r="R31" i="42"/>
  <c r="R28" i="42"/>
  <c r="Q15" i="42"/>
  <c r="Q12" i="42"/>
  <c r="Q14" i="42"/>
  <c r="X16" i="42"/>
  <c r="S20" i="42"/>
  <c r="R4" i="42"/>
  <c r="Y11" i="42"/>
  <c r="U7" i="44"/>
  <c r="V4" i="44" s="1"/>
  <c r="U13" i="44"/>
  <c r="T12" i="44"/>
  <c r="W25" i="44"/>
  <c r="W24" i="44"/>
  <c r="W26" i="44" s="1"/>
  <c r="W46" i="44" s="1"/>
  <c r="Y10" i="44"/>
  <c r="X9" i="44"/>
  <c r="S21" i="44"/>
  <c r="S23" i="44"/>
  <c r="S18" i="44"/>
  <c r="X16" i="44"/>
  <c r="X17" i="44" s="1"/>
  <c r="X6" i="44"/>
  <c r="X20" i="44" s="1"/>
  <c r="Y5" i="44"/>
  <c r="Q17" i="42" l="1"/>
  <c r="Q65" i="42" s="1"/>
  <c r="Y16" i="42"/>
  <c r="R7" i="42"/>
  <c r="R9" i="42"/>
  <c r="S23" i="42"/>
  <c r="S25" i="42"/>
  <c r="R33" i="42"/>
  <c r="R49" i="42" s="1"/>
  <c r="V7" i="44"/>
  <c r="W4" i="44" s="1"/>
  <c r="X24" i="44"/>
  <c r="X26" i="44" s="1"/>
  <c r="X46" i="44" s="1"/>
  <c r="X25" i="44"/>
  <c r="V13" i="44"/>
  <c r="U12" i="44"/>
  <c r="Y6" i="44"/>
  <c r="Y20" i="44" s="1"/>
  <c r="T23" i="44"/>
  <c r="T21" i="44"/>
  <c r="T18" i="44"/>
  <c r="Y9" i="44"/>
  <c r="Y16" i="44" s="1"/>
  <c r="Y17" i="44" s="1"/>
  <c r="S4" i="42" l="1"/>
  <c r="S28" i="42"/>
  <c r="S30" i="42"/>
  <c r="S31" i="42"/>
  <c r="T20" i="42"/>
  <c r="R15" i="42"/>
  <c r="R12" i="42"/>
  <c r="R14" i="42"/>
  <c r="W7" i="44"/>
  <c r="X4" i="44" s="1"/>
  <c r="W13" i="44"/>
  <c r="V12" i="44"/>
  <c r="Y24" i="44"/>
  <c r="Y26" i="44" s="1"/>
  <c r="Y46" i="44" s="1"/>
  <c r="Y25" i="44"/>
  <c r="U21" i="44"/>
  <c r="U23" i="44"/>
  <c r="U18" i="44"/>
  <c r="R17" i="42" l="1"/>
  <c r="R65" i="42" s="1"/>
  <c r="S33" i="42"/>
  <c r="S49" i="42" s="1"/>
  <c r="S9" i="42"/>
  <c r="S7" i="42"/>
  <c r="T23" i="42"/>
  <c r="T25" i="42"/>
  <c r="X7" i="44"/>
  <c r="Y4" i="44" s="1"/>
  <c r="V23" i="44"/>
  <c r="V21" i="44"/>
  <c r="V18" i="44"/>
  <c r="X13" i="44"/>
  <c r="W12" i="44"/>
  <c r="T28" i="42" l="1"/>
  <c r="T30" i="42"/>
  <c r="T31" i="42"/>
  <c r="U20" i="42"/>
  <c r="T4" i="42"/>
  <c r="S14" i="42"/>
  <c r="S15" i="42"/>
  <c r="S12" i="42"/>
  <c r="Y7" i="44"/>
  <c r="W21" i="44"/>
  <c r="W23" i="44"/>
  <c r="W18" i="44"/>
  <c r="Y13" i="44"/>
  <c r="Y12" i="44" s="1"/>
  <c r="X12" i="44"/>
  <c r="T33" i="42" l="1"/>
  <c r="T49" i="42" s="1"/>
  <c r="S17" i="42"/>
  <c r="S65" i="42" s="1"/>
  <c r="T9" i="42"/>
  <c r="T7" i="42"/>
  <c r="U25" i="42"/>
  <c r="U23" i="42"/>
  <c r="X23" i="44"/>
  <c r="X21" i="44"/>
  <c r="X18" i="44"/>
  <c r="Y21" i="44"/>
  <c r="Y23" i="44"/>
  <c r="Y18" i="44"/>
  <c r="T14" i="42" l="1"/>
  <c r="T12" i="42"/>
  <c r="T15" i="42"/>
  <c r="V20" i="42"/>
  <c r="U30" i="42"/>
  <c r="U28" i="42"/>
  <c r="U31" i="42"/>
  <c r="U4" i="42"/>
  <c r="G52" i="41"/>
  <c r="H52" i="41" s="1"/>
  <c r="I52" i="41" s="1"/>
  <c r="J52" i="41" s="1"/>
  <c r="K52" i="41" s="1"/>
  <c r="L52" i="41" s="1"/>
  <c r="M52" i="41" s="1"/>
  <c r="N52" i="41" s="1"/>
  <c r="O52" i="41" s="1"/>
  <c r="P52" i="41" s="1"/>
  <c r="Q52" i="41" s="1"/>
  <c r="R52" i="41" s="1"/>
  <c r="S52" i="41" s="1"/>
  <c r="T52" i="41" s="1"/>
  <c r="U52" i="41" s="1"/>
  <c r="V52" i="41" s="1"/>
  <c r="W52" i="41" s="1"/>
  <c r="X52" i="41" s="1"/>
  <c r="Y52" i="41" s="1"/>
  <c r="N44" i="41"/>
  <c r="G24" i="41"/>
  <c r="G28" i="41" s="1"/>
  <c r="G20" i="41"/>
  <c r="F15" i="41"/>
  <c r="E15" i="41" s="1"/>
  <c r="D15" i="41" s="1"/>
  <c r="G13" i="41"/>
  <c r="G10" i="41"/>
  <c r="G7" i="41"/>
  <c r="F7" i="41" s="1"/>
  <c r="E7" i="41" s="1"/>
  <c r="D7" i="41" s="1"/>
  <c r="C7" i="41" s="1"/>
  <c r="F6" i="41"/>
  <c r="F24" i="41" s="1"/>
  <c r="H5" i="41"/>
  <c r="I5" i="41" s="1"/>
  <c r="F5" i="41"/>
  <c r="E5" i="41" s="1"/>
  <c r="D5" i="41" s="1"/>
  <c r="C5" i="41" s="1"/>
  <c r="H4" i="41"/>
  <c r="D2" i="41"/>
  <c r="E2" i="41" s="1"/>
  <c r="F2" i="41" s="1"/>
  <c r="G2" i="41" s="1"/>
  <c r="H2" i="41" s="1"/>
  <c r="I2" i="41" s="1"/>
  <c r="J2" i="41" s="1"/>
  <c r="K2" i="41" s="1"/>
  <c r="L2" i="41" s="1"/>
  <c r="M2" i="41" s="1"/>
  <c r="N2" i="41" s="1"/>
  <c r="O2" i="41" s="1"/>
  <c r="P2" i="41" s="1"/>
  <c r="Q2" i="41" s="1"/>
  <c r="R2" i="41" s="1"/>
  <c r="S2" i="41" s="1"/>
  <c r="T2" i="41" s="1"/>
  <c r="U2" i="41" s="1"/>
  <c r="V2" i="41" s="1"/>
  <c r="W2" i="41" s="1"/>
  <c r="X2" i="41" s="1"/>
  <c r="Y2" i="41" s="1"/>
  <c r="D2" i="40"/>
  <c r="E2" i="40" s="1"/>
  <c r="F2" i="40" s="1"/>
  <c r="G2" i="40" s="1"/>
  <c r="H2" i="40" s="1"/>
  <c r="I2" i="40" s="1"/>
  <c r="J2" i="40" s="1"/>
  <c r="K2" i="40" s="1"/>
  <c r="L2" i="40" s="1"/>
  <c r="M2" i="40" s="1"/>
  <c r="N2" i="40" s="1"/>
  <c r="O2" i="40" s="1"/>
  <c r="P2" i="40" s="1"/>
  <c r="Q2" i="40" s="1"/>
  <c r="R2" i="40" s="1"/>
  <c r="S2" i="40" s="1"/>
  <c r="T2" i="40" s="1"/>
  <c r="U2" i="40" s="1"/>
  <c r="V2" i="40" s="1"/>
  <c r="W2" i="40" s="1"/>
  <c r="X2" i="40" s="1"/>
  <c r="Y2" i="40" s="1"/>
  <c r="F5" i="40"/>
  <c r="H5" i="40"/>
  <c r="F6" i="40"/>
  <c r="G7" i="40"/>
  <c r="G10" i="40"/>
  <c r="F12" i="40"/>
  <c r="E12" i="40" s="1"/>
  <c r="D12" i="40" s="1"/>
  <c r="G17" i="40"/>
  <c r="G21" i="40"/>
  <c r="G49" i="40"/>
  <c r="H49" i="40" s="1"/>
  <c r="I49" i="40" s="1"/>
  <c r="J49" i="40" s="1"/>
  <c r="K49" i="40" s="1"/>
  <c r="L49" i="40" s="1"/>
  <c r="M49" i="40" s="1"/>
  <c r="N49" i="40" s="1"/>
  <c r="O49" i="40" s="1"/>
  <c r="P49" i="40" s="1"/>
  <c r="Q49" i="40" s="1"/>
  <c r="R49" i="40" s="1"/>
  <c r="S49" i="40" s="1"/>
  <c r="T49" i="40" s="1"/>
  <c r="U49" i="40" s="1"/>
  <c r="V49" i="40" s="1"/>
  <c r="W49" i="40" s="1"/>
  <c r="X49" i="40" s="1"/>
  <c r="Y49" i="40" s="1"/>
  <c r="N37" i="40"/>
  <c r="M36" i="40"/>
  <c r="U7" i="42" l="1"/>
  <c r="U9" i="42"/>
  <c r="T17" i="42"/>
  <c r="T65" i="42" s="1"/>
  <c r="U33" i="42"/>
  <c r="U49" i="42" s="1"/>
  <c r="V25" i="42"/>
  <c r="V23" i="42"/>
  <c r="N39" i="40"/>
  <c r="H10" i="40"/>
  <c r="H4" i="40"/>
  <c r="G24" i="40"/>
  <c r="E6" i="40"/>
  <c r="D6" i="40" s="1"/>
  <c r="D21" i="40" s="1"/>
  <c r="F10" i="41"/>
  <c r="G30" i="41"/>
  <c r="F13" i="41"/>
  <c r="G22" i="40"/>
  <c r="G26" i="40"/>
  <c r="N36" i="40"/>
  <c r="G25" i="40"/>
  <c r="F21" i="40"/>
  <c r="H10" i="41"/>
  <c r="F4" i="41"/>
  <c r="E6" i="41"/>
  <c r="O44" i="41"/>
  <c r="I6" i="41"/>
  <c r="I24" i="41" s="1"/>
  <c r="I29" i="41" s="1"/>
  <c r="N47" i="41"/>
  <c r="O47" i="41" s="1"/>
  <c r="P47" i="41" s="1"/>
  <c r="Q47" i="41" s="1"/>
  <c r="R47" i="41" s="1"/>
  <c r="S47" i="41" s="1"/>
  <c r="T47" i="41" s="1"/>
  <c r="U47" i="41" s="1"/>
  <c r="V47" i="41" s="1"/>
  <c r="W47" i="41" s="1"/>
  <c r="X47" i="41" s="1"/>
  <c r="Y47" i="41" s="1"/>
  <c r="H6" i="41"/>
  <c r="H24" i="41" s="1"/>
  <c r="H29" i="41" s="1"/>
  <c r="G27" i="41"/>
  <c r="G25" i="41"/>
  <c r="G29" i="41"/>
  <c r="H7" i="41"/>
  <c r="J5" i="41"/>
  <c r="E13" i="41"/>
  <c r="F12" i="41"/>
  <c r="H13" i="41"/>
  <c r="H6" i="40"/>
  <c r="H7" i="40"/>
  <c r="F7" i="40"/>
  <c r="F10" i="40"/>
  <c r="E5" i="40"/>
  <c r="O37" i="40"/>
  <c r="I10" i="40"/>
  <c r="I5" i="40"/>
  <c r="E21" i="40" l="1"/>
  <c r="U14" i="42"/>
  <c r="U15" i="42"/>
  <c r="U12" i="42"/>
  <c r="V31" i="42"/>
  <c r="V28" i="42"/>
  <c r="V30" i="42"/>
  <c r="V4" i="42"/>
  <c r="W20" i="42"/>
  <c r="N35" i="40"/>
  <c r="F9" i="41"/>
  <c r="F20" i="41" s="1"/>
  <c r="E10" i="41"/>
  <c r="G27" i="40"/>
  <c r="H21" i="40"/>
  <c r="H9" i="40"/>
  <c r="H17" i="40" s="1"/>
  <c r="O39" i="40"/>
  <c r="E7" i="40"/>
  <c r="C6" i="40"/>
  <c r="H9" i="41"/>
  <c r="H20" i="41" s="1"/>
  <c r="D10" i="41"/>
  <c r="I10" i="41"/>
  <c r="F4" i="40"/>
  <c r="E24" i="41"/>
  <c r="D6" i="41"/>
  <c r="I4" i="41"/>
  <c r="E4" i="41"/>
  <c r="P44" i="41"/>
  <c r="J6" i="41"/>
  <c r="J24" i="41" s="1"/>
  <c r="J29" i="41" s="1"/>
  <c r="K5" i="41"/>
  <c r="I13" i="41"/>
  <c r="H12" i="41"/>
  <c r="D13" i="41"/>
  <c r="E12" i="41"/>
  <c r="I9" i="41"/>
  <c r="I20" i="41" s="1"/>
  <c r="D5" i="40"/>
  <c r="F9" i="40"/>
  <c r="F17" i="40" s="1"/>
  <c r="E10" i="40"/>
  <c r="H26" i="40"/>
  <c r="P37" i="40"/>
  <c r="O36" i="40"/>
  <c r="I9" i="40"/>
  <c r="I17" i="40" s="1"/>
  <c r="J10" i="40"/>
  <c r="I4" i="40"/>
  <c r="I6" i="40"/>
  <c r="J5" i="40"/>
  <c r="E4" i="40" l="1"/>
  <c r="V7" i="42"/>
  <c r="V9" i="42"/>
  <c r="U17" i="42"/>
  <c r="U65" i="42" s="1"/>
  <c r="Q44" i="41"/>
  <c r="V33" i="42"/>
  <c r="V49" i="42" s="1"/>
  <c r="W23" i="42"/>
  <c r="W25" i="42"/>
  <c r="O35" i="40"/>
  <c r="E9" i="41"/>
  <c r="E20" i="41" s="1"/>
  <c r="I21" i="41" s="1"/>
  <c r="I22" i="41" s="1"/>
  <c r="I21" i="40"/>
  <c r="C21" i="40"/>
  <c r="P39" i="40"/>
  <c r="D7" i="40"/>
  <c r="C10" i="41"/>
  <c r="D9" i="41"/>
  <c r="D20" i="41" s="1"/>
  <c r="J10" i="41"/>
  <c r="D24" i="41"/>
  <c r="C6" i="41"/>
  <c r="C24" i="41" s="1"/>
  <c r="I7" i="41"/>
  <c r="J4" i="41" s="1"/>
  <c r="J7" i="41" s="1"/>
  <c r="K4" i="41" s="1"/>
  <c r="D4" i="41"/>
  <c r="R44" i="41"/>
  <c r="L5" i="41"/>
  <c r="K6" i="41"/>
  <c r="K24" i="41" s="1"/>
  <c r="K29" i="41" s="1"/>
  <c r="K10" i="41"/>
  <c r="J9" i="41"/>
  <c r="J20" i="41" s="1"/>
  <c r="J21" i="41" s="1"/>
  <c r="J13" i="41"/>
  <c r="I12" i="41"/>
  <c r="C13" i="41"/>
  <c r="D12" i="41"/>
  <c r="C5" i="40"/>
  <c r="E9" i="40"/>
  <c r="E17" i="40" s="1"/>
  <c r="I18" i="40" s="1"/>
  <c r="I19" i="40" s="1"/>
  <c r="D10" i="40"/>
  <c r="D4" i="40"/>
  <c r="I26" i="40"/>
  <c r="Q37" i="40"/>
  <c r="R37" i="40" s="1"/>
  <c r="P36" i="40"/>
  <c r="J9" i="40"/>
  <c r="J17" i="40" s="1"/>
  <c r="J18" i="40" s="1"/>
  <c r="K10" i="40"/>
  <c r="J6" i="40"/>
  <c r="K5" i="40"/>
  <c r="I7" i="40"/>
  <c r="X20" i="42" l="1"/>
  <c r="V12" i="42"/>
  <c r="V14" i="42"/>
  <c r="V15" i="42"/>
  <c r="X23" i="42"/>
  <c r="X25" i="42"/>
  <c r="W28" i="42"/>
  <c r="W31" i="42"/>
  <c r="W30" i="42"/>
  <c r="W4" i="42"/>
  <c r="P35" i="40"/>
  <c r="C4" i="41"/>
  <c r="J21" i="40"/>
  <c r="C7" i="40"/>
  <c r="C4" i="40" s="1"/>
  <c r="J4" i="40"/>
  <c r="Q39" i="40"/>
  <c r="C9" i="41"/>
  <c r="C20" i="41" s="1"/>
  <c r="G21" i="41"/>
  <c r="G22" i="41" s="1"/>
  <c r="G16" i="41" s="1"/>
  <c r="H21" i="41"/>
  <c r="H22" i="41" s="1"/>
  <c r="C12" i="41"/>
  <c r="J22" i="41"/>
  <c r="S44" i="41"/>
  <c r="K7" i="41"/>
  <c r="L4" i="41" s="1"/>
  <c r="K13" i="41"/>
  <c r="J12" i="41"/>
  <c r="M5" i="41"/>
  <c r="L6" i="41"/>
  <c r="L24" i="41" s="1"/>
  <c r="L29" i="41" s="1"/>
  <c r="L10" i="41"/>
  <c r="K9" i="41"/>
  <c r="K20" i="41" s="1"/>
  <c r="D9" i="40"/>
  <c r="D17" i="40" s="1"/>
  <c r="H18" i="40" s="1"/>
  <c r="H19" i="40" s="1"/>
  <c r="C10" i="40"/>
  <c r="J19" i="40"/>
  <c r="J26" i="40"/>
  <c r="Q36" i="40"/>
  <c r="L10" i="40"/>
  <c r="K9" i="40"/>
  <c r="K17" i="40" s="1"/>
  <c r="K18" i="40" s="1"/>
  <c r="J7" i="40"/>
  <c r="K6" i="40"/>
  <c r="L5" i="40"/>
  <c r="W33" i="42" l="1"/>
  <c r="W49" i="42" s="1"/>
  <c r="W7" i="42"/>
  <c r="W9" i="42"/>
  <c r="Y20" i="42"/>
  <c r="X28" i="42"/>
  <c r="X31" i="42"/>
  <c r="X30" i="42"/>
  <c r="V17" i="42"/>
  <c r="V65" i="42" s="1"/>
  <c r="Q35" i="40"/>
  <c r="K21" i="40"/>
  <c r="K4" i="40"/>
  <c r="C9" i="40"/>
  <c r="C17" i="40" s="1"/>
  <c r="G18" i="40" s="1"/>
  <c r="G19" i="40" s="1"/>
  <c r="G13" i="40" s="1"/>
  <c r="R39" i="40"/>
  <c r="H16" i="41"/>
  <c r="K21" i="41"/>
  <c r="K22" i="41" s="1"/>
  <c r="T44" i="41"/>
  <c r="M6" i="41"/>
  <c r="M24" i="41" s="1"/>
  <c r="M29" i="41" s="1"/>
  <c r="N5" i="41"/>
  <c r="L7" i="41"/>
  <c r="M4" i="41" s="1"/>
  <c r="M10" i="41"/>
  <c r="L9" i="41"/>
  <c r="L20" i="41" s="1"/>
  <c r="K12" i="41"/>
  <c r="L13" i="41"/>
  <c r="K19" i="40"/>
  <c r="K26" i="40"/>
  <c r="R36" i="40"/>
  <c r="S37" i="40"/>
  <c r="T37" i="40" s="1"/>
  <c r="U37" i="40" s="1"/>
  <c r="V37" i="40" s="1"/>
  <c r="W37" i="40" s="1"/>
  <c r="X37" i="40" s="1"/>
  <c r="Y37" i="40" s="1"/>
  <c r="M10" i="40"/>
  <c r="L9" i="40"/>
  <c r="L17" i="40" s="1"/>
  <c r="L18" i="40" s="1"/>
  <c r="L6" i="40"/>
  <c r="M5" i="40"/>
  <c r="K7" i="40"/>
  <c r="L4" i="40" s="1"/>
  <c r="W12" i="42" l="1"/>
  <c r="W15" i="42"/>
  <c r="W14" i="42"/>
  <c r="X33" i="42"/>
  <c r="X49" i="42" s="1"/>
  <c r="X4" i="42"/>
  <c r="Z20" i="42"/>
  <c r="Y23" i="42"/>
  <c r="Y25" i="42"/>
  <c r="R35" i="40"/>
  <c r="S39" i="40"/>
  <c r="L21" i="40"/>
  <c r="H13" i="40"/>
  <c r="I13" i="40" s="1"/>
  <c r="I16" i="41"/>
  <c r="H15" i="41"/>
  <c r="L21" i="41"/>
  <c r="L22" i="41" s="1"/>
  <c r="U44" i="41"/>
  <c r="N10" i="41"/>
  <c r="M9" i="41"/>
  <c r="M20" i="41" s="1"/>
  <c r="M13" i="41"/>
  <c r="L12" i="41"/>
  <c r="M7" i="41"/>
  <c r="N4" i="41" s="1"/>
  <c r="N6" i="41"/>
  <c r="N24" i="41" s="1"/>
  <c r="N29" i="41" s="1"/>
  <c r="O5" i="41"/>
  <c r="H12" i="40"/>
  <c r="L19" i="40"/>
  <c r="S36" i="40"/>
  <c r="N10" i="40"/>
  <c r="M9" i="40"/>
  <c r="M17" i="40" s="1"/>
  <c r="M18" i="40" s="1"/>
  <c r="M6" i="40"/>
  <c r="N5" i="40"/>
  <c r="L7" i="40"/>
  <c r="X9" i="42" l="1"/>
  <c r="X7" i="42"/>
  <c r="Y28" i="42"/>
  <c r="Y31" i="42"/>
  <c r="Y30" i="42"/>
  <c r="W17" i="42"/>
  <c r="W65" i="42" s="1"/>
  <c r="S35" i="40"/>
  <c r="T39" i="40"/>
  <c r="M21" i="40"/>
  <c r="M26" i="40" s="1"/>
  <c r="M4" i="40"/>
  <c r="L26" i="40"/>
  <c r="H27" i="41"/>
  <c r="H28" i="41"/>
  <c r="H25" i="41"/>
  <c r="I15" i="41"/>
  <c r="J16" i="41"/>
  <c r="M21" i="41"/>
  <c r="M22" i="41" s="1"/>
  <c r="V44" i="41"/>
  <c r="N7" i="41"/>
  <c r="O4" i="41" s="1"/>
  <c r="N13" i="41"/>
  <c r="M12" i="41"/>
  <c r="O10" i="41"/>
  <c r="N9" i="41"/>
  <c r="N20" i="41" s="1"/>
  <c r="N21" i="41" s="1"/>
  <c r="N22" i="41" s="1"/>
  <c r="P5" i="41"/>
  <c r="O6" i="41"/>
  <c r="O24" i="41" s="1"/>
  <c r="O29" i="41" s="1"/>
  <c r="I12" i="40"/>
  <c r="J13" i="40"/>
  <c r="H25" i="40"/>
  <c r="H22" i="40"/>
  <c r="H24" i="40"/>
  <c r="M19" i="40"/>
  <c r="T36" i="40"/>
  <c r="O10" i="40"/>
  <c r="N9" i="40"/>
  <c r="N17" i="40" s="1"/>
  <c r="N18" i="40" s="1"/>
  <c r="M7" i="40"/>
  <c r="N6" i="40"/>
  <c r="O5" i="40"/>
  <c r="Y33" i="42" l="1"/>
  <c r="Y49" i="42" s="1"/>
  <c r="Y4" i="42"/>
  <c r="X12" i="42"/>
  <c r="X15" i="42"/>
  <c r="X14" i="42"/>
  <c r="T35" i="40"/>
  <c r="H27" i="40"/>
  <c r="N21" i="40"/>
  <c r="U39" i="40"/>
  <c r="N4" i="40"/>
  <c r="N7" i="40" s="1"/>
  <c r="J15" i="41"/>
  <c r="K16" i="41"/>
  <c r="H30" i="41"/>
  <c r="I25" i="41"/>
  <c r="I27" i="41"/>
  <c r="I28" i="41"/>
  <c r="W44" i="41"/>
  <c r="O13" i="41"/>
  <c r="N12" i="41"/>
  <c r="O7" i="41"/>
  <c r="P4" i="41" s="1"/>
  <c r="Q5" i="41"/>
  <c r="P6" i="41"/>
  <c r="P24" i="41" s="1"/>
  <c r="P29" i="41" s="1"/>
  <c r="P10" i="41"/>
  <c r="O9" i="41"/>
  <c r="O20" i="41" s="1"/>
  <c r="K13" i="40"/>
  <c r="J12" i="40"/>
  <c r="I24" i="40"/>
  <c r="I22" i="40"/>
  <c r="I25" i="40"/>
  <c r="N26" i="40"/>
  <c r="N19" i="40"/>
  <c r="U36" i="40"/>
  <c r="P10" i="40"/>
  <c r="O9" i="40"/>
  <c r="O17" i="40" s="1"/>
  <c r="O18" i="40" s="1"/>
  <c r="O6" i="40"/>
  <c r="P5" i="40"/>
  <c r="X17" i="42" l="1"/>
  <c r="X65" i="42" s="1"/>
  <c r="Y9" i="42"/>
  <c r="Y7" i="42"/>
  <c r="U35" i="40"/>
  <c r="O21" i="40"/>
  <c r="O4" i="40"/>
  <c r="O7" i="40" s="1"/>
  <c r="I27" i="40"/>
  <c r="V39" i="40"/>
  <c r="J25" i="41"/>
  <c r="J28" i="41"/>
  <c r="J27" i="41"/>
  <c r="I30" i="41"/>
  <c r="L16" i="41"/>
  <c r="K15" i="41"/>
  <c r="O21" i="41"/>
  <c r="O22" i="41" s="1"/>
  <c r="X44" i="41"/>
  <c r="P7" i="41"/>
  <c r="Q4" i="41" s="1"/>
  <c r="Q10" i="41"/>
  <c r="P9" i="41"/>
  <c r="P20" i="41" s="1"/>
  <c r="Q6" i="41"/>
  <c r="Q24" i="41" s="1"/>
  <c r="Q29" i="41" s="1"/>
  <c r="R5" i="41"/>
  <c r="P13" i="41"/>
  <c r="O12" i="41"/>
  <c r="J22" i="40"/>
  <c r="J25" i="40"/>
  <c r="J24" i="40"/>
  <c r="L13" i="40"/>
  <c r="K12" i="40"/>
  <c r="O26" i="40"/>
  <c r="O19" i="40"/>
  <c r="V36" i="40"/>
  <c r="Q10" i="40"/>
  <c r="P9" i="40"/>
  <c r="P17" i="40" s="1"/>
  <c r="P18" i="40" s="1"/>
  <c r="Q5" i="40"/>
  <c r="P6" i="40"/>
  <c r="Y12" i="42" l="1"/>
  <c r="Y14" i="42"/>
  <c r="Y15" i="42"/>
  <c r="V35" i="40"/>
  <c r="P21" i="40"/>
  <c r="J27" i="40"/>
  <c r="P4" i="40"/>
  <c r="P19" i="40" s="1"/>
  <c r="W39" i="40"/>
  <c r="M16" i="41"/>
  <c r="L15" i="41"/>
  <c r="J30" i="41"/>
  <c r="K28" i="41"/>
  <c r="K27" i="41"/>
  <c r="K25" i="41"/>
  <c r="P21" i="41"/>
  <c r="P22" i="41" s="1"/>
  <c r="Y44" i="41"/>
  <c r="Q7" i="41"/>
  <c r="R4" i="41" s="1"/>
  <c r="R10" i="41"/>
  <c r="Q9" i="41"/>
  <c r="Q20" i="41" s="1"/>
  <c r="Q21" i="41" s="1"/>
  <c r="Q22" i="41" s="1"/>
  <c r="Q13" i="41"/>
  <c r="P12" i="41"/>
  <c r="R6" i="41"/>
  <c r="R24" i="41" s="1"/>
  <c r="R29" i="41" s="1"/>
  <c r="S5" i="41"/>
  <c r="M13" i="40"/>
  <c r="L12" i="40"/>
  <c r="K24" i="40"/>
  <c r="K22" i="40"/>
  <c r="K25" i="40"/>
  <c r="W36" i="40"/>
  <c r="R10" i="40"/>
  <c r="Q9" i="40"/>
  <c r="Q17" i="40" s="1"/>
  <c r="Q18" i="40" s="1"/>
  <c r="Q6" i="40"/>
  <c r="R5" i="40"/>
  <c r="P7" i="40" l="1"/>
  <c r="Y17" i="42"/>
  <c r="Y65" i="42" s="1"/>
  <c r="W35" i="40"/>
  <c r="X39" i="40"/>
  <c r="Q21" i="40"/>
  <c r="P26" i="40"/>
  <c r="Q4" i="40"/>
  <c r="Q7" i="40" s="1"/>
  <c r="K27" i="40"/>
  <c r="L28" i="41"/>
  <c r="L25" i="41"/>
  <c r="L27" i="41"/>
  <c r="K30" i="41"/>
  <c r="M15" i="41"/>
  <c r="N16" i="41"/>
  <c r="Q19" i="40"/>
  <c r="R7" i="41"/>
  <c r="S4" i="41" s="1"/>
  <c r="S10" i="41"/>
  <c r="R9" i="41"/>
  <c r="R20" i="41" s="1"/>
  <c r="R21" i="41" s="1"/>
  <c r="R22" i="41" s="1"/>
  <c r="T5" i="41"/>
  <c r="S6" i="41"/>
  <c r="S24" i="41" s="1"/>
  <c r="S29" i="41" s="1"/>
  <c r="R13" i="41"/>
  <c r="Q12" i="41"/>
  <c r="M12" i="40"/>
  <c r="N13" i="40"/>
  <c r="L22" i="40"/>
  <c r="L25" i="40"/>
  <c r="L24" i="40"/>
  <c r="Q26" i="40"/>
  <c r="X36" i="40"/>
  <c r="S10" i="40"/>
  <c r="R9" i="40"/>
  <c r="R17" i="40" s="1"/>
  <c r="R18" i="40" s="1"/>
  <c r="S5" i="40"/>
  <c r="R6" i="40"/>
  <c r="X35" i="40" l="1"/>
  <c r="R4" i="40"/>
  <c r="R7" i="40" s="1"/>
  <c r="R21" i="40"/>
  <c r="R26" i="40" s="1"/>
  <c r="Y39" i="40"/>
  <c r="L27" i="40"/>
  <c r="M27" i="41"/>
  <c r="M28" i="41"/>
  <c r="M25" i="41"/>
  <c r="L30" i="41"/>
  <c r="O16" i="41"/>
  <c r="N15" i="41"/>
  <c r="S7" i="41"/>
  <c r="T4" i="41" s="1"/>
  <c r="U5" i="41"/>
  <c r="T6" i="41"/>
  <c r="T24" i="41" s="1"/>
  <c r="T29" i="41" s="1"/>
  <c r="S13" i="41"/>
  <c r="R12" i="41"/>
  <c r="S9" i="41"/>
  <c r="S20" i="41" s="1"/>
  <c r="T10" i="41"/>
  <c r="O13" i="40"/>
  <c r="N12" i="40"/>
  <c r="M25" i="40"/>
  <c r="M22" i="40"/>
  <c r="M24" i="40"/>
  <c r="Y36" i="40"/>
  <c r="T10" i="40"/>
  <c r="S9" i="40"/>
  <c r="S17" i="40" s="1"/>
  <c r="S18" i="40" s="1"/>
  <c r="T5" i="40"/>
  <c r="S6" i="40"/>
  <c r="Y35" i="40" l="1"/>
  <c r="S4" i="40"/>
  <c r="S19" i="40" s="1"/>
  <c r="R19" i="40"/>
  <c r="M27" i="40"/>
  <c r="S21" i="40"/>
  <c r="M30" i="41"/>
  <c r="M49" i="41" s="1"/>
  <c r="N27" i="41"/>
  <c r="N25" i="41"/>
  <c r="N28" i="41"/>
  <c r="P16" i="41"/>
  <c r="O15" i="41"/>
  <c r="S21" i="41"/>
  <c r="S22" i="41" s="1"/>
  <c r="S12" i="41"/>
  <c r="T13" i="41"/>
  <c r="U6" i="41"/>
  <c r="U24" i="41" s="1"/>
  <c r="U29" i="41" s="1"/>
  <c r="V5" i="41"/>
  <c r="U10" i="41"/>
  <c r="T9" i="41"/>
  <c r="T20" i="41" s="1"/>
  <c r="T7" i="41"/>
  <c r="U4" i="41" s="1"/>
  <c r="N22" i="40"/>
  <c r="N25" i="40"/>
  <c r="N24" i="40"/>
  <c r="O12" i="40"/>
  <c r="P13" i="40"/>
  <c r="S26" i="40"/>
  <c r="U10" i="40"/>
  <c r="T9" i="40"/>
  <c r="T17" i="40" s="1"/>
  <c r="T18" i="40" s="1"/>
  <c r="T6" i="40"/>
  <c r="U5" i="40"/>
  <c r="M46" i="40" l="1"/>
  <c r="CJ98" i="1" s="1"/>
  <c r="N27" i="40"/>
  <c r="V5" i="40"/>
  <c r="V6" i="40" s="1"/>
  <c r="V10" i="40"/>
  <c r="W10" i="40" s="1"/>
  <c r="T21" i="40"/>
  <c r="S7" i="40"/>
  <c r="N30" i="41"/>
  <c r="N49" i="41" s="1"/>
  <c r="O27" i="41"/>
  <c r="O28" i="41"/>
  <c r="O25" i="41"/>
  <c r="P15" i="41"/>
  <c r="Q16" i="41"/>
  <c r="T21" i="41"/>
  <c r="T22" i="41" s="1"/>
  <c r="U7" i="41"/>
  <c r="V4" i="41" s="1"/>
  <c r="U13" i="41"/>
  <c r="T12" i="41"/>
  <c r="V10" i="41"/>
  <c r="U9" i="41"/>
  <c r="U20" i="41" s="1"/>
  <c r="U21" i="41" s="1"/>
  <c r="U22" i="41" s="1"/>
  <c r="V6" i="41"/>
  <c r="V24" i="41" s="1"/>
  <c r="V29" i="41" s="1"/>
  <c r="W5" i="41"/>
  <c r="O24" i="40"/>
  <c r="O25" i="40"/>
  <c r="O22" i="40"/>
  <c r="P12" i="40"/>
  <c r="Q13" i="40"/>
  <c r="T26" i="40"/>
  <c r="U9" i="40"/>
  <c r="U17" i="40" s="1"/>
  <c r="U18" i="40" s="1"/>
  <c r="U6" i="40"/>
  <c r="CO99" i="1" l="1"/>
  <c r="CT100" i="1" s="1"/>
  <c r="CI98" i="1"/>
  <c r="CI97" i="1" s="1"/>
  <c r="CI187" i="1" s="1"/>
  <c r="V9" i="40"/>
  <c r="U21" i="40"/>
  <c r="O27" i="40"/>
  <c r="T4" i="40"/>
  <c r="W5" i="40"/>
  <c r="P25" i="41"/>
  <c r="P27" i="41"/>
  <c r="P28" i="41"/>
  <c r="Q15" i="41"/>
  <c r="R16" i="41"/>
  <c r="O30" i="41"/>
  <c r="O49" i="41" s="1"/>
  <c r="W9" i="40"/>
  <c r="X10" i="40"/>
  <c r="X5" i="40"/>
  <c r="V7" i="41"/>
  <c r="W4" i="41" s="1"/>
  <c r="W10" i="41"/>
  <c r="V9" i="41"/>
  <c r="V20" i="41" s="1"/>
  <c r="V21" i="41" s="1"/>
  <c r="V22" i="41" s="1"/>
  <c r="X5" i="41"/>
  <c r="W6" i="41"/>
  <c r="W24" i="41" s="1"/>
  <c r="W29" i="41" s="1"/>
  <c r="V13" i="41"/>
  <c r="U12" i="41"/>
  <c r="R13" i="40"/>
  <c r="Q12" i="40"/>
  <c r="P24" i="40"/>
  <c r="P25" i="40"/>
  <c r="P22" i="40"/>
  <c r="V17" i="40"/>
  <c r="V18" i="40" s="1"/>
  <c r="V21" i="40"/>
  <c r="P27" i="40" l="1"/>
  <c r="T7" i="40"/>
  <c r="T19" i="40"/>
  <c r="U26" i="40"/>
  <c r="W6" i="40"/>
  <c r="W21" i="40" s="1"/>
  <c r="R15" i="41"/>
  <c r="S16" i="41"/>
  <c r="Q28" i="41"/>
  <c r="Q25" i="41"/>
  <c r="Q27" i="41"/>
  <c r="P30" i="41"/>
  <c r="P49" i="41" s="1"/>
  <c r="Y10" i="40"/>
  <c r="X9" i="40"/>
  <c r="Y5" i="40"/>
  <c r="X6" i="40"/>
  <c r="Y5" i="41"/>
  <c r="X6" i="41"/>
  <c r="X24" i="41" s="1"/>
  <c r="X29" i="41" s="1"/>
  <c r="X10" i="41"/>
  <c r="W9" i="41"/>
  <c r="W20" i="41" s="1"/>
  <c r="W7" i="41"/>
  <c r="X4" i="41" s="1"/>
  <c r="W13" i="41"/>
  <c r="V12" i="41"/>
  <c r="Q24" i="40"/>
  <c r="Q22" i="40"/>
  <c r="Q25" i="40"/>
  <c r="R12" i="40"/>
  <c r="S13" i="40"/>
  <c r="V26" i="40"/>
  <c r="W17" i="40"/>
  <c r="W18" i="40" s="1"/>
  <c r="U4" i="40" l="1"/>
  <c r="Q27" i="40"/>
  <c r="Y6" i="40"/>
  <c r="Y21" i="40" s="1"/>
  <c r="Q30" i="41"/>
  <c r="Q49" i="41" s="1"/>
  <c r="R28" i="41"/>
  <c r="R25" i="41"/>
  <c r="R27" i="41"/>
  <c r="S15" i="41"/>
  <c r="T16" i="41"/>
  <c r="Y9" i="40"/>
  <c r="Y6" i="41"/>
  <c r="Y24" i="41" s="1"/>
  <c r="Y29" i="41" s="1"/>
  <c r="W21" i="41"/>
  <c r="W22" i="41" s="1"/>
  <c r="X7" i="41"/>
  <c r="Y4" i="41" s="1"/>
  <c r="X13" i="41"/>
  <c r="W12" i="41"/>
  <c r="Y10" i="41"/>
  <c r="X9" i="41"/>
  <c r="X20" i="41" s="1"/>
  <c r="R25" i="40"/>
  <c r="R24" i="40"/>
  <c r="R22" i="40"/>
  <c r="S12" i="40"/>
  <c r="T13" i="40"/>
  <c r="W26" i="40"/>
  <c r="X17" i="40"/>
  <c r="X18" i="40" s="1"/>
  <c r="X21" i="40"/>
  <c r="R27" i="40" l="1"/>
  <c r="U7" i="40"/>
  <c r="U19" i="40"/>
  <c r="Y9" i="41"/>
  <c r="Y20" i="41" s="1"/>
  <c r="Y21" i="41" s="1"/>
  <c r="Y22" i="41" s="1"/>
  <c r="U16" i="41"/>
  <c r="T15" i="41"/>
  <c r="S27" i="41"/>
  <c r="S25" i="41"/>
  <c r="S28" i="41"/>
  <c r="R30" i="41"/>
  <c r="R49" i="41" s="1"/>
  <c r="X21" i="41"/>
  <c r="X22" i="41" s="1"/>
  <c r="Y7" i="41"/>
  <c r="Y13" i="41"/>
  <c r="X12" i="41"/>
  <c r="S24" i="40"/>
  <c r="S22" i="40"/>
  <c r="S25" i="40"/>
  <c r="U13" i="40"/>
  <c r="T12" i="40"/>
  <c r="Y17" i="40"/>
  <c r="Y18" i="40" s="1"/>
  <c r="Y26" i="40"/>
  <c r="X26" i="40"/>
  <c r="S27" i="40" l="1"/>
  <c r="V4" i="40"/>
  <c r="Y12" i="41"/>
  <c r="S30" i="41"/>
  <c r="S49" i="41" s="1"/>
  <c r="T27" i="41"/>
  <c r="T25" i="41"/>
  <c r="T28" i="41"/>
  <c r="U15" i="41"/>
  <c r="V16" i="41"/>
  <c r="T22" i="40"/>
  <c r="T25" i="40"/>
  <c r="T24" i="40"/>
  <c r="V13" i="40"/>
  <c r="U12" i="40"/>
  <c r="V7" i="40" l="1"/>
  <c r="V19" i="40"/>
  <c r="V12" i="40" s="1"/>
  <c r="T27" i="40"/>
  <c r="W16" i="41"/>
  <c r="V15" i="41"/>
  <c r="U27" i="41"/>
  <c r="U28" i="41"/>
  <c r="U25" i="41"/>
  <c r="T30" i="41"/>
  <c r="T49" i="41" s="1"/>
  <c r="U22" i="40"/>
  <c r="U24" i="40"/>
  <c r="U25" i="40"/>
  <c r="W13" i="40"/>
  <c r="U27" i="40" l="1"/>
  <c r="W4" i="40"/>
  <c r="V28" i="41"/>
  <c r="V27" i="41"/>
  <c r="V25" i="41"/>
  <c r="W15" i="41"/>
  <c r="X16" i="41"/>
  <c r="U30" i="41"/>
  <c r="U49" i="41" s="1"/>
  <c r="X13" i="40"/>
  <c r="V25" i="40"/>
  <c r="V22" i="40"/>
  <c r="V24" i="40"/>
  <c r="W19" i="40" l="1"/>
  <c r="W12" i="40" s="1"/>
  <c r="W24" i="40" s="1"/>
  <c r="W7" i="40"/>
  <c r="V27" i="40"/>
  <c r="V30" i="41"/>
  <c r="V49" i="41" s="1"/>
  <c r="X15" i="41"/>
  <c r="Y16" i="41"/>
  <c r="W27" i="41"/>
  <c r="W28" i="41"/>
  <c r="W25" i="41"/>
  <c r="Y13" i="40"/>
  <c r="W25" i="40"/>
  <c r="W22" i="40"/>
  <c r="W27" i="40" l="1"/>
  <c r="X4" i="40"/>
  <c r="W30" i="41"/>
  <c r="W49" i="41" s="1"/>
  <c r="Y15" i="41"/>
  <c r="X25" i="41"/>
  <c r="X27" i="41"/>
  <c r="X28" i="41"/>
  <c r="X7" i="40" l="1"/>
  <c r="X19" i="40"/>
  <c r="X12" i="40" s="1"/>
  <c r="X30" i="41"/>
  <c r="X49" i="41" s="1"/>
  <c r="Y27" i="41"/>
  <c r="Y28" i="41"/>
  <c r="Y25" i="41"/>
  <c r="N41" i="40"/>
  <c r="N46" i="40" s="1"/>
  <c r="Y4" i="40" l="1"/>
  <c r="X24" i="40"/>
  <c r="X25" i="40"/>
  <c r="X22" i="40"/>
  <c r="Y30" i="41"/>
  <c r="Y49" i="41" s="1"/>
  <c r="O41" i="40"/>
  <c r="O46" i="40" s="1"/>
  <c r="CO98" i="1"/>
  <c r="CT99" i="1" s="1"/>
  <c r="CY100" i="1" s="1"/>
  <c r="CJ97" i="1"/>
  <c r="CJ187" i="1" s="1"/>
  <c r="X27" i="40" l="1"/>
  <c r="Y7" i="40"/>
  <c r="Y19" i="40"/>
  <c r="Y12" i="40" s="1"/>
  <c r="P41" i="40"/>
  <c r="P46" i="40" s="1"/>
  <c r="CT98" i="1"/>
  <c r="CY99" i="1" s="1"/>
  <c r="DD100" i="1" s="1"/>
  <c r="CO97" i="1"/>
  <c r="CO187" i="1" s="1"/>
  <c r="Y22" i="40" l="1"/>
  <c r="Y25" i="40"/>
  <c r="Y24" i="40"/>
  <c r="Q41" i="40"/>
  <c r="Q46" i="40" s="1"/>
  <c r="CY98" i="1"/>
  <c r="DD99" i="1" s="1"/>
  <c r="DI100" i="1" s="1"/>
  <c r="CT97" i="1"/>
  <c r="CT187" i="1" s="1"/>
  <c r="Y27" i="40" l="1"/>
  <c r="R41" i="40"/>
  <c r="R46" i="40" s="1"/>
  <c r="DD98" i="1"/>
  <c r="DI99" i="1" s="1"/>
  <c r="DN100" i="1" s="1"/>
  <c r="CY97" i="1"/>
  <c r="CY187" i="1" s="1"/>
  <c r="S41" i="40" l="1"/>
  <c r="S46" i="40" s="1"/>
  <c r="DI98" i="1"/>
  <c r="DN99" i="1" s="1"/>
  <c r="DS100" i="1" s="1"/>
  <c r="DD97" i="1"/>
  <c r="DD187" i="1" s="1"/>
  <c r="T41" i="40" l="1"/>
  <c r="T46" i="40" s="1"/>
  <c r="DN98" i="1"/>
  <c r="DS99" i="1" s="1"/>
  <c r="DX100" i="1" s="1"/>
  <c r="DI97" i="1"/>
  <c r="DI187" i="1" s="1"/>
  <c r="U41" i="40" l="1"/>
  <c r="U46" i="40" s="1"/>
  <c r="DS98" i="1"/>
  <c r="DX99" i="1" s="1"/>
  <c r="EC100" i="1" s="1"/>
  <c r="DN97" i="1"/>
  <c r="DN187" i="1" s="1"/>
  <c r="V41" i="40" l="1"/>
  <c r="V46" i="40" s="1"/>
  <c r="DX98" i="1"/>
  <c r="EC99" i="1" s="1"/>
  <c r="EH100" i="1" s="1"/>
  <c r="DS97" i="1"/>
  <c r="DS187" i="1" s="1"/>
  <c r="W41" i="40" l="1"/>
  <c r="W46" i="40" s="1"/>
  <c r="EC98" i="1"/>
  <c r="EH99" i="1" s="1"/>
  <c r="EM100" i="1" s="1"/>
  <c r="DX97" i="1"/>
  <c r="DX187" i="1" s="1"/>
  <c r="X41" i="40" l="1"/>
  <c r="X46" i="40" s="1"/>
  <c r="EH98" i="1"/>
  <c r="EM99" i="1" s="1"/>
  <c r="ER100" i="1" s="1"/>
  <c r="EC97" i="1"/>
  <c r="EC187" i="1" s="1"/>
  <c r="Y41" i="40" l="1"/>
  <c r="EM98" i="1"/>
  <c r="ER99" i="1" s="1"/>
  <c r="EH97" i="1"/>
  <c r="EH187" i="1" s="1"/>
  <c r="Y46" i="40" l="1"/>
  <c r="ER98" i="1" s="1"/>
  <c r="EM97" i="1"/>
  <c r="EM187" i="1" s="1"/>
  <c r="ER97" i="1" l="1"/>
  <c r="ER187" i="1" s="1"/>
  <c r="AO478" i="12" l="1"/>
  <c r="AN161" i="12"/>
  <c r="AP116" i="12"/>
  <c r="AQ116" i="12" s="1"/>
  <c r="AR116" i="12" s="1"/>
  <c r="AS116" i="12" s="1"/>
  <c r="AT116" i="12" s="1"/>
  <c r="AU116" i="12" s="1"/>
  <c r="AP271" i="12"/>
  <c r="CO12" i="4" l="1"/>
  <c r="CT12" i="4" l="1"/>
  <c r="CB57" i="4"/>
  <c r="CB18" i="4" s="1"/>
  <c r="CG105" i="4" s="1"/>
  <c r="CB48" i="4"/>
  <c r="CB12" i="4" s="1"/>
  <c r="CG104" i="4" s="1"/>
  <c r="CB43" i="4"/>
  <c r="CB9" i="4" s="1"/>
  <c r="CB196" i="1" s="1"/>
  <c r="CB25" i="4"/>
  <c r="CB125" i="1"/>
  <c r="B107" i="20" l="1"/>
  <c r="I102" i="20"/>
  <c r="N96" i="20"/>
  <c r="O96" i="20" s="1"/>
  <c r="J96" i="20"/>
  <c r="K95" i="20"/>
  <c r="K96" i="20" s="1"/>
  <c r="J94" i="20"/>
  <c r="K94" i="20" s="1"/>
  <c r="Q96" i="20"/>
  <c r="R96" i="20" s="1"/>
  <c r="S96" i="20" s="1"/>
  <c r="T96" i="20" s="1"/>
  <c r="U96" i="20" s="1"/>
  <c r="V96" i="20" s="1"/>
  <c r="W96" i="20" s="1"/>
  <c r="X96" i="20" s="1"/>
  <c r="Y96" i="20" s="1"/>
  <c r="Z96" i="20" s="1"/>
  <c r="O95" i="20"/>
  <c r="P95" i="20" s="1"/>
  <c r="Q95" i="20" s="1"/>
  <c r="R95" i="20" s="1"/>
  <c r="S95" i="20" s="1"/>
  <c r="T95" i="20" s="1"/>
  <c r="U95" i="20" s="1"/>
  <c r="V95" i="20" s="1"/>
  <c r="W95" i="20" s="1"/>
  <c r="X95" i="20" s="1"/>
  <c r="Y95" i="20" s="1"/>
  <c r="Z95" i="20" s="1"/>
  <c r="N95" i="20"/>
  <c r="M94" i="20"/>
  <c r="N94" i="20" s="1"/>
  <c r="O94" i="20" s="1"/>
  <c r="P94" i="20" s="1"/>
  <c r="Q94" i="20" s="1"/>
  <c r="R94" i="20" s="1"/>
  <c r="S94" i="20" s="1"/>
  <c r="T94" i="20" s="1"/>
  <c r="U94" i="20" s="1"/>
  <c r="V94" i="20" s="1"/>
  <c r="W94" i="20" s="1"/>
  <c r="X94" i="20" s="1"/>
  <c r="Y94" i="20" s="1"/>
  <c r="Z94" i="20" s="1"/>
  <c r="L94" i="20"/>
  <c r="J91" i="20"/>
  <c r="J90" i="20"/>
  <c r="N89" i="20"/>
  <c r="M85" i="20"/>
  <c r="M86" i="20" s="1"/>
  <c r="L85" i="20"/>
  <c r="L86" i="20" s="1"/>
  <c r="K85" i="20"/>
  <c r="K86" i="20" s="1"/>
  <c r="J85" i="20"/>
  <c r="J86" i="20" s="1"/>
  <c r="J82" i="20"/>
  <c r="J84" i="20" s="1"/>
  <c r="O79" i="20"/>
  <c r="N79" i="20"/>
  <c r="M79" i="20"/>
  <c r="L79" i="20"/>
  <c r="K78" i="20"/>
  <c r="K79" i="20" s="1"/>
  <c r="K75" i="20"/>
  <c r="K77" i="20" s="1"/>
  <c r="O78" i="20"/>
  <c r="I70" i="20"/>
  <c r="H70" i="20"/>
  <c r="G70" i="20"/>
  <c r="F70" i="20"/>
  <c r="E70" i="20"/>
  <c r="D70" i="20"/>
  <c r="C70" i="20"/>
  <c r="J69" i="20"/>
  <c r="J70" i="20" s="1"/>
  <c r="J65" i="20"/>
  <c r="H63" i="20"/>
  <c r="D63" i="20"/>
  <c r="C63" i="20" s="1"/>
  <c r="L63" i="20"/>
  <c r="M63" i="20" s="1"/>
  <c r="F58" i="20"/>
  <c r="G58" i="20" s="1"/>
  <c r="Z57" i="20"/>
  <c r="Z56" i="20"/>
  <c r="L57" i="20"/>
  <c r="M57" i="20" s="1"/>
  <c r="N57" i="20" s="1"/>
  <c r="O57" i="20" s="1"/>
  <c r="Q56" i="20"/>
  <c r="R56" i="20" s="1"/>
  <c r="S56" i="20" s="1"/>
  <c r="T56" i="20" s="1"/>
  <c r="U56" i="20" s="1"/>
  <c r="V56" i="20" s="1"/>
  <c r="W56" i="20" s="1"/>
  <c r="X56" i="20" s="1"/>
  <c r="L55" i="20"/>
  <c r="M55" i="20" s="1"/>
  <c r="N55" i="20" s="1"/>
  <c r="O55" i="20" s="1"/>
  <c r="P55" i="20" s="1"/>
  <c r="Q55" i="20" s="1"/>
  <c r="R55" i="20" s="1"/>
  <c r="S55" i="20" s="1"/>
  <c r="T55" i="20" s="1"/>
  <c r="U55" i="20" s="1"/>
  <c r="V55" i="20" s="1"/>
  <c r="W55" i="20" s="1"/>
  <c r="X55" i="20" s="1"/>
  <c r="Y55" i="20" s="1"/>
  <c r="Z55" i="20" s="1"/>
  <c r="K55" i="20"/>
  <c r="E53" i="20"/>
  <c r="E59" i="20" s="1"/>
  <c r="E62" i="20" s="1"/>
  <c r="J49" i="20"/>
  <c r="I49" i="20"/>
  <c r="H49" i="20"/>
  <c r="G49" i="20"/>
  <c r="F49" i="20"/>
  <c r="E49" i="20"/>
  <c r="D49" i="20"/>
  <c r="C49" i="20"/>
  <c r="N47" i="20"/>
  <c r="O47" i="20" s="1"/>
  <c r="P47" i="20" s="1"/>
  <c r="Q47" i="20" s="1"/>
  <c r="R47" i="20" s="1"/>
  <c r="S47" i="20" s="1"/>
  <c r="T47" i="20" s="1"/>
  <c r="U47" i="20" s="1"/>
  <c r="V47" i="20" s="1"/>
  <c r="W47" i="20" s="1"/>
  <c r="X47" i="20" s="1"/>
  <c r="Y47" i="20" s="1"/>
  <c r="Z47" i="20" s="1"/>
  <c r="L47" i="20"/>
  <c r="M47" i="20" s="1"/>
  <c r="K47" i="20"/>
  <c r="N46" i="20"/>
  <c r="O46" i="20" s="1"/>
  <c r="P46" i="20" s="1"/>
  <c r="Q46" i="20" s="1"/>
  <c r="R46" i="20" s="1"/>
  <c r="S46" i="20" s="1"/>
  <c r="T46" i="20" s="1"/>
  <c r="U46" i="20" s="1"/>
  <c r="V46" i="20" s="1"/>
  <c r="W46" i="20" s="1"/>
  <c r="X46" i="20" s="1"/>
  <c r="Y46" i="20" s="1"/>
  <c r="Z46" i="20" s="1"/>
  <c r="M46" i="20"/>
  <c r="N45" i="20"/>
  <c r="O45" i="20" s="1"/>
  <c r="P45" i="20" s="1"/>
  <c r="Q45" i="20" s="1"/>
  <c r="R45" i="20" s="1"/>
  <c r="S45" i="20" s="1"/>
  <c r="T45" i="20" s="1"/>
  <c r="U45" i="20" s="1"/>
  <c r="V45" i="20" s="1"/>
  <c r="W45" i="20" s="1"/>
  <c r="X45" i="20" s="1"/>
  <c r="Y45" i="20" s="1"/>
  <c r="Z45" i="20" s="1"/>
  <c r="L41" i="20"/>
  <c r="K41" i="20"/>
  <c r="J41" i="20"/>
  <c r="I41" i="20"/>
  <c r="H41" i="20"/>
  <c r="G41" i="20"/>
  <c r="D41" i="20"/>
  <c r="E41" i="20" s="1"/>
  <c r="M40" i="20"/>
  <c r="N40" i="20" s="1"/>
  <c r="L40" i="20"/>
  <c r="D40" i="20"/>
  <c r="E40" i="20" s="1"/>
  <c r="F40" i="20" s="1"/>
  <c r="D39" i="20"/>
  <c r="E39" i="20" s="1"/>
  <c r="M39" i="20"/>
  <c r="M41" i="20" s="1"/>
  <c r="C33" i="20"/>
  <c r="D32" i="20"/>
  <c r="D33" i="20" s="1"/>
  <c r="D31" i="20"/>
  <c r="E31" i="20" s="1"/>
  <c r="F31" i="20" s="1"/>
  <c r="G31" i="20" s="1"/>
  <c r="H31" i="20" s="1"/>
  <c r="I31" i="20" s="1"/>
  <c r="J31" i="20" s="1"/>
  <c r="E25" i="20"/>
  <c r="P24" i="20"/>
  <c r="Q24" i="20" s="1"/>
  <c r="R24" i="20" s="1"/>
  <c r="S24" i="20" s="1"/>
  <c r="T24" i="20" s="1"/>
  <c r="U24" i="20" s="1"/>
  <c r="V24" i="20" s="1"/>
  <c r="W24" i="20" s="1"/>
  <c r="X24" i="20" s="1"/>
  <c r="Y24" i="20" s="1"/>
  <c r="Z24" i="20" s="1"/>
  <c r="O24" i="20"/>
  <c r="L24" i="20"/>
  <c r="R23" i="20"/>
  <c r="S23" i="20" s="1"/>
  <c r="T23" i="20" s="1"/>
  <c r="U23" i="20" s="1"/>
  <c r="V23" i="20" s="1"/>
  <c r="W23" i="20" s="1"/>
  <c r="X23" i="20" s="1"/>
  <c r="Y23" i="20" s="1"/>
  <c r="Z23" i="20" s="1"/>
  <c r="O22" i="20"/>
  <c r="P22" i="20" s="1"/>
  <c r="Q22" i="20" s="1"/>
  <c r="R22" i="20" s="1"/>
  <c r="S22" i="20" s="1"/>
  <c r="T22" i="20" s="1"/>
  <c r="U22" i="20" s="1"/>
  <c r="V22" i="20" s="1"/>
  <c r="W22" i="20" s="1"/>
  <c r="X22" i="20" s="1"/>
  <c r="Y22" i="20" s="1"/>
  <c r="Z22" i="20" s="1"/>
  <c r="H19" i="20"/>
  <c r="G19" i="20" s="1"/>
  <c r="H16" i="20"/>
  <c r="I16" i="20" s="1"/>
  <c r="C12" i="20"/>
  <c r="D12" i="20" s="1"/>
  <c r="E12" i="20" s="1"/>
  <c r="F12" i="20" s="1"/>
  <c r="G12" i="20" s="1"/>
  <c r="H12" i="20" s="1"/>
  <c r="H11" i="20"/>
  <c r="G11" i="20" s="1"/>
  <c r="F11" i="20" s="1"/>
  <c r="E11" i="20" s="1"/>
  <c r="D11" i="20" s="1"/>
  <c r="C11" i="20" s="1"/>
  <c r="F6" i="20"/>
  <c r="E6" i="20"/>
  <c r="J6" i="20"/>
  <c r="K6" i="20" s="1"/>
  <c r="L6" i="20" s="1"/>
  <c r="M6" i="20" s="1"/>
  <c r="N6" i="20" s="1"/>
  <c r="O6" i="20" s="1"/>
  <c r="P6" i="20" s="1"/>
  <c r="Q6" i="20" s="1"/>
  <c r="R6" i="20" s="1"/>
  <c r="S6" i="20" s="1"/>
  <c r="T6" i="20" s="1"/>
  <c r="U6" i="20" s="1"/>
  <c r="V6" i="20" s="1"/>
  <c r="W6" i="20" s="1"/>
  <c r="X6" i="20" s="1"/>
  <c r="Y6" i="20" s="1"/>
  <c r="Z6" i="20" s="1"/>
  <c r="I6" i="20"/>
  <c r="D5" i="20"/>
  <c r="E5" i="20" s="1"/>
  <c r="F5" i="20" s="1"/>
  <c r="G5" i="20" s="1"/>
  <c r="H5" i="20" s="1"/>
  <c r="D3" i="20"/>
  <c r="E3" i="20" s="1"/>
  <c r="F3" i="20" s="1"/>
  <c r="G3" i="20" s="1"/>
  <c r="H3" i="20" s="1"/>
  <c r="I3" i="20" s="1"/>
  <c r="J3" i="20" s="1"/>
  <c r="K3" i="20" s="1"/>
  <c r="L3" i="20" s="1"/>
  <c r="M3" i="20" s="1"/>
  <c r="N3" i="20" s="1"/>
  <c r="O3" i="20" s="1"/>
  <c r="P3" i="20" s="1"/>
  <c r="Q3" i="20" s="1"/>
  <c r="R3" i="20" s="1"/>
  <c r="S3" i="20" s="1"/>
  <c r="T3" i="20" s="1"/>
  <c r="U3" i="20" s="1"/>
  <c r="V3" i="20" s="1"/>
  <c r="W3" i="20" s="1"/>
  <c r="X3" i="20" s="1"/>
  <c r="Y3" i="20" s="1"/>
  <c r="Z3" i="20" s="1"/>
  <c r="E1" i="20"/>
  <c r="O116" i="19"/>
  <c r="P116" i="19" s="1"/>
  <c r="Q116" i="19" s="1"/>
  <c r="R116" i="19" s="1"/>
  <c r="S116" i="19" s="1"/>
  <c r="T116" i="19" s="1"/>
  <c r="U116" i="19" s="1"/>
  <c r="V116" i="19" s="1"/>
  <c r="W116" i="19" s="1"/>
  <c r="X116" i="19" s="1"/>
  <c r="Y116" i="19" s="1"/>
  <c r="Z116" i="19" s="1"/>
  <c r="N118" i="19"/>
  <c r="B111" i="19"/>
  <c r="M98" i="19"/>
  <c r="J98" i="19"/>
  <c r="J96" i="19"/>
  <c r="K96" i="19" s="1"/>
  <c r="O98" i="19"/>
  <c r="P98" i="19" s="1"/>
  <c r="Q98" i="19" s="1"/>
  <c r="R98" i="19" s="1"/>
  <c r="S98" i="19" s="1"/>
  <c r="T98" i="19" s="1"/>
  <c r="U98" i="19" s="1"/>
  <c r="V98" i="19" s="1"/>
  <c r="W98" i="19" s="1"/>
  <c r="X98" i="19" s="1"/>
  <c r="Y98" i="19" s="1"/>
  <c r="Z98" i="19" s="1"/>
  <c r="O97" i="19"/>
  <c r="N96" i="19"/>
  <c r="O96" i="19" s="1"/>
  <c r="L96" i="19"/>
  <c r="M96" i="19" s="1"/>
  <c r="K93" i="19"/>
  <c r="L93" i="19" s="1"/>
  <c r="L91" i="20" s="1"/>
  <c r="K92" i="19"/>
  <c r="K90" i="20" s="1"/>
  <c r="M91" i="19"/>
  <c r="M88" i="19"/>
  <c r="L88" i="19"/>
  <c r="J88" i="19"/>
  <c r="K87" i="19"/>
  <c r="K88" i="19" s="1"/>
  <c r="K86" i="19"/>
  <c r="K89" i="19" s="1"/>
  <c r="K84" i="19"/>
  <c r="K85" i="19" s="1"/>
  <c r="J86" i="19"/>
  <c r="J85" i="19"/>
  <c r="O87" i="19"/>
  <c r="N87" i="19"/>
  <c r="N88" i="19" s="1"/>
  <c r="K81" i="19"/>
  <c r="K80" i="19" s="1"/>
  <c r="K78" i="19"/>
  <c r="K77" i="19"/>
  <c r="K76" i="19"/>
  <c r="M79" i="19"/>
  <c r="L79" i="19"/>
  <c r="L81" i="19" s="1"/>
  <c r="L80" i="19" s="1"/>
  <c r="L75" i="19"/>
  <c r="L77" i="19" s="1"/>
  <c r="L78" i="19" s="1"/>
  <c r="M74" i="19"/>
  <c r="N74" i="19" s="1"/>
  <c r="O74" i="19" s="1"/>
  <c r="P74" i="19" s="1"/>
  <c r="Q74" i="19" s="1"/>
  <c r="R74" i="19" s="1"/>
  <c r="S74" i="19" s="1"/>
  <c r="T74" i="19" s="1"/>
  <c r="U74" i="19" s="1"/>
  <c r="V74" i="19" s="1"/>
  <c r="W74" i="19" s="1"/>
  <c r="X74" i="19" s="1"/>
  <c r="Y74" i="19" s="1"/>
  <c r="Z74" i="19" s="1"/>
  <c r="L74" i="19"/>
  <c r="J70" i="19"/>
  <c r="I70" i="19"/>
  <c r="H70" i="19"/>
  <c r="G70" i="19"/>
  <c r="F70" i="19"/>
  <c r="E70" i="19"/>
  <c r="D70" i="19"/>
  <c r="C70" i="19"/>
  <c r="J65" i="19"/>
  <c r="I63" i="19"/>
  <c r="E63" i="19"/>
  <c r="M63" i="19"/>
  <c r="N63" i="19" s="1"/>
  <c r="O63" i="19" s="1"/>
  <c r="P63" i="19" s="1"/>
  <c r="Q63" i="19" s="1"/>
  <c r="G59" i="19"/>
  <c r="G62" i="19" s="1"/>
  <c r="F59" i="19"/>
  <c r="F62" i="19" s="1"/>
  <c r="E59" i="19"/>
  <c r="D59" i="19"/>
  <c r="C59" i="19"/>
  <c r="E58" i="19"/>
  <c r="Z57" i="19"/>
  <c r="Z56" i="19"/>
  <c r="L57" i="19"/>
  <c r="M57" i="19" s="1"/>
  <c r="N57" i="19" s="1"/>
  <c r="O56" i="19"/>
  <c r="P56" i="19" s="1"/>
  <c r="Q56" i="19" s="1"/>
  <c r="R56" i="19" s="1"/>
  <c r="S56" i="19" s="1"/>
  <c r="T56" i="19" s="1"/>
  <c r="U56" i="19" s="1"/>
  <c r="V56" i="19" s="1"/>
  <c r="W56" i="19" s="1"/>
  <c r="X56" i="19" s="1"/>
  <c r="L55" i="19"/>
  <c r="M55" i="19" s="1"/>
  <c r="N55" i="19" s="1"/>
  <c r="O55" i="19" s="1"/>
  <c r="P55" i="19" s="1"/>
  <c r="Q55" i="19" s="1"/>
  <c r="R55" i="19" s="1"/>
  <c r="S55" i="19" s="1"/>
  <c r="T55" i="19" s="1"/>
  <c r="U55" i="19" s="1"/>
  <c r="V55" i="19" s="1"/>
  <c r="W55" i="19" s="1"/>
  <c r="X55" i="19" s="1"/>
  <c r="Y55" i="19" s="1"/>
  <c r="Z55" i="19" s="1"/>
  <c r="K55" i="19"/>
  <c r="E53" i="19"/>
  <c r="D53" i="19"/>
  <c r="C53" i="19" s="1"/>
  <c r="C58" i="19" s="1"/>
  <c r="J49" i="19"/>
  <c r="I49" i="19"/>
  <c r="H49" i="19"/>
  <c r="G49" i="19"/>
  <c r="F49" i="19"/>
  <c r="E49" i="19"/>
  <c r="D49" i="19"/>
  <c r="C49" i="19"/>
  <c r="K47" i="19"/>
  <c r="L47" i="19" s="1"/>
  <c r="M47" i="19" s="1"/>
  <c r="N47" i="19" s="1"/>
  <c r="O47" i="19" s="1"/>
  <c r="P47" i="19" s="1"/>
  <c r="Q47" i="19" s="1"/>
  <c r="R47" i="19" s="1"/>
  <c r="S47" i="19" s="1"/>
  <c r="T47" i="19" s="1"/>
  <c r="U47" i="19" s="1"/>
  <c r="V47" i="19" s="1"/>
  <c r="W47" i="19" s="1"/>
  <c r="X47" i="19" s="1"/>
  <c r="Y47" i="19" s="1"/>
  <c r="Z47" i="19" s="1"/>
  <c r="O46" i="19"/>
  <c r="P46" i="19" s="1"/>
  <c r="Q46" i="19" s="1"/>
  <c r="R46" i="19" s="1"/>
  <c r="S46" i="19" s="1"/>
  <c r="T46" i="19" s="1"/>
  <c r="U46" i="19" s="1"/>
  <c r="V46" i="19" s="1"/>
  <c r="W46" i="19" s="1"/>
  <c r="X46" i="19" s="1"/>
  <c r="Y46" i="19" s="1"/>
  <c r="Z46" i="19" s="1"/>
  <c r="O45" i="19"/>
  <c r="P45" i="19" s="1"/>
  <c r="Q45" i="19" s="1"/>
  <c r="R45" i="19" s="1"/>
  <c r="S45" i="19" s="1"/>
  <c r="T45" i="19" s="1"/>
  <c r="U45" i="19" s="1"/>
  <c r="V45" i="19" s="1"/>
  <c r="W45" i="19" s="1"/>
  <c r="X45" i="19" s="1"/>
  <c r="Y45" i="19" s="1"/>
  <c r="Z45" i="19" s="1"/>
  <c r="N45" i="19"/>
  <c r="L41" i="19"/>
  <c r="K41" i="19"/>
  <c r="J41" i="19"/>
  <c r="I41" i="19"/>
  <c r="H41" i="19"/>
  <c r="G41" i="19"/>
  <c r="D41" i="19"/>
  <c r="E41" i="19" s="1"/>
  <c r="D40" i="19"/>
  <c r="E40" i="19" s="1"/>
  <c r="F40" i="19" s="1"/>
  <c r="D39" i="19"/>
  <c r="E39" i="19" s="1"/>
  <c r="M40" i="19"/>
  <c r="N40" i="19" s="1"/>
  <c r="M39" i="19"/>
  <c r="M41" i="19" s="1"/>
  <c r="C36" i="19"/>
  <c r="C33" i="19"/>
  <c r="C30" i="19" s="1"/>
  <c r="C38" i="19" s="1"/>
  <c r="C29" i="19"/>
  <c r="C37" i="19" s="1"/>
  <c r="C28" i="19"/>
  <c r="D32" i="19"/>
  <c r="D31" i="19"/>
  <c r="D28" i="19" s="1"/>
  <c r="Q24" i="19"/>
  <c r="R24" i="19" s="1"/>
  <c r="S24" i="19" s="1"/>
  <c r="T24" i="19" s="1"/>
  <c r="U24" i="19" s="1"/>
  <c r="V24" i="19" s="1"/>
  <c r="W24" i="19" s="1"/>
  <c r="X24" i="19" s="1"/>
  <c r="Y24" i="19" s="1"/>
  <c r="Z24" i="19" s="1"/>
  <c r="P24" i="19"/>
  <c r="L24" i="19"/>
  <c r="K24" i="19"/>
  <c r="G23" i="19"/>
  <c r="F23" i="19"/>
  <c r="E23" i="19"/>
  <c r="D23" i="19"/>
  <c r="R23" i="19"/>
  <c r="S23" i="19" s="1"/>
  <c r="T23" i="19" s="1"/>
  <c r="U23" i="19" s="1"/>
  <c r="V23" i="19" s="1"/>
  <c r="W23" i="19" s="1"/>
  <c r="X23" i="19" s="1"/>
  <c r="Y23" i="19" s="1"/>
  <c r="Z23" i="19" s="1"/>
  <c r="S22" i="19"/>
  <c r="T22" i="19" s="1"/>
  <c r="U22" i="19" s="1"/>
  <c r="V22" i="19" s="1"/>
  <c r="W22" i="19" s="1"/>
  <c r="X22" i="19" s="1"/>
  <c r="Y22" i="19" s="1"/>
  <c r="Z22" i="19" s="1"/>
  <c r="R22" i="19"/>
  <c r="P22" i="19"/>
  <c r="O22" i="19"/>
  <c r="L22" i="19"/>
  <c r="K22" i="19"/>
  <c r="I15" i="19"/>
  <c r="I18" i="19" s="1"/>
  <c r="D12" i="19"/>
  <c r="E12" i="19" s="1"/>
  <c r="F12" i="19" s="1"/>
  <c r="G12" i="19" s="1"/>
  <c r="H12" i="19" s="1"/>
  <c r="I12" i="19" s="1"/>
  <c r="J12" i="19" s="1"/>
  <c r="K12" i="19" s="1"/>
  <c r="L12" i="19" s="1"/>
  <c r="M12" i="19" s="1"/>
  <c r="N12" i="19" s="1"/>
  <c r="O12" i="19" s="1"/>
  <c r="P12" i="19" s="1"/>
  <c r="Q12" i="19" s="1"/>
  <c r="R12" i="19" s="1"/>
  <c r="S12" i="19" s="1"/>
  <c r="T12" i="19" s="1"/>
  <c r="U12" i="19" s="1"/>
  <c r="V12" i="19" s="1"/>
  <c r="W12" i="19" s="1"/>
  <c r="X12" i="19" s="1"/>
  <c r="Y12" i="19" s="1"/>
  <c r="Z12" i="19" s="1"/>
  <c r="I11" i="19"/>
  <c r="J11" i="19" s="1"/>
  <c r="K11" i="19" s="1"/>
  <c r="L11" i="19" s="1"/>
  <c r="M11" i="19" s="1"/>
  <c r="N11" i="19" s="1"/>
  <c r="O11" i="19" s="1"/>
  <c r="P11" i="19" s="1"/>
  <c r="Q11" i="19" s="1"/>
  <c r="R11" i="19" s="1"/>
  <c r="S11" i="19" s="1"/>
  <c r="T11" i="19" s="1"/>
  <c r="U11" i="19" s="1"/>
  <c r="V11" i="19" s="1"/>
  <c r="W11" i="19" s="1"/>
  <c r="X11" i="19" s="1"/>
  <c r="Y11" i="19" s="1"/>
  <c r="Z11" i="19" s="1"/>
  <c r="I10" i="19"/>
  <c r="E6" i="19"/>
  <c r="F6" i="19" s="1"/>
  <c r="G6" i="19" s="1"/>
  <c r="H6" i="19" s="1"/>
  <c r="I6" i="19" s="1"/>
  <c r="J6" i="19" s="1"/>
  <c r="K6" i="19" s="1"/>
  <c r="L6" i="19" s="1"/>
  <c r="M6" i="19" s="1"/>
  <c r="N6" i="19" s="1"/>
  <c r="O6" i="19" s="1"/>
  <c r="P6" i="19" s="1"/>
  <c r="Q6" i="19" s="1"/>
  <c r="R6" i="19" s="1"/>
  <c r="S6" i="19" s="1"/>
  <c r="T6" i="19" s="1"/>
  <c r="U6" i="19" s="1"/>
  <c r="V6" i="19" s="1"/>
  <c r="W6" i="19" s="1"/>
  <c r="X6" i="19" s="1"/>
  <c r="Y6" i="19" s="1"/>
  <c r="Z6" i="19" s="1"/>
  <c r="E5" i="19"/>
  <c r="D5" i="19"/>
  <c r="D3" i="19"/>
  <c r="E3" i="19" s="1"/>
  <c r="F3" i="19" s="1"/>
  <c r="G3" i="19" s="1"/>
  <c r="H3" i="19" s="1"/>
  <c r="I3" i="19" s="1"/>
  <c r="J3" i="19" s="1"/>
  <c r="K3" i="19" s="1"/>
  <c r="L3" i="19" s="1"/>
  <c r="M3" i="19" s="1"/>
  <c r="N3" i="19" s="1"/>
  <c r="O3" i="19" s="1"/>
  <c r="P3" i="19" s="1"/>
  <c r="Q3" i="19" s="1"/>
  <c r="R3" i="19" s="1"/>
  <c r="S3" i="19" s="1"/>
  <c r="T3" i="19" s="1"/>
  <c r="U3" i="19" s="1"/>
  <c r="V3" i="19" s="1"/>
  <c r="W3" i="19" s="1"/>
  <c r="X3" i="19" s="1"/>
  <c r="Y3" i="19" s="1"/>
  <c r="Z3" i="19" s="1"/>
  <c r="E1" i="19"/>
  <c r="K130" i="18"/>
  <c r="K140" i="18" s="1"/>
  <c r="N117" i="18"/>
  <c r="O98" i="18"/>
  <c r="P98" i="18" s="1"/>
  <c r="Q98" i="18" s="1"/>
  <c r="R98" i="18" s="1"/>
  <c r="S98" i="18" s="1"/>
  <c r="T98" i="18" s="1"/>
  <c r="U98" i="18" s="1"/>
  <c r="V98" i="18" s="1"/>
  <c r="W98" i="18" s="1"/>
  <c r="X98" i="18" s="1"/>
  <c r="Y98" i="18" s="1"/>
  <c r="Z98" i="18" s="1"/>
  <c r="O97" i="18"/>
  <c r="P97" i="18" s="1"/>
  <c r="Q97" i="18" s="1"/>
  <c r="R97" i="18" s="1"/>
  <c r="S97" i="18" s="1"/>
  <c r="T97" i="18" s="1"/>
  <c r="U97" i="18" s="1"/>
  <c r="V97" i="18" s="1"/>
  <c r="W97" i="18" s="1"/>
  <c r="X97" i="18" s="1"/>
  <c r="Y97" i="18" s="1"/>
  <c r="Z97" i="18" s="1"/>
  <c r="P99" i="18"/>
  <c r="Q99" i="18" s="1"/>
  <c r="R99" i="18" s="1"/>
  <c r="S99" i="18" s="1"/>
  <c r="T99" i="18" s="1"/>
  <c r="U99" i="18" s="1"/>
  <c r="V99" i="18" s="1"/>
  <c r="W99" i="18" s="1"/>
  <c r="X99" i="18" s="1"/>
  <c r="Y99" i="18" s="1"/>
  <c r="Z99" i="18" s="1"/>
  <c r="L94" i="18"/>
  <c r="M93" i="18"/>
  <c r="J93" i="18"/>
  <c r="L90" i="18"/>
  <c r="K90" i="18"/>
  <c r="J90" i="18"/>
  <c r="J88" i="18"/>
  <c r="J87" i="18"/>
  <c r="N89" i="18"/>
  <c r="N90" i="18" s="1"/>
  <c r="L83" i="18"/>
  <c r="L82" i="18" s="1"/>
  <c r="K83" i="18"/>
  <c r="K82" i="18" s="1"/>
  <c r="M82" i="18"/>
  <c r="K77" i="18"/>
  <c r="K79" i="18" s="1"/>
  <c r="N83" i="18"/>
  <c r="L75" i="18"/>
  <c r="M75" i="18" s="1"/>
  <c r="N75" i="18" s="1"/>
  <c r="O75" i="18" s="1"/>
  <c r="P75" i="18" s="1"/>
  <c r="Q75" i="18" s="1"/>
  <c r="R75" i="18" s="1"/>
  <c r="S75" i="18" s="1"/>
  <c r="T75" i="18" s="1"/>
  <c r="U75" i="18" s="1"/>
  <c r="V75" i="18" s="1"/>
  <c r="W75" i="18" s="1"/>
  <c r="X75" i="18" s="1"/>
  <c r="Y75" i="18" s="1"/>
  <c r="Z75" i="18" s="1"/>
  <c r="O74" i="18"/>
  <c r="P74" i="18" s="1"/>
  <c r="Q74" i="18" s="1"/>
  <c r="R74" i="18" s="1"/>
  <c r="S74" i="18" s="1"/>
  <c r="T74" i="18" s="1"/>
  <c r="U74" i="18" s="1"/>
  <c r="V74" i="18" s="1"/>
  <c r="W74" i="18" s="1"/>
  <c r="X74" i="18" s="1"/>
  <c r="Y74" i="18" s="1"/>
  <c r="Z74" i="18" s="1"/>
  <c r="O73" i="18"/>
  <c r="P73" i="18" s="1"/>
  <c r="Q73" i="18" s="1"/>
  <c r="R73" i="18" s="1"/>
  <c r="S73" i="18" s="1"/>
  <c r="T73" i="18" s="1"/>
  <c r="U73" i="18" s="1"/>
  <c r="V73" i="18" s="1"/>
  <c r="W73" i="18" s="1"/>
  <c r="X73" i="18" s="1"/>
  <c r="Y73" i="18" s="1"/>
  <c r="Z73" i="18" s="1"/>
  <c r="J69" i="18"/>
  <c r="I69" i="18"/>
  <c r="H69" i="18"/>
  <c r="G69" i="18"/>
  <c r="F69" i="18"/>
  <c r="E69" i="18"/>
  <c r="D69" i="18"/>
  <c r="C69" i="18"/>
  <c r="K68" i="18"/>
  <c r="I62" i="18"/>
  <c r="D62" i="18"/>
  <c r="E62" i="18" s="1"/>
  <c r="M62" i="18"/>
  <c r="N62" i="18" s="1"/>
  <c r="F58" i="18"/>
  <c r="D57" i="18"/>
  <c r="K56" i="18"/>
  <c r="L56" i="18" s="1"/>
  <c r="M56" i="18" s="1"/>
  <c r="N56" i="18" s="1"/>
  <c r="O55" i="18"/>
  <c r="P55" i="18" s="1"/>
  <c r="Q55" i="18" s="1"/>
  <c r="R55" i="18" s="1"/>
  <c r="S55" i="18" s="1"/>
  <c r="T55" i="18" s="1"/>
  <c r="U55" i="18" s="1"/>
  <c r="V55" i="18" s="1"/>
  <c r="W55" i="18" s="1"/>
  <c r="X55" i="18" s="1"/>
  <c r="Y55" i="18" s="1"/>
  <c r="Z55" i="18" s="1"/>
  <c r="Q54" i="18"/>
  <c r="R54" i="18" s="1"/>
  <c r="S54" i="18" s="1"/>
  <c r="T54" i="18" s="1"/>
  <c r="U54" i="18" s="1"/>
  <c r="V54" i="18" s="1"/>
  <c r="W54" i="18" s="1"/>
  <c r="X54" i="18" s="1"/>
  <c r="K49" i="18"/>
  <c r="J49" i="18"/>
  <c r="I49" i="18"/>
  <c r="H49" i="18"/>
  <c r="G49" i="18"/>
  <c r="F49" i="18"/>
  <c r="E49" i="18"/>
  <c r="D49" i="18"/>
  <c r="C49" i="18"/>
  <c r="K47" i="18"/>
  <c r="L47" i="18" s="1"/>
  <c r="M47" i="18" s="1"/>
  <c r="N47" i="18" s="1"/>
  <c r="O47" i="18" s="1"/>
  <c r="P47" i="18" s="1"/>
  <c r="Q47" i="18" s="1"/>
  <c r="R47" i="18" s="1"/>
  <c r="S47" i="18" s="1"/>
  <c r="T47" i="18" s="1"/>
  <c r="U47" i="18" s="1"/>
  <c r="V47" i="18" s="1"/>
  <c r="W47" i="18" s="1"/>
  <c r="X47" i="18" s="1"/>
  <c r="Y47" i="18" s="1"/>
  <c r="Z47" i="18" s="1"/>
  <c r="P46" i="18"/>
  <c r="Q46" i="18" s="1"/>
  <c r="R46" i="18" s="1"/>
  <c r="S46" i="18" s="1"/>
  <c r="T46" i="18" s="1"/>
  <c r="U46" i="18" s="1"/>
  <c r="V46" i="18" s="1"/>
  <c r="W46" i="18" s="1"/>
  <c r="X46" i="18" s="1"/>
  <c r="Y46" i="18" s="1"/>
  <c r="Z46" i="18" s="1"/>
  <c r="M45" i="18"/>
  <c r="N45" i="18" s="1"/>
  <c r="O45" i="18" s="1"/>
  <c r="P45" i="18" s="1"/>
  <c r="Q45" i="18" s="1"/>
  <c r="R45" i="18" s="1"/>
  <c r="S45" i="18" s="1"/>
  <c r="T45" i="18" s="1"/>
  <c r="U45" i="18" s="1"/>
  <c r="V45" i="18" s="1"/>
  <c r="W45" i="18" s="1"/>
  <c r="X45" i="18" s="1"/>
  <c r="Y45" i="18" s="1"/>
  <c r="Z45" i="18" s="1"/>
  <c r="K45" i="18"/>
  <c r="L41" i="18"/>
  <c r="K41" i="18"/>
  <c r="J41" i="18"/>
  <c r="I41" i="18"/>
  <c r="H41" i="18"/>
  <c r="G41" i="18"/>
  <c r="D41" i="18"/>
  <c r="E41" i="18" s="1"/>
  <c r="F41" i="18" s="1"/>
  <c r="D40" i="18"/>
  <c r="E40" i="18" s="1"/>
  <c r="D39" i="18"/>
  <c r="E39" i="18" s="1"/>
  <c r="F39" i="18" s="1"/>
  <c r="M40" i="18"/>
  <c r="N40" i="18" s="1"/>
  <c r="O40" i="18" s="1"/>
  <c r="M39" i="18"/>
  <c r="M41" i="18" s="1"/>
  <c r="K33" i="18"/>
  <c r="J33" i="18"/>
  <c r="I33" i="18"/>
  <c r="H33" i="18"/>
  <c r="G33" i="18"/>
  <c r="F33" i="18"/>
  <c r="E33" i="18"/>
  <c r="E30" i="18" s="1"/>
  <c r="D33" i="18"/>
  <c r="D30" i="18" s="1"/>
  <c r="C33" i="18"/>
  <c r="C30" i="18" s="1"/>
  <c r="C38" i="18" s="1"/>
  <c r="E29" i="18"/>
  <c r="D29" i="18"/>
  <c r="D37" i="18" s="1"/>
  <c r="C29" i="18"/>
  <c r="C37" i="18" s="1"/>
  <c r="F28" i="18"/>
  <c r="E28" i="18"/>
  <c r="D28" i="18"/>
  <c r="C28" i="18"/>
  <c r="C36" i="18" s="1"/>
  <c r="L32" i="18"/>
  <c r="M32" i="18" s="1"/>
  <c r="L31" i="18"/>
  <c r="L33" i="18" s="1"/>
  <c r="F25" i="18"/>
  <c r="N24" i="18"/>
  <c r="O24" i="18" s="1"/>
  <c r="P24" i="18" s="1"/>
  <c r="Q24" i="18" s="1"/>
  <c r="R24" i="18" s="1"/>
  <c r="S24" i="18" s="1"/>
  <c r="T24" i="18" s="1"/>
  <c r="U24" i="18" s="1"/>
  <c r="V24" i="18" s="1"/>
  <c r="W24" i="18" s="1"/>
  <c r="X24" i="18" s="1"/>
  <c r="Y24" i="18" s="1"/>
  <c r="Z24" i="18" s="1"/>
  <c r="L24" i="18"/>
  <c r="K24" i="18"/>
  <c r="R23" i="18"/>
  <c r="S23" i="18" s="1"/>
  <c r="T23" i="18" s="1"/>
  <c r="U23" i="18" s="1"/>
  <c r="V23" i="18" s="1"/>
  <c r="W23" i="18" s="1"/>
  <c r="X23" i="18" s="1"/>
  <c r="Y23" i="18" s="1"/>
  <c r="Z23" i="18" s="1"/>
  <c r="P23" i="18"/>
  <c r="P22" i="18"/>
  <c r="E23" i="18"/>
  <c r="D23" i="18"/>
  <c r="U22" i="18"/>
  <c r="V22" i="18" s="1"/>
  <c r="W22" i="18" s="1"/>
  <c r="X22" i="18" s="1"/>
  <c r="Y22" i="18" s="1"/>
  <c r="Z22" i="18" s="1"/>
  <c r="Q22" i="18"/>
  <c r="R22" i="18" s="1"/>
  <c r="S22" i="18" s="1"/>
  <c r="L22" i="18"/>
  <c r="K22" i="18"/>
  <c r="I16" i="18"/>
  <c r="J16" i="18" s="1"/>
  <c r="D12" i="18"/>
  <c r="E12" i="18" s="1"/>
  <c r="F12" i="18" s="1"/>
  <c r="G12" i="18" s="1"/>
  <c r="H12" i="18" s="1"/>
  <c r="I12" i="18" s="1"/>
  <c r="I11" i="18"/>
  <c r="J11" i="18" s="1"/>
  <c r="K11" i="18" s="1"/>
  <c r="L11" i="18" s="1"/>
  <c r="M11" i="18" s="1"/>
  <c r="N11" i="18" s="1"/>
  <c r="O11" i="18" s="1"/>
  <c r="P11" i="18" s="1"/>
  <c r="Q11" i="18" s="1"/>
  <c r="R11" i="18" s="1"/>
  <c r="S11" i="18" s="1"/>
  <c r="T11" i="18" s="1"/>
  <c r="U11" i="18" s="1"/>
  <c r="V11" i="18" s="1"/>
  <c r="W11" i="18" s="1"/>
  <c r="X11" i="18" s="1"/>
  <c r="Y11" i="18" s="1"/>
  <c r="Z11" i="18" s="1"/>
  <c r="E6" i="18"/>
  <c r="F6" i="18" s="1"/>
  <c r="G6" i="18" s="1"/>
  <c r="H6" i="18" s="1"/>
  <c r="I6" i="18" s="1"/>
  <c r="J6" i="18" s="1"/>
  <c r="K6" i="18" s="1"/>
  <c r="L6" i="18" s="1"/>
  <c r="M6" i="18" s="1"/>
  <c r="N6" i="18" s="1"/>
  <c r="O6" i="18" s="1"/>
  <c r="P6" i="18" s="1"/>
  <c r="Q6" i="18" s="1"/>
  <c r="R6" i="18" s="1"/>
  <c r="S6" i="18" s="1"/>
  <c r="T6" i="18" s="1"/>
  <c r="U6" i="18" s="1"/>
  <c r="V6" i="18" s="1"/>
  <c r="W6" i="18" s="1"/>
  <c r="X6" i="18" s="1"/>
  <c r="Y6" i="18" s="1"/>
  <c r="Z6" i="18" s="1"/>
  <c r="D5" i="18"/>
  <c r="D3" i="18"/>
  <c r="E3" i="18" s="1"/>
  <c r="F3" i="18" s="1"/>
  <c r="G3" i="18" s="1"/>
  <c r="H3" i="18" s="1"/>
  <c r="I3" i="18" s="1"/>
  <c r="J3" i="18" s="1"/>
  <c r="K3" i="18" s="1"/>
  <c r="L3" i="18" s="1"/>
  <c r="M3" i="18" s="1"/>
  <c r="N3" i="18" s="1"/>
  <c r="O3" i="18" s="1"/>
  <c r="P3" i="18" s="1"/>
  <c r="Q3" i="18" s="1"/>
  <c r="R3" i="18" s="1"/>
  <c r="S3" i="18" s="1"/>
  <c r="T3" i="18" s="1"/>
  <c r="U3" i="18" s="1"/>
  <c r="V3" i="18" s="1"/>
  <c r="W3" i="18" s="1"/>
  <c r="X3" i="18" s="1"/>
  <c r="Y3" i="18" s="1"/>
  <c r="Z3" i="18" s="1"/>
  <c r="E1" i="18"/>
  <c r="M68" i="12"/>
  <c r="C463" i="12"/>
  <c r="C462" i="12"/>
  <c r="AL460" i="12"/>
  <c r="AL464" i="12" s="1"/>
  <c r="AK460" i="12"/>
  <c r="AK464" i="12" s="1"/>
  <c r="AJ460" i="12"/>
  <c r="AJ464" i="12" s="1"/>
  <c r="AI460" i="12"/>
  <c r="AI464" i="12" s="1"/>
  <c r="AG460" i="12"/>
  <c r="AG464" i="12" s="1"/>
  <c r="AF460" i="12"/>
  <c r="AF464" i="12" s="1"/>
  <c r="AE460" i="12"/>
  <c r="AE464" i="12" s="1"/>
  <c r="AD460" i="12"/>
  <c r="AD464" i="12" s="1"/>
  <c r="AB460" i="12"/>
  <c r="AB464" i="12" s="1"/>
  <c r="AA460" i="12"/>
  <c r="AA464" i="12" s="1"/>
  <c r="Z460" i="12"/>
  <c r="Z464" i="12" s="1"/>
  <c r="Y460" i="12"/>
  <c r="Y464" i="12" s="1"/>
  <c r="W460" i="12"/>
  <c r="W464" i="12" s="1"/>
  <c r="V460" i="12"/>
  <c r="V464" i="12" s="1"/>
  <c r="U460" i="12"/>
  <c r="U464" i="12" s="1"/>
  <c r="T460" i="12"/>
  <c r="T464" i="12" s="1"/>
  <c r="R460" i="12"/>
  <c r="R464" i="12" s="1"/>
  <c r="Q460" i="12"/>
  <c r="Q464" i="12" s="1"/>
  <c r="P460" i="12"/>
  <c r="P464" i="12" s="1"/>
  <c r="O460" i="12"/>
  <c r="O464" i="12" s="1"/>
  <c r="H460" i="12"/>
  <c r="H464" i="12" s="1"/>
  <c r="G460" i="12"/>
  <c r="G464" i="12" s="1"/>
  <c r="F460" i="12"/>
  <c r="F464" i="12" s="1"/>
  <c r="E460" i="12"/>
  <c r="E464" i="12" s="1"/>
  <c r="D460" i="12"/>
  <c r="D464" i="12" s="1"/>
  <c r="C460" i="12"/>
  <c r="C464" i="12" s="1"/>
  <c r="AM457" i="12"/>
  <c r="AM454" i="12"/>
  <c r="AM451" i="12"/>
  <c r="N445" i="12"/>
  <c r="M445" i="12"/>
  <c r="L445" i="12"/>
  <c r="K445" i="12"/>
  <c r="J445" i="12"/>
  <c r="I445" i="12"/>
  <c r="AM434" i="12"/>
  <c r="AN434" i="12" s="1"/>
  <c r="AH434" i="12"/>
  <c r="AL397" i="12"/>
  <c r="AK397" i="12"/>
  <c r="AJ397" i="12"/>
  <c r="AI397" i="12"/>
  <c r="AG397" i="12"/>
  <c r="AF397" i="12"/>
  <c r="AE397" i="12"/>
  <c r="AD397" i="12"/>
  <c r="AB397" i="12"/>
  <c r="AA397" i="12"/>
  <c r="Z397" i="12"/>
  <c r="Y397" i="12"/>
  <c r="W397" i="12"/>
  <c r="V397" i="12"/>
  <c r="U397" i="12"/>
  <c r="T397" i="12"/>
  <c r="X395" i="12"/>
  <c r="X394" i="12"/>
  <c r="AC394" i="12"/>
  <c r="AM395" i="12"/>
  <c r="AN395" i="12" s="1"/>
  <c r="AO395" i="12" s="1"/>
  <c r="AP395" i="12" s="1"/>
  <c r="AQ395" i="12" s="1"/>
  <c r="AR395" i="12" s="1"/>
  <c r="AS395" i="12" s="1"/>
  <c r="AT395" i="12" s="1"/>
  <c r="AU395" i="12" s="1"/>
  <c r="AV395" i="12" s="1"/>
  <c r="AW395" i="12" s="1"/>
  <c r="AX395" i="12" s="1"/>
  <c r="AY395" i="12" s="1"/>
  <c r="AZ395" i="12" s="1"/>
  <c r="BA395" i="12" s="1"/>
  <c r="AM394" i="12"/>
  <c r="AL389" i="12"/>
  <c r="AK389" i="12"/>
  <c r="AJ389" i="12"/>
  <c r="AI389" i="12"/>
  <c r="AG389" i="12"/>
  <c r="AF389" i="12"/>
  <c r="AE389" i="12"/>
  <c r="AD389" i="12"/>
  <c r="AB389" i="12"/>
  <c r="AA389" i="12"/>
  <c r="Z389" i="12"/>
  <c r="Y389" i="12"/>
  <c r="W389" i="12"/>
  <c r="V389" i="12"/>
  <c r="U389" i="12"/>
  <c r="T389" i="12"/>
  <c r="R389" i="12"/>
  <c r="Q389" i="12"/>
  <c r="P389" i="12"/>
  <c r="O389" i="12"/>
  <c r="AM387" i="12"/>
  <c r="AQ386" i="12"/>
  <c r="AP386" i="12"/>
  <c r="AM386" i="12"/>
  <c r="S387" i="12"/>
  <c r="S386" i="12"/>
  <c r="BD386" i="12"/>
  <c r="AH386" i="12"/>
  <c r="AC386" i="12"/>
  <c r="X386" i="12"/>
  <c r="AL381" i="12"/>
  <c r="AK381" i="12"/>
  <c r="AJ381" i="12"/>
  <c r="AI381" i="12"/>
  <c r="AG381" i="12"/>
  <c r="AF381" i="12"/>
  <c r="AE381" i="12"/>
  <c r="AD381" i="12"/>
  <c r="AB381" i="12"/>
  <c r="AA381" i="12"/>
  <c r="Z381" i="12"/>
  <c r="Y381" i="12"/>
  <c r="W381" i="12"/>
  <c r="V381" i="12"/>
  <c r="U381" i="12"/>
  <c r="T381" i="12"/>
  <c r="R381" i="12"/>
  <c r="Q381" i="12"/>
  <c r="P381" i="12"/>
  <c r="O381" i="12"/>
  <c r="S379" i="12"/>
  <c r="X379" i="12" s="1"/>
  <c r="AC379" i="12" s="1"/>
  <c r="AH379" i="12" s="1"/>
  <c r="AM379" i="12" s="1"/>
  <c r="AN379" i="12" s="1"/>
  <c r="AO379" i="12" s="1"/>
  <c r="AP379" i="12" s="1"/>
  <c r="AQ379" i="12" s="1"/>
  <c r="AR379" i="12" s="1"/>
  <c r="AS379" i="12" s="1"/>
  <c r="AT379" i="12" s="1"/>
  <c r="AU379" i="12" s="1"/>
  <c r="AV379" i="12" s="1"/>
  <c r="AW379" i="12" s="1"/>
  <c r="AX379" i="12" s="1"/>
  <c r="AY379" i="12" s="1"/>
  <c r="AZ379" i="12" s="1"/>
  <c r="BA379" i="12" s="1"/>
  <c r="N379" i="12"/>
  <c r="S378" i="12"/>
  <c r="X378" i="12" s="1"/>
  <c r="AC378" i="12" s="1"/>
  <c r="AH378" i="12" s="1"/>
  <c r="AM378" i="12" s="1"/>
  <c r="AN378" i="12" s="1"/>
  <c r="AO378" i="12" s="1"/>
  <c r="AP378" i="12" s="1"/>
  <c r="AQ378" i="12" s="1"/>
  <c r="AR378" i="12" s="1"/>
  <c r="AS378" i="12" s="1"/>
  <c r="AT378" i="12" s="1"/>
  <c r="AU378" i="12" s="1"/>
  <c r="AV378" i="12" s="1"/>
  <c r="AW378" i="12" s="1"/>
  <c r="AX378" i="12" s="1"/>
  <c r="AY378" i="12" s="1"/>
  <c r="AZ378" i="12" s="1"/>
  <c r="BA378" i="12" s="1"/>
  <c r="AL373" i="12"/>
  <c r="AK373" i="12"/>
  <c r="AJ373" i="12"/>
  <c r="AI373" i="12"/>
  <c r="AG373" i="12"/>
  <c r="AF373" i="12"/>
  <c r="AE373" i="12"/>
  <c r="AD373" i="12"/>
  <c r="AB373" i="12"/>
  <c r="AA373" i="12"/>
  <c r="Z373" i="12"/>
  <c r="Y373" i="12"/>
  <c r="W373" i="12"/>
  <c r="V373" i="12"/>
  <c r="U373" i="12"/>
  <c r="T373" i="12"/>
  <c r="R373" i="12"/>
  <c r="Q373" i="12"/>
  <c r="P373" i="12"/>
  <c r="O373" i="12"/>
  <c r="X371" i="12"/>
  <c r="AC371" i="12" s="1"/>
  <c r="AH371" i="12" s="1"/>
  <c r="AM371" i="12" s="1"/>
  <c r="AN371" i="12" s="1"/>
  <c r="AO371" i="12" s="1"/>
  <c r="AP371" i="12" s="1"/>
  <c r="AQ371" i="12" s="1"/>
  <c r="AR371" i="12" s="1"/>
  <c r="AS371" i="12" s="1"/>
  <c r="AT371" i="12" s="1"/>
  <c r="AU371" i="12" s="1"/>
  <c r="AV371" i="12" s="1"/>
  <c r="AW371" i="12" s="1"/>
  <c r="AX371" i="12" s="1"/>
  <c r="AY371" i="12" s="1"/>
  <c r="AZ371" i="12" s="1"/>
  <c r="BA371" i="12" s="1"/>
  <c r="S371" i="12"/>
  <c r="M371" i="12"/>
  <c r="N371" i="12" s="1"/>
  <c r="BD369" i="12"/>
  <c r="X370" i="12"/>
  <c r="AC370" i="12" s="1"/>
  <c r="AH370" i="12" s="1"/>
  <c r="AM370" i="12" s="1"/>
  <c r="AN370" i="12" s="1"/>
  <c r="AO370" i="12" s="1"/>
  <c r="AP370" i="12" s="1"/>
  <c r="AQ370" i="12" s="1"/>
  <c r="AR370" i="12" s="1"/>
  <c r="AS370" i="12" s="1"/>
  <c r="AT370" i="12" s="1"/>
  <c r="AU370" i="12" s="1"/>
  <c r="AV370" i="12" s="1"/>
  <c r="AW370" i="12" s="1"/>
  <c r="AX370" i="12" s="1"/>
  <c r="AY370" i="12" s="1"/>
  <c r="AZ370" i="12" s="1"/>
  <c r="BA370" i="12" s="1"/>
  <c r="S370" i="12"/>
  <c r="N370" i="12"/>
  <c r="E362" i="12"/>
  <c r="L362" i="12"/>
  <c r="M362" i="12" s="1"/>
  <c r="N362" i="12" s="1"/>
  <c r="S362" i="12" s="1"/>
  <c r="X362" i="12" s="1"/>
  <c r="AC362" i="12" s="1"/>
  <c r="AH362" i="12" s="1"/>
  <c r="AM362" i="12" s="1"/>
  <c r="AN362" i="12" s="1"/>
  <c r="AO362" i="12" s="1"/>
  <c r="AP362" i="12" s="1"/>
  <c r="AQ362" i="12" s="1"/>
  <c r="AR362" i="12" s="1"/>
  <c r="AS362" i="12" s="1"/>
  <c r="AT362" i="12" s="1"/>
  <c r="AU362" i="12" s="1"/>
  <c r="AV362" i="12" s="1"/>
  <c r="AW362" i="12" s="1"/>
  <c r="AX362" i="12" s="1"/>
  <c r="AY362" i="12" s="1"/>
  <c r="AZ362" i="12" s="1"/>
  <c r="BA362" i="12" s="1"/>
  <c r="L361" i="12"/>
  <c r="M361" i="12" s="1"/>
  <c r="N361" i="12" s="1"/>
  <c r="S361" i="12" s="1"/>
  <c r="X361" i="12" s="1"/>
  <c r="AC361" i="12" s="1"/>
  <c r="AH361" i="12" s="1"/>
  <c r="AM361" i="12" s="1"/>
  <c r="AN361" i="12" s="1"/>
  <c r="AO361" i="12" s="1"/>
  <c r="AP361" i="12" s="1"/>
  <c r="AQ361" i="12" s="1"/>
  <c r="AR361" i="12" s="1"/>
  <c r="AS361" i="12" s="1"/>
  <c r="AT361" i="12" s="1"/>
  <c r="AU361" i="12" s="1"/>
  <c r="AV361" i="12" s="1"/>
  <c r="AW361" i="12" s="1"/>
  <c r="AX361" i="12" s="1"/>
  <c r="AY361" i="12" s="1"/>
  <c r="AZ361" i="12" s="1"/>
  <c r="BA361" i="12" s="1"/>
  <c r="N341" i="12"/>
  <c r="M341" i="12"/>
  <c r="L341" i="12"/>
  <c r="K341" i="12"/>
  <c r="J341" i="12"/>
  <c r="I341" i="12"/>
  <c r="B339" i="12"/>
  <c r="AM340" i="12"/>
  <c r="AV338" i="12"/>
  <c r="AU338" i="12"/>
  <c r="AT338" i="12"/>
  <c r="AS338" i="12"/>
  <c r="AR338" i="12"/>
  <c r="AQ338" i="12"/>
  <c r="AP338" i="12"/>
  <c r="AO338" i="12"/>
  <c r="AN338" i="12"/>
  <c r="AM338" i="12"/>
  <c r="AV336" i="12"/>
  <c r="AU336" i="12"/>
  <c r="AT336" i="12"/>
  <c r="AS336" i="12"/>
  <c r="AR336" i="12"/>
  <c r="AQ336" i="12"/>
  <c r="AP336" i="12"/>
  <c r="AO336" i="12"/>
  <c r="AN336" i="12"/>
  <c r="AM336" i="12"/>
  <c r="AR334" i="12"/>
  <c r="AQ334" i="12"/>
  <c r="AP334" i="12"/>
  <c r="AO334" i="12"/>
  <c r="AN334" i="12"/>
  <c r="AM334" i="12"/>
  <c r="AR332" i="12"/>
  <c r="AQ332" i="12"/>
  <c r="AP332" i="12"/>
  <c r="AO332" i="12"/>
  <c r="AN332" i="12"/>
  <c r="AM332" i="12"/>
  <c r="AP330" i="12"/>
  <c r="AO330" i="12"/>
  <c r="AN330" i="12"/>
  <c r="AM330" i="12"/>
  <c r="B327" i="12"/>
  <c r="AP328" i="12"/>
  <c r="AO328" i="12"/>
  <c r="AN328" i="12"/>
  <c r="AM328" i="12"/>
  <c r="AO326" i="12"/>
  <c r="AN326" i="12"/>
  <c r="AM326" i="12"/>
  <c r="AP325" i="12"/>
  <c r="AP326" i="12" s="1"/>
  <c r="X323" i="12"/>
  <c r="S323" i="12"/>
  <c r="AO324" i="12"/>
  <c r="AN324" i="12"/>
  <c r="AM324" i="12"/>
  <c r="AM322" i="12"/>
  <c r="AM318" i="12"/>
  <c r="S319" i="12"/>
  <c r="AW337" i="12"/>
  <c r="AW338" i="12" s="1"/>
  <c r="AT333" i="12"/>
  <c r="AT334" i="12" s="1"/>
  <c r="AS333" i="12"/>
  <c r="AS334" i="12" s="1"/>
  <c r="AR329" i="12"/>
  <c r="AR330" i="12" s="1"/>
  <c r="AQ329" i="12"/>
  <c r="AQ330" i="12" s="1"/>
  <c r="AQ325" i="12"/>
  <c r="AQ326" i="12" s="1"/>
  <c r="AP321" i="12"/>
  <c r="AQ321" i="12" s="1"/>
  <c r="AR321" i="12" s="1"/>
  <c r="AS321" i="12" s="1"/>
  <c r="AT321" i="12" s="1"/>
  <c r="AU321" i="12" s="1"/>
  <c r="AV321" i="12" s="1"/>
  <c r="AW321" i="12" s="1"/>
  <c r="AX321" i="12" s="1"/>
  <c r="AY321" i="12" s="1"/>
  <c r="AZ321" i="12" s="1"/>
  <c r="BA321" i="12" s="1"/>
  <c r="AN322" i="12"/>
  <c r="AO322" i="12" s="1"/>
  <c r="AP322" i="12" s="1"/>
  <c r="AQ322" i="12" s="1"/>
  <c r="AR322" i="12" s="1"/>
  <c r="AS322" i="12" s="1"/>
  <c r="AT322" i="12" s="1"/>
  <c r="AU322" i="12" s="1"/>
  <c r="AV322" i="12" s="1"/>
  <c r="AW322" i="12" s="1"/>
  <c r="AX322" i="12" s="1"/>
  <c r="AY322" i="12" s="1"/>
  <c r="AZ322" i="12" s="1"/>
  <c r="BA322" i="12" s="1"/>
  <c r="AN317" i="12"/>
  <c r="AN318" i="12" s="1"/>
  <c r="AO318" i="12" s="1"/>
  <c r="AP318" i="12" s="1"/>
  <c r="AQ318" i="12" s="1"/>
  <c r="AR318" i="12" s="1"/>
  <c r="AS318" i="12" s="1"/>
  <c r="AT318" i="12" s="1"/>
  <c r="AU318" i="12" s="1"/>
  <c r="AV318" i="12" s="1"/>
  <c r="AW318" i="12" s="1"/>
  <c r="AX318" i="12" s="1"/>
  <c r="AY318" i="12" s="1"/>
  <c r="AZ318" i="12" s="1"/>
  <c r="BA318" i="12" s="1"/>
  <c r="AN313" i="12"/>
  <c r="AL307" i="12"/>
  <c r="AK307" i="12"/>
  <c r="AH307" i="12"/>
  <c r="AF307" i="12"/>
  <c r="AG307" i="12" s="1"/>
  <c r="AA307" i="12"/>
  <c r="AB307" i="12" s="1"/>
  <c r="O307" i="12"/>
  <c r="P307" i="12" s="1"/>
  <c r="C304" i="12"/>
  <c r="D304" i="12" s="1"/>
  <c r="E304" i="12" s="1"/>
  <c r="K299" i="12"/>
  <c r="J299" i="12"/>
  <c r="I299" i="12"/>
  <c r="H299" i="12"/>
  <c r="G299" i="12"/>
  <c r="F299" i="12"/>
  <c r="B297" i="12"/>
  <c r="B335" i="12" s="1"/>
  <c r="B351" i="12" s="1"/>
  <c r="B296" i="12"/>
  <c r="B331" i="12" s="1"/>
  <c r="B350" i="12" s="1"/>
  <c r="K287" i="12"/>
  <c r="J287" i="12"/>
  <c r="I287" i="12"/>
  <c r="H287" i="12"/>
  <c r="G287" i="12"/>
  <c r="F287" i="12"/>
  <c r="E287" i="12"/>
  <c r="AM286" i="12"/>
  <c r="AN286" i="12" s="1"/>
  <c r="AI286" i="12"/>
  <c r="AJ286" i="12" s="1"/>
  <c r="AK286" i="12" s="1"/>
  <c r="AL286" i="12" s="1"/>
  <c r="L286" i="12"/>
  <c r="L287" i="12" s="1"/>
  <c r="AP286" i="12"/>
  <c r="AQ286" i="12" s="1"/>
  <c r="AR286" i="12" s="1"/>
  <c r="AS286" i="12" s="1"/>
  <c r="AT286" i="12" s="1"/>
  <c r="AU286" i="12" s="1"/>
  <c r="AV286" i="12" s="1"/>
  <c r="AW286" i="12" s="1"/>
  <c r="AX286" i="12" s="1"/>
  <c r="AY286" i="12" s="1"/>
  <c r="AZ286" i="12" s="1"/>
  <c r="BA286" i="12" s="1"/>
  <c r="AP284" i="12"/>
  <c r="AO284" i="12"/>
  <c r="AN284" i="12"/>
  <c r="AM284" i="12"/>
  <c r="AR283" i="12"/>
  <c r="AS283" i="12" s="1"/>
  <c r="AQ283" i="12"/>
  <c r="AQ284" i="12" s="1"/>
  <c r="AU280" i="12"/>
  <c r="AT280" i="12"/>
  <c r="AS280" i="12"/>
  <c r="AR280" i="12"/>
  <c r="AQ280" i="12"/>
  <c r="AP282" i="12"/>
  <c r="AO282" i="12"/>
  <c r="AN282" i="12"/>
  <c r="AM282" i="12"/>
  <c r="AP280" i="12"/>
  <c r="AO280" i="12"/>
  <c r="AN280" i="12"/>
  <c r="AM280" i="12"/>
  <c r="AU278" i="12"/>
  <c r="AT278" i="12"/>
  <c r="AS278" i="12"/>
  <c r="AR278" i="12"/>
  <c r="AQ278" i="12"/>
  <c r="AP278" i="12"/>
  <c r="AO278" i="12"/>
  <c r="AN278" i="12"/>
  <c r="AM278" i="12"/>
  <c r="AS276" i="12"/>
  <c r="AR276" i="12"/>
  <c r="AQ276" i="12"/>
  <c r="AP276" i="12"/>
  <c r="AO276" i="12"/>
  <c r="AN276" i="12"/>
  <c r="AM276" i="12"/>
  <c r="AS274" i="12"/>
  <c r="AR274" i="12"/>
  <c r="AQ274" i="12"/>
  <c r="AP274" i="12"/>
  <c r="AO274" i="12"/>
  <c r="AN274" i="12"/>
  <c r="AM274" i="12"/>
  <c r="AO272" i="12"/>
  <c r="AN272" i="12"/>
  <c r="AM272" i="12"/>
  <c r="AP272" i="12"/>
  <c r="AP270" i="12"/>
  <c r="AO270" i="12"/>
  <c r="AN270" i="12"/>
  <c r="AM270" i="12"/>
  <c r="AN268" i="12"/>
  <c r="AO268" i="12" s="1"/>
  <c r="AP268" i="12" s="1"/>
  <c r="AQ268" i="12" s="1"/>
  <c r="AR268" i="12" s="1"/>
  <c r="AS268" i="12" s="1"/>
  <c r="AT268" i="12" s="1"/>
  <c r="AU268" i="12" s="1"/>
  <c r="AV268" i="12" s="1"/>
  <c r="AW268" i="12" s="1"/>
  <c r="AX268" i="12" s="1"/>
  <c r="AY268" i="12" s="1"/>
  <c r="AZ268" i="12" s="1"/>
  <c r="BA268" i="12" s="1"/>
  <c r="AM268" i="12"/>
  <c r="AP266" i="12"/>
  <c r="AO266" i="12"/>
  <c r="AN266" i="12"/>
  <c r="AM266" i="12"/>
  <c r="AN264" i="12"/>
  <c r="AO264" i="12" s="1"/>
  <c r="AP264" i="12" s="1"/>
  <c r="AM264" i="12"/>
  <c r="AV279" i="12"/>
  <c r="AV280" i="12" s="1"/>
  <c r="AT275" i="12"/>
  <c r="AT276" i="12" s="1"/>
  <c r="AQ267" i="12"/>
  <c r="AR267" i="12" s="1"/>
  <c r="AS267" i="12" s="1"/>
  <c r="AQ264" i="12"/>
  <c r="AR264" i="12" s="1"/>
  <c r="AS264" i="12" s="1"/>
  <c r="AT264" i="12" s="1"/>
  <c r="AU264" i="12" s="1"/>
  <c r="AV264" i="12" s="1"/>
  <c r="AW264" i="12" s="1"/>
  <c r="AX264" i="12" s="1"/>
  <c r="AY264" i="12" s="1"/>
  <c r="AZ264" i="12" s="1"/>
  <c r="BA264" i="12" s="1"/>
  <c r="AO263" i="12"/>
  <c r="AO262" i="12" s="1"/>
  <c r="AN262" i="12"/>
  <c r="AM262" i="12"/>
  <c r="C250" i="12"/>
  <c r="D250" i="12" s="1"/>
  <c r="M246" i="12"/>
  <c r="L246" i="12"/>
  <c r="H246" i="12"/>
  <c r="C245" i="12"/>
  <c r="S241" i="12"/>
  <c r="X241" i="12" s="1"/>
  <c r="Y241" i="12" s="1"/>
  <c r="Z241" i="12" s="1"/>
  <c r="AA241" i="12" s="1"/>
  <c r="AB241" i="12" s="1"/>
  <c r="O241" i="12"/>
  <c r="P241" i="12" s="1"/>
  <c r="Q241" i="12" s="1"/>
  <c r="R241" i="12" s="1"/>
  <c r="AN240" i="12"/>
  <c r="AO240" i="12" s="1"/>
  <c r="AP240" i="12" s="1"/>
  <c r="AQ240" i="12" s="1"/>
  <c r="AR240" i="12" s="1"/>
  <c r="AS240" i="12" s="1"/>
  <c r="AT240" i="12" s="1"/>
  <c r="AU240" i="12" s="1"/>
  <c r="AV240" i="12" s="1"/>
  <c r="AW240" i="12" s="1"/>
  <c r="AX240" i="12" s="1"/>
  <c r="AY240" i="12" s="1"/>
  <c r="AZ240" i="12" s="1"/>
  <c r="BA240" i="12" s="1"/>
  <c r="AM240" i="12"/>
  <c r="AM239" i="12"/>
  <c r="AN239" i="12" s="1"/>
  <c r="AO239" i="12" s="1"/>
  <c r="AP239" i="12" s="1"/>
  <c r="AQ239" i="12" s="1"/>
  <c r="AR239" i="12" s="1"/>
  <c r="AS239" i="12" s="1"/>
  <c r="AT239" i="12" s="1"/>
  <c r="AU239" i="12" s="1"/>
  <c r="AV239" i="12" s="1"/>
  <c r="AW239" i="12" s="1"/>
  <c r="AX239" i="12" s="1"/>
  <c r="AY239" i="12" s="1"/>
  <c r="AZ239" i="12" s="1"/>
  <c r="BA239" i="12" s="1"/>
  <c r="AM238" i="12"/>
  <c r="AN238" i="12" s="1"/>
  <c r="AO238" i="12" s="1"/>
  <c r="AP238" i="12" s="1"/>
  <c r="AQ238" i="12" s="1"/>
  <c r="AR238" i="12" s="1"/>
  <c r="AS238" i="12" s="1"/>
  <c r="AT238" i="12" s="1"/>
  <c r="AU238" i="12" s="1"/>
  <c r="AV238" i="12" s="1"/>
  <c r="AW238" i="12" s="1"/>
  <c r="AX238" i="12" s="1"/>
  <c r="AY238" i="12" s="1"/>
  <c r="AZ238" i="12" s="1"/>
  <c r="BA238" i="12" s="1"/>
  <c r="G237" i="12"/>
  <c r="F237" i="12"/>
  <c r="E237" i="12"/>
  <c r="D237" i="12"/>
  <c r="C237" i="12"/>
  <c r="F235" i="12"/>
  <c r="E235" i="12"/>
  <c r="D235" i="12"/>
  <c r="M234" i="12"/>
  <c r="M237" i="12" s="1"/>
  <c r="L234" i="12"/>
  <c r="L237" i="12" s="1"/>
  <c r="K234" i="12"/>
  <c r="K237" i="12" s="1"/>
  <c r="J234" i="12"/>
  <c r="J237" i="12" s="1"/>
  <c r="AN229" i="12"/>
  <c r="AO229" i="12" s="1"/>
  <c r="AP229" i="12" s="1"/>
  <c r="AQ229" i="12" s="1"/>
  <c r="AR229" i="12" s="1"/>
  <c r="AS229" i="12" s="1"/>
  <c r="AT229" i="12" s="1"/>
  <c r="AU229" i="12" s="1"/>
  <c r="AV229" i="12" s="1"/>
  <c r="AW229" i="12" s="1"/>
  <c r="AX229" i="12" s="1"/>
  <c r="AY229" i="12" s="1"/>
  <c r="AT226" i="12"/>
  <c r="AM224" i="12"/>
  <c r="AN219" i="12"/>
  <c r="AO219" i="12" s="1"/>
  <c r="AP219" i="12" s="1"/>
  <c r="AQ219" i="12" s="1"/>
  <c r="AR219" i="12" s="1"/>
  <c r="AS219" i="12" s="1"/>
  <c r="AT219" i="12" s="1"/>
  <c r="AU219" i="12" s="1"/>
  <c r="AV219" i="12" s="1"/>
  <c r="AW219" i="12" s="1"/>
  <c r="AX219" i="12" s="1"/>
  <c r="AY219" i="12" s="1"/>
  <c r="AR216" i="12"/>
  <c r="AS216" i="12" s="1"/>
  <c r="AO209" i="12"/>
  <c r="AP209" i="12" s="1"/>
  <c r="AQ209" i="12" s="1"/>
  <c r="AR209" i="12" s="1"/>
  <c r="AS209" i="12" s="1"/>
  <c r="AT209" i="12" s="1"/>
  <c r="AU209" i="12" s="1"/>
  <c r="AV209" i="12" s="1"/>
  <c r="AW209" i="12" s="1"/>
  <c r="AX209" i="12" s="1"/>
  <c r="AY209" i="12" s="1"/>
  <c r="AN209" i="12"/>
  <c r="AR206" i="12"/>
  <c r="AL201" i="12"/>
  <c r="AK201" i="12"/>
  <c r="AJ201" i="12"/>
  <c r="AI201" i="12"/>
  <c r="AR196" i="12"/>
  <c r="AL191" i="12"/>
  <c r="AK191" i="12"/>
  <c r="AJ191" i="12"/>
  <c r="AI191" i="12"/>
  <c r="AG191" i="12"/>
  <c r="AF191" i="12"/>
  <c r="AE191" i="12"/>
  <c r="AD191" i="12"/>
  <c r="AB191" i="12"/>
  <c r="AA191" i="12"/>
  <c r="Z191" i="12"/>
  <c r="Y191" i="12"/>
  <c r="W191" i="12"/>
  <c r="V191" i="12"/>
  <c r="U191" i="12"/>
  <c r="T191" i="12"/>
  <c r="R191" i="12"/>
  <c r="Q191" i="12"/>
  <c r="Z190" i="12"/>
  <c r="AA190" i="12" s="1"/>
  <c r="AB190" i="12" s="1"/>
  <c r="AC190" i="12" s="1"/>
  <c r="AD190" i="12" s="1"/>
  <c r="AE190" i="12" s="1"/>
  <c r="AF190" i="12" s="1"/>
  <c r="AG190" i="12" s="1"/>
  <c r="AH190" i="12" s="1"/>
  <c r="AI190" i="12" s="1"/>
  <c r="AJ190" i="12" s="1"/>
  <c r="AK190" i="12" s="1"/>
  <c r="AL190" i="12" s="1"/>
  <c r="AM190" i="12" s="1"/>
  <c r="BC186" i="12"/>
  <c r="AN187" i="12"/>
  <c r="AO187" i="12" s="1"/>
  <c r="AP187" i="12" s="1"/>
  <c r="AQ187" i="12" s="1"/>
  <c r="AR187" i="12" s="1"/>
  <c r="AS187" i="12" s="1"/>
  <c r="AT187" i="12" s="1"/>
  <c r="AU187" i="12" s="1"/>
  <c r="AV187" i="12" s="1"/>
  <c r="AW187" i="12" s="1"/>
  <c r="AX187" i="12" s="1"/>
  <c r="AY187" i="12" s="1"/>
  <c r="AZ187" i="12" s="1"/>
  <c r="BA187" i="12" s="1"/>
  <c r="AO186" i="12"/>
  <c r="AN186" i="12"/>
  <c r="AN394" i="12" s="1"/>
  <c r="Q184" i="12"/>
  <c r="AL181" i="12"/>
  <c r="AK181" i="12"/>
  <c r="AJ181" i="12"/>
  <c r="AI181" i="12"/>
  <c r="AG181" i="12"/>
  <c r="AF181" i="12"/>
  <c r="AE181" i="12"/>
  <c r="AD181" i="12"/>
  <c r="AB181" i="12"/>
  <c r="AA181" i="12"/>
  <c r="Z181" i="12"/>
  <c r="Y181" i="12"/>
  <c r="W181" i="12"/>
  <c r="V181" i="12"/>
  <c r="U181" i="12"/>
  <c r="T181" i="12"/>
  <c r="R181" i="12"/>
  <c r="Q181" i="12"/>
  <c r="P181" i="12"/>
  <c r="O181" i="12"/>
  <c r="Z180" i="12"/>
  <c r="AA180" i="12" s="1"/>
  <c r="AB180" i="12" s="1"/>
  <c r="AC180" i="12" s="1"/>
  <c r="AD180" i="12" s="1"/>
  <c r="AE180" i="12" s="1"/>
  <c r="AF180" i="12" s="1"/>
  <c r="AG180" i="12" s="1"/>
  <c r="AH180" i="12" s="1"/>
  <c r="AI180" i="12" s="1"/>
  <c r="AJ180" i="12" s="1"/>
  <c r="AK180" i="12" s="1"/>
  <c r="AL180" i="12" s="1"/>
  <c r="AM180" i="12" s="1"/>
  <c r="AN180" i="12" s="1"/>
  <c r="AO180" i="12" s="1"/>
  <c r="AP180" i="12" s="1"/>
  <c r="AQ180" i="12" s="1"/>
  <c r="AR180" i="12" s="1"/>
  <c r="AS180" i="12" s="1"/>
  <c r="AT180" i="12" s="1"/>
  <c r="U180" i="12"/>
  <c r="V180" i="12" s="1"/>
  <c r="W180" i="12" s="1"/>
  <c r="X180" i="12" s="1"/>
  <c r="P180" i="12"/>
  <c r="Q180" i="12" s="1"/>
  <c r="R180" i="12" s="1"/>
  <c r="BC178" i="12"/>
  <c r="AN177" i="12"/>
  <c r="AN387" i="12" s="1"/>
  <c r="AO176" i="12"/>
  <c r="AO386" i="12" s="1"/>
  <c r="AN176" i="12"/>
  <c r="AG177" i="12"/>
  <c r="AL177" i="12" s="1"/>
  <c r="AF177" i="12"/>
  <c r="AK177" i="12" s="1"/>
  <c r="AE177" i="12"/>
  <c r="AJ177" i="12" s="1"/>
  <c r="AD177" i="12"/>
  <c r="AI177" i="12" s="1"/>
  <c r="AC177" i="12"/>
  <c r="AG176" i="12"/>
  <c r="AL176" i="12" s="1"/>
  <c r="AF176" i="12"/>
  <c r="AK176" i="12" s="1"/>
  <c r="AE176" i="12"/>
  <c r="AJ176" i="12" s="1"/>
  <c r="AD176" i="12"/>
  <c r="AI176" i="12" s="1"/>
  <c r="AC176" i="12"/>
  <c r="AR176" i="12"/>
  <c r="AS176" i="12" s="1"/>
  <c r="AS386" i="12" s="1"/>
  <c r="AL171" i="12"/>
  <c r="AK171" i="12"/>
  <c r="AJ171" i="12"/>
  <c r="AI171" i="12"/>
  <c r="AG171" i="12"/>
  <c r="AF171" i="12"/>
  <c r="AE171" i="12"/>
  <c r="AD171" i="12"/>
  <c r="AB171" i="12"/>
  <c r="AA171" i="12"/>
  <c r="Z171" i="12"/>
  <c r="Y171" i="12"/>
  <c r="W171" i="12"/>
  <c r="V171" i="12"/>
  <c r="U171" i="12"/>
  <c r="T171" i="12"/>
  <c r="R171" i="12"/>
  <c r="Q171" i="12"/>
  <c r="P171" i="12"/>
  <c r="O171" i="12"/>
  <c r="Z170" i="12"/>
  <c r="AA170" i="12" s="1"/>
  <c r="AB170" i="12" s="1"/>
  <c r="AC170" i="12" s="1"/>
  <c r="AD170" i="12" s="1"/>
  <c r="AE170" i="12" s="1"/>
  <c r="AF170" i="12" s="1"/>
  <c r="AG170" i="12" s="1"/>
  <c r="AH170" i="12" s="1"/>
  <c r="AI170" i="12" s="1"/>
  <c r="AJ170" i="12" s="1"/>
  <c r="AK170" i="12" s="1"/>
  <c r="AL170" i="12" s="1"/>
  <c r="AM170" i="12" s="1"/>
  <c r="AN170" i="12" s="1"/>
  <c r="AO170" i="12" s="1"/>
  <c r="AP170" i="12" s="1"/>
  <c r="AQ170" i="12" s="1"/>
  <c r="AR170" i="12" s="1"/>
  <c r="AS170" i="12" s="1"/>
  <c r="AT170" i="12" s="1"/>
  <c r="AU170" i="12" s="1"/>
  <c r="AV170" i="12" s="1"/>
  <c r="AW170" i="12" s="1"/>
  <c r="AX170" i="12" s="1"/>
  <c r="AY170" i="12" s="1"/>
  <c r="AZ170" i="12" s="1"/>
  <c r="BA170" i="12" s="1"/>
  <c r="Y170" i="12"/>
  <c r="T170" i="12"/>
  <c r="U170" i="12" s="1"/>
  <c r="V170" i="12" s="1"/>
  <c r="W170" i="12" s="1"/>
  <c r="X170" i="12" s="1"/>
  <c r="R170" i="12"/>
  <c r="Q170" i="12"/>
  <c r="P170" i="12"/>
  <c r="O170" i="12"/>
  <c r="N170" i="12"/>
  <c r="M170" i="12"/>
  <c r="L170" i="12"/>
  <c r="BA167" i="12"/>
  <c r="AZ167" i="12"/>
  <c r="AY167" i="12"/>
  <c r="AX167" i="12"/>
  <c r="AW167" i="12"/>
  <c r="AV167" i="12"/>
  <c r="AU167" i="12"/>
  <c r="AT167" i="12"/>
  <c r="AS167" i="12"/>
  <c r="AR167" i="12"/>
  <c r="AQ167" i="12"/>
  <c r="AP167" i="12"/>
  <c r="AO167" i="12"/>
  <c r="AN167" i="12"/>
  <c r="AM167" i="12"/>
  <c r="AH167" i="12"/>
  <c r="AC167" i="12"/>
  <c r="Y167" i="12"/>
  <c r="Y379" i="12" s="1"/>
  <c r="I167" i="12"/>
  <c r="AH166" i="12"/>
  <c r="AC166" i="12"/>
  <c r="Z166" i="12"/>
  <c r="Z378" i="12" s="1"/>
  <c r="Y166" i="12"/>
  <c r="Y378" i="12" s="1"/>
  <c r="T167" i="12"/>
  <c r="T379" i="12" s="1"/>
  <c r="U166" i="12"/>
  <c r="U378" i="12" s="1"/>
  <c r="T166" i="12"/>
  <c r="T378" i="12" s="1"/>
  <c r="R167" i="12"/>
  <c r="R379" i="12" s="1"/>
  <c r="Q167" i="12"/>
  <c r="Q379" i="12" s="1"/>
  <c r="P167" i="12"/>
  <c r="P379" i="12" s="1"/>
  <c r="O167" i="12"/>
  <c r="O379" i="12" s="1"/>
  <c r="R166" i="12"/>
  <c r="R378" i="12" s="1"/>
  <c r="Q166" i="12"/>
  <c r="Q378" i="12" s="1"/>
  <c r="P166" i="12"/>
  <c r="P378" i="12" s="1"/>
  <c r="O166" i="12"/>
  <c r="O378" i="12" s="1"/>
  <c r="AN166" i="12"/>
  <c r="AO166" i="12" s="1"/>
  <c r="AP166" i="12" s="1"/>
  <c r="AQ166" i="12" s="1"/>
  <c r="AR166" i="12" s="1"/>
  <c r="AS166" i="12" s="1"/>
  <c r="AT166" i="12" s="1"/>
  <c r="AU166" i="12" s="1"/>
  <c r="AV166" i="12" s="1"/>
  <c r="AW166" i="12" s="1"/>
  <c r="AX166" i="12" s="1"/>
  <c r="AY166" i="12" s="1"/>
  <c r="AZ166" i="12" s="1"/>
  <c r="BA166" i="12" s="1"/>
  <c r="AR161" i="12"/>
  <c r="AL160" i="12"/>
  <c r="AK160" i="12"/>
  <c r="AJ160" i="12"/>
  <c r="AI160" i="12"/>
  <c r="AG160" i="12"/>
  <c r="AF160" i="12"/>
  <c r="AE160" i="12"/>
  <c r="AD160" i="12"/>
  <c r="AB160" i="12"/>
  <c r="AA160" i="12"/>
  <c r="Z160" i="12"/>
  <c r="Y160" i="12"/>
  <c r="W160" i="12"/>
  <c r="V160" i="12"/>
  <c r="U160" i="12"/>
  <c r="T160" i="12"/>
  <c r="R160" i="12"/>
  <c r="Q160" i="12"/>
  <c r="P160" i="12"/>
  <c r="O160" i="12"/>
  <c r="AI159" i="12"/>
  <c r="AJ159" i="12" s="1"/>
  <c r="AK159" i="12" s="1"/>
  <c r="AL159" i="12" s="1"/>
  <c r="AM159" i="12" s="1"/>
  <c r="AN159" i="12" s="1"/>
  <c r="AO159" i="12" s="1"/>
  <c r="AP159" i="12" s="1"/>
  <c r="AQ159" i="12" s="1"/>
  <c r="AR159" i="12" s="1"/>
  <c r="AD159" i="12"/>
  <c r="AE159" i="12" s="1"/>
  <c r="AF159" i="12" s="1"/>
  <c r="AG159" i="12" s="1"/>
  <c r="Z159" i="12"/>
  <c r="AA159" i="12" s="1"/>
  <c r="AB159" i="12" s="1"/>
  <c r="V159" i="12"/>
  <c r="W159" i="12" s="1"/>
  <c r="X159" i="12" s="1"/>
  <c r="U159" i="12"/>
  <c r="P159" i="12"/>
  <c r="Q159" i="12" s="1"/>
  <c r="R159" i="12" s="1"/>
  <c r="S159" i="12" s="1"/>
  <c r="N159" i="12"/>
  <c r="M159" i="12"/>
  <c r="L159" i="12"/>
  <c r="K157" i="12"/>
  <c r="J157" i="12"/>
  <c r="I157" i="12"/>
  <c r="H157" i="12"/>
  <c r="G157" i="12"/>
  <c r="G156" i="12"/>
  <c r="AI156" i="12"/>
  <c r="AI371" i="12" s="1"/>
  <c r="AI155" i="12"/>
  <c r="AI370" i="12" s="1"/>
  <c r="AD156" i="12"/>
  <c r="AD371" i="12" s="1"/>
  <c r="AD155" i="12"/>
  <c r="AD370" i="12" s="1"/>
  <c r="Y156" i="12"/>
  <c r="Y371" i="12" s="1"/>
  <c r="Y155" i="12"/>
  <c r="Y370" i="12" s="1"/>
  <c r="T156" i="12"/>
  <c r="T371" i="12" s="1"/>
  <c r="T155" i="12"/>
  <c r="T370" i="12" s="1"/>
  <c r="O156" i="12"/>
  <c r="O371" i="12" s="1"/>
  <c r="O155" i="12"/>
  <c r="O370" i="12" s="1"/>
  <c r="AB149" i="12"/>
  <c r="AA149" i="12"/>
  <c r="Z149" i="12"/>
  <c r="Y149" i="12"/>
  <c r="W149" i="12"/>
  <c r="V149" i="12"/>
  <c r="U149" i="12"/>
  <c r="T149" i="12"/>
  <c r="R149" i="12"/>
  <c r="Q149" i="12"/>
  <c r="P149" i="12"/>
  <c r="O149" i="12"/>
  <c r="N149" i="12"/>
  <c r="M149" i="12"/>
  <c r="L149" i="12"/>
  <c r="K149" i="12"/>
  <c r="J149" i="12"/>
  <c r="I149" i="12"/>
  <c r="I363" i="12" s="1"/>
  <c r="J363" i="12" s="1"/>
  <c r="K363" i="12" s="1"/>
  <c r="L363" i="12" s="1"/>
  <c r="M363" i="12" s="1"/>
  <c r="N363" i="12" s="1"/>
  <c r="S363" i="12" s="1"/>
  <c r="X363" i="12" s="1"/>
  <c r="AC363" i="12" s="1"/>
  <c r="AH363" i="12" s="1"/>
  <c r="AM363" i="12" s="1"/>
  <c r="AN363" i="12" s="1"/>
  <c r="AO363" i="12" s="1"/>
  <c r="AP363" i="12" s="1"/>
  <c r="AQ363" i="12" s="1"/>
  <c r="AR363" i="12" s="1"/>
  <c r="AS363" i="12" s="1"/>
  <c r="AT363" i="12" s="1"/>
  <c r="AU363" i="12" s="1"/>
  <c r="AV363" i="12" s="1"/>
  <c r="AW363" i="12" s="1"/>
  <c r="AX363" i="12" s="1"/>
  <c r="AY363" i="12" s="1"/>
  <c r="AZ363" i="12" s="1"/>
  <c r="BA363" i="12" s="1"/>
  <c r="H149" i="12"/>
  <c r="H363" i="12" s="1"/>
  <c r="G149" i="12"/>
  <c r="G363" i="12" s="1"/>
  <c r="F149" i="12"/>
  <c r="F363" i="12" s="1"/>
  <c r="E149" i="12"/>
  <c r="E363" i="12" s="1"/>
  <c r="D149" i="12"/>
  <c r="D363" i="12" s="1"/>
  <c r="E148" i="12"/>
  <c r="D148" i="12"/>
  <c r="AB148" i="12"/>
  <c r="AA148" i="12"/>
  <c r="Z148" i="12"/>
  <c r="Y148" i="12"/>
  <c r="AB147" i="12"/>
  <c r="AA147" i="12"/>
  <c r="Z147" i="12"/>
  <c r="Y147" i="12"/>
  <c r="W148" i="12"/>
  <c r="V148" i="12"/>
  <c r="U148" i="12"/>
  <c r="T148" i="12"/>
  <c r="W147" i="12"/>
  <c r="V147" i="12"/>
  <c r="U147" i="12"/>
  <c r="T147" i="12"/>
  <c r="R148" i="12"/>
  <c r="Q148" i="12"/>
  <c r="P148" i="12"/>
  <c r="O148" i="12"/>
  <c r="R147" i="12"/>
  <c r="Q147" i="12"/>
  <c r="P147" i="12"/>
  <c r="O147" i="12"/>
  <c r="L124" i="12"/>
  <c r="K124" i="12"/>
  <c r="J124" i="12"/>
  <c r="I124" i="12"/>
  <c r="H124" i="12"/>
  <c r="G124" i="12"/>
  <c r="F124" i="12"/>
  <c r="E124" i="12"/>
  <c r="D124" i="12"/>
  <c r="AM123" i="12"/>
  <c r="AN123" i="12" s="1"/>
  <c r="AO123" i="12" s="1"/>
  <c r="AP123" i="12" s="1"/>
  <c r="AQ123" i="12" s="1"/>
  <c r="AR123" i="12" s="1"/>
  <c r="AS123" i="12" s="1"/>
  <c r="AT123" i="12" s="1"/>
  <c r="AU123" i="12" s="1"/>
  <c r="AV123" i="12" s="1"/>
  <c r="AW123" i="12" s="1"/>
  <c r="AX123" i="12" s="1"/>
  <c r="AY123" i="12" s="1"/>
  <c r="AZ123" i="12" s="1"/>
  <c r="BA123" i="12" s="1"/>
  <c r="B122" i="12"/>
  <c r="AU121" i="12"/>
  <c r="AT121" i="12"/>
  <c r="AS121" i="12"/>
  <c r="AR121" i="12"/>
  <c r="AQ121" i="12"/>
  <c r="AP121" i="12"/>
  <c r="AO121" i="12"/>
  <c r="AN121" i="12"/>
  <c r="AU119" i="12"/>
  <c r="AT119" i="12"/>
  <c r="AS119" i="12"/>
  <c r="AR119" i="12"/>
  <c r="AQ119" i="12"/>
  <c r="AP119" i="12"/>
  <c r="AO119" i="12"/>
  <c r="AN119" i="12"/>
  <c r="AP117" i="12"/>
  <c r="AO117" i="12"/>
  <c r="AN117" i="12"/>
  <c r="AP115" i="12"/>
  <c r="AO115" i="12"/>
  <c r="AN115" i="12"/>
  <c r="AN113" i="12"/>
  <c r="AN111" i="12"/>
  <c r="AN103" i="12"/>
  <c r="AO103" i="12" s="1"/>
  <c r="AP103" i="12" s="1"/>
  <c r="AQ103" i="12" s="1"/>
  <c r="AR103" i="12" s="1"/>
  <c r="AS103" i="12" s="1"/>
  <c r="AT103" i="12" s="1"/>
  <c r="AU103" i="12" s="1"/>
  <c r="AV103" i="12" s="1"/>
  <c r="AW103" i="12" s="1"/>
  <c r="AX103" i="12" s="1"/>
  <c r="AY103" i="12" s="1"/>
  <c r="AZ103" i="12" s="1"/>
  <c r="BA103" i="12" s="1"/>
  <c r="AN100" i="12"/>
  <c r="AN101" i="12" s="1"/>
  <c r="AO101" i="12" s="1"/>
  <c r="AP101" i="12" s="1"/>
  <c r="AQ101" i="12" s="1"/>
  <c r="AR101" i="12" s="1"/>
  <c r="AS101" i="12" s="1"/>
  <c r="AT101" i="12" s="1"/>
  <c r="AU101" i="12" s="1"/>
  <c r="AV101" i="12" s="1"/>
  <c r="AW101" i="12" s="1"/>
  <c r="AX101" i="12" s="1"/>
  <c r="AY101" i="12" s="1"/>
  <c r="AZ101" i="12" s="1"/>
  <c r="BA101" i="12" s="1"/>
  <c r="AN99" i="12"/>
  <c r="AH110" i="12"/>
  <c r="B110" i="12"/>
  <c r="B106" i="12"/>
  <c r="B102" i="12"/>
  <c r="AN96" i="12"/>
  <c r="AK124" i="12"/>
  <c r="AF124" i="12"/>
  <c r="AA124" i="12"/>
  <c r="Z124" i="12"/>
  <c r="V124" i="12"/>
  <c r="U124" i="12"/>
  <c r="Q124" i="12"/>
  <c r="B98" i="12"/>
  <c r="AN92" i="12"/>
  <c r="AM94" i="12"/>
  <c r="AC94" i="12"/>
  <c r="S94" i="12"/>
  <c r="B94" i="12"/>
  <c r="AW120" i="12"/>
  <c r="AW121" i="12" s="1"/>
  <c r="AV120" i="12"/>
  <c r="AV121" i="12" s="1"/>
  <c r="AQ117" i="12"/>
  <c r="AO112" i="12"/>
  <c r="AO113" i="12" s="1"/>
  <c r="AO99" i="12"/>
  <c r="AP99" i="12" s="1"/>
  <c r="AQ99" i="12" s="1"/>
  <c r="AR99" i="12" s="1"/>
  <c r="AS99" i="12" s="1"/>
  <c r="AT99" i="12" s="1"/>
  <c r="AU99" i="12" s="1"/>
  <c r="AV99" i="12" s="1"/>
  <c r="AW99" i="12" s="1"/>
  <c r="AX99" i="12" s="1"/>
  <c r="AY99" i="12" s="1"/>
  <c r="AZ99" i="12" s="1"/>
  <c r="BA99" i="12" s="1"/>
  <c r="X90" i="12"/>
  <c r="S90" i="12"/>
  <c r="N86" i="12"/>
  <c r="N130" i="12" s="1"/>
  <c r="N175" i="12" s="1"/>
  <c r="B80" i="12"/>
  <c r="B134" i="12" s="1"/>
  <c r="B79" i="12"/>
  <c r="N70" i="12"/>
  <c r="M70" i="12"/>
  <c r="N69" i="12"/>
  <c r="M69" i="12"/>
  <c r="K68" i="12"/>
  <c r="J68" i="12"/>
  <c r="I68" i="12"/>
  <c r="H68" i="12"/>
  <c r="G68" i="12"/>
  <c r="F68" i="12"/>
  <c r="E68" i="12"/>
  <c r="D68" i="12"/>
  <c r="K65" i="12"/>
  <c r="J65" i="12"/>
  <c r="I65" i="12"/>
  <c r="H65" i="12"/>
  <c r="G65" i="12"/>
  <c r="F65" i="12"/>
  <c r="E65" i="12"/>
  <c r="D65" i="12"/>
  <c r="AM64" i="12"/>
  <c r="AN64" i="12" s="1"/>
  <c r="AL64" i="12"/>
  <c r="AJ64" i="12"/>
  <c r="AK64" i="12" s="1"/>
  <c r="AI64" i="12"/>
  <c r="M64" i="12"/>
  <c r="N64" i="12" s="1"/>
  <c r="O64" i="12" s="1"/>
  <c r="P64" i="12" s="1"/>
  <c r="Q64" i="12" s="1"/>
  <c r="R64" i="12" s="1"/>
  <c r="S64" i="12" s="1"/>
  <c r="T64" i="12" s="1"/>
  <c r="U64" i="12" s="1"/>
  <c r="V64" i="12" s="1"/>
  <c r="W64" i="12" s="1"/>
  <c r="X64" i="12" s="1"/>
  <c r="Y64" i="12" s="1"/>
  <c r="Z64" i="12" s="1"/>
  <c r="AA64" i="12" s="1"/>
  <c r="AB64" i="12" s="1"/>
  <c r="AC64" i="12" s="1"/>
  <c r="AD64" i="12" s="1"/>
  <c r="AE64" i="12" s="1"/>
  <c r="AF64" i="12" s="1"/>
  <c r="AG64" i="12" s="1"/>
  <c r="L64" i="12"/>
  <c r="AP64" i="12"/>
  <c r="AQ64" i="12" s="1"/>
  <c r="AR64" i="12" s="1"/>
  <c r="AS64" i="12" s="1"/>
  <c r="AT64" i="12" s="1"/>
  <c r="AU64" i="12" s="1"/>
  <c r="AV64" i="12" s="1"/>
  <c r="AW64" i="12" s="1"/>
  <c r="AX64" i="12" s="1"/>
  <c r="AY64" i="12" s="1"/>
  <c r="AZ64" i="12" s="1"/>
  <c r="BA64" i="12" s="1"/>
  <c r="AQ62" i="12"/>
  <c r="AP62" i="12"/>
  <c r="AO62" i="12"/>
  <c r="AN62" i="12"/>
  <c r="AR61" i="12"/>
  <c r="AR60" i="12" s="1"/>
  <c r="AU58" i="12"/>
  <c r="AT58" i="12"/>
  <c r="AS58" i="12"/>
  <c r="AR58" i="12"/>
  <c r="AQ60" i="12"/>
  <c r="AP60" i="12"/>
  <c r="AO60" i="12"/>
  <c r="AN60" i="12"/>
  <c r="AQ58" i="12"/>
  <c r="AP58" i="12"/>
  <c r="AO58" i="12"/>
  <c r="AN58" i="12"/>
  <c r="AU56" i="12"/>
  <c r="AT56" i="12"/>
  <c r="AS56" i="12"/>
  <c r="AR56" i="12"/>
  <c r="AQ56" i="12"/>
  <c r="AP56" i="12"/>
  <c r="AO56" i="12"/>
  <c r="AN56" i="12"/>
  <c r="AR54" i="12"/>
  <c r="AQ54" i="12"/>
  <c r="AP54" i="12"/>
  <c r="AO54" i="12"/>
  <c r="AN54" i="12"/>
  <c r="AR52" i="12"/>
  <c r="AQ52" i="12"/>
  <c r="AP52" i="12"/>
  <c r="AO52" i="12"/>
  <c r="AN52" i="12"/>
  <c r="AN50" i="12"/>
  <c r="AN48" i="12"/>
  <c r="AN46" i="12"/>
  <c r="AO46" i="12" s="1"/>
  <c r="AP46" i="12" s="1"/>
  <c r="AQ46" i="12" s="1"/>
  <c r="AR46" i="12" s="1"/>
  <c r="AS46" i="12" s="1"/>
  <c r="AT46" i="12" s="1"/>
  <c r="AU46" i="12" s="1"/>
  <c r="AV46" i="12" s="1"/>
  <c r="AW46" i="12" s="1"/>
  <c r="AX46" i="12" s="1"/>
  <c r="AY46" i="12" s="1"/>
  <c r="AZ46" i="12" s="1"/>
  <c r="BA46" i="12" s="1"/>
  <c r="AN44" i="12"/>
  <c r="N68" i="12"/>
  <c r="L68" i="12"/>
  <c r="AV57" i="12"/>
  <c r="AV58" i="12" s="1"/>
  <c r="AS53" i="12"/>
  <c r="AS52" i="12" s="1"/>
  <c r="AP49" i="12"/>
  <c r="AO45" i="12"/>
  <c r="AP45" i="12" s="1"/>
  <c r="AM31" i="12"/>
  <c r="AN31" i="12" s="1"/>
  <c r="AO31" i="12" s="1"/>
  <c r="BA28" i="12"/>
  <c r="AZ28" i="12"/>
  <c r="AY28" i="12"/>
  <c r="AX28" i="12"/>
  <c r="AW28" i="12"/>
  <c r="AV28" i="12"/>
  <c r="AU28" i="12"/>
  <c r="AT28" i="12"/>
  <c r="AS28" i="12"/>
  <c r="AR28" i="12"/>
  <c r="AQ28" i="12"/>
  <c r="AP28" i="12"/>
  <c r="AO28" i="12"/>
  <c r="AN28" i="12"/>
  <c r="AM28" i="12"/>
  <c r="AL28" i="12"/>
  <c r="AK28" i="12"/>
  <c r="AJ28" i="12"/>
  <c r="AI28" i="12"/>
  <c r="AH28" i="12"/>
  <c r="AG28" i="12"/>
  <c r="AF28" i="12"/>
  <c r="AE28" i="12"/>
  <c r="AD28" i="12"/>
  <c r="AC28" i="12"/>
  <c r="AB28" i="12"/>
  <c r="AA28" i="12"/>
  <c r="Z28" i="12"/>
  <c r="Y28" i="12"/>
  <c r="X28" i="12"/>
  <c r="W28" i="12"/>
  <c r="V28" i="12"/>
  <c r="U28" i="12"/>
  <c r="T28" i="12"/>
  <c r="S28" i="12"/>
  <c r="R28" i="12"/>
  <c r="Q28" i="12"/>
  <c r="P28" i="12"/>
  <c r="O28" i="12"/>
  <c r="N28" i="12"/>
  <c r="M28" i="12"/>
  <c r="L28" i="12"/>
  <c r="K28" i="12"/>
  <c r="J28" i="12"/>
  <c r="I28" i="12"/>
  <c r="H28" i="12"/>
  <c r="G28" i="12"/>
  <c r="F28" i="12"/>
  <c r="E28" i="12"/>
  <c r="D28" i="12"/>
  <c r="C28" i="12"/>
  <c r="D24" i="12"/>
  <c r="D246" i="12" s="1"/>
  <c r="C24" i="12"/>
  <c r="C246" i="12" s="1"/>
  <c r="M23" i="12"/>
  <c r="M245" i="12" s="1"/>
  <c r="L23" i="12"/>
  <c r="L245" i="12" s="1"/>
  <c r="E23" i="12"/>
  <c r="E245" i="12" s="1"/>
  <c r="D23" i="12"/>
  <c r="D245" i="12" s="1"/>
  <c r="D243" i="12" s="1"/>
  <c r="AJ19" i="12"/>
  <c r="AI19" i="12"/>
  <c r="AE19" i="12"/>
  <c r="AD19" i="12"/>
  <c r="M22" i="12"/>
  <c r="M86" i="12" s="1"/>
  <c r="M127" i="12" s="1"/>
  <c r="M146" i="12" s="1"/>
  <c r="C18" i="12"/>
  <c r="C22" i="12" s="1"/>
  <c r="C86" i="12" s="1"/>
  <c r="T13" i="12"/>
  <c r="U13" i="12" s="1"/>
  <c r="L13" i="12"/>
  <c r="M13" i="12" s="1"/>
  <c r="L9" i="12"/>
  <c r="L15" i="12" s="1"/>
  <c r="L16" i="12" s="1"/>
  <c r="N7" i="12"/>
  <c r="S7" i="12" s="1"/>
  <c r="X7" i="12" s="1"/>
  <c r="D7" i="12"/>
  <c r="E7" i="12" s="1"/>
  <c r="F7" i="12" s="1"/>
  <c r="G7" i="12" s="1"/>
  <c r="H7" i="12" s="1"/>
  <c r="I7" i="12" s="1"/>
  <c r="J7" i="12" s="1"/>
  <c r="K7" i="12" s="1"/>
  <c r="M6" i="12"/>
  <c r="D6" i="12"/>
  <c r="D18" i="12" s="1"/>
  <c r="D21" i="12" s="1"/>
  <c r="D27" i="12" s="1"/>
  <c r="D73" i="12" s="1"/>
  <c r="M1" i="12"/>
  <c r="U1" i="12" s="1"/>
  <c r="L208" i="14"/>
  <c r="K208" i="14"/>
  <c r="J208" i="14"/>
  <c r="I208" i="14"/>
  <c r="H208" i="14"/>
  <c r="G208" i="14"/>
  <c r="F208" i="14"/>
  <c r="E208" i="14"/>
  <c r="D208" i="14"/>
  <c r="P193" i="14"/>
  <c r="P192" i="14"/>
  <c r="P190" i="14"/>
  <c r="P189" i="14"/>
  <c r="P185" i="14"/>
  <c r="P182" i="14"/>
  <c r="M191" i="14"/>
  <c r="M188" i="14"/>
  <c r="M187" i="14"/>
  <c r="AF200" i="14"/>
  <c r="AE200" i="14"/>
  <c r="AD200" i="14"/>
  <c r="AC200" i="14"/>
  <c r="AB200" i="14"/>
  <c r="AA200" i="14"/>
  <c r="Z200" i="14"/>
  <c r="Y200" i="14"/>
  <c r="X200" i="14"/>
  <c r="W200" i="14"/>
  <c r="V200" i="14"/>
  <c r="U200" i="14"/>
  <c r="T200" i="14"/>
  <c r="S200" i="14"/>
  <c r="R200" i="14"/>
  <c r="Q200" i="14"/>
  <c r="AF199" i="14"/>
  <c r="AE199" i="14"/>
  <c r="AD199" i="14"/>
  <c r="AC199" i="14"/>
  <c r="AB199" i="14"/>
  <c r="AA199" i="14"/>
  <c r="Z199" i="14"/>
  <c r="Y199" i="14"/>
  <c r="X199" i="14"/>
  <c r="W199" i="14"/>
  <c r="V199" i="14"/>
  <c r="U199" i="14"/>
  <c r="T199" i="14"/>
  <c r="S199" i="14"/>
  <c r="R199" i="14"/>
  <c r="Q199" i="14"/>
  <c r="AF198" i="14"/>
  <c r="AE198" i="14"/>
  <c r="AD198" i="14"/>
  <c r="AC198" i="14"/>
  <c r="AB198" i="14"/>
  <c r="AA198" i="14"/>
  <c r="Z198" i="14"/>
  <c r="Y198" i="14"/>
  <c r="X198" i="14"/>
  <c r="W198" i="14"/>
  <c r="V198" i="14"/>
  <c r="U198" i="14"/>
  <c r="T198" i="14"/>
  <c r="S198" i="14"/>
  <c r="R198" i="14"/>
  <c r="Q198" i="14"/>
  <c r="AF196" i="14"/>
  <c r="AE196" i="14"/>
  <c r="AD196" i="14"/>
  <c r="AC196" i="14"/>
  <c r="AB196" i="14"/>
  <c r="AA196" i="14"/>
  <c r="Z196" i="14"/>
  <c r="Y196" i="14"/>
  <c r="X196" i="14"/>
  <c r="W196" i="14"/>
  <c r="V196" i="14"/>
  <c r="U196" i="14"/>
  <c r="T196" i="14"/>
  <c r="S196" i="14"/>
  <c r="R196" i="14"/>
  <c r="Q196" i="14"/>
  <c r="AF195" i="14"/>
  <c r="AE195" i="14"/>
  <c r="AD195" i="14"/>
  <c r="AC195" i="14"/>
  <c r="AB195" i="14"/>
  <c r="AA195" i="14"/>
  <c r="Z195" i="14"/>
  <c r="Y195" i="14"/>
  <c r="X195" i="14"/>
  <c r="W195" i="14"/>
  <c r="V195" i="14"/>
  <c r="U195" i="14"/>
  <c r="T195" i="14"/>
  <c r="S195" i="14"/>
  <c r="R195" i="14"/>
  <c r="Q195" i="14"/>
  <c r="AF194" i="14"/>
  <c r="AE194" i="14"/>
  <c r="AD194" i="14"/>
  <c r="AC194" i="14"/>
  <c r="AB194" i="14"/>
  <c r="AA194" i="14"/>
  <c r="Z194" i="14"/>
  <c r="Y194" i="14"/>
  <c r="X194" i="14"/>
  <c r="W194" i="14"/>
  <c r="V194" i="14"/>
  <c r="U194" i="14"/>
  <c r="T194" i="14"/>
  <c r="S194" i="14"/>
  <c r="R194" i="14"/>
  <c r="AF193" i="14"/>
  <c r="AE193" i="14"/>
  <c r="AD193" i="14"/>
  <c r="AC193" i="14"/>
  <c r="AB193" i="14"/>
  <c r="AA193" i="14"/>
  <c r="Z193" i="14"/>
  <c r="Y193" i="14"/>
  <c r="X193" i="14"/>
  <c r="W193" i="14"/>
  <c r="V193" i="14"/>
  <c r="U193" i="14"/>
  <c r="T193" i="14"/>
  <c r="S193" i="14"/>
  <c r="R193" i="14"/>
  <c r="Q193" i="14"/>
  <c r="R192" i="14"/>
  <c r="Q192" i="14"/>
  <c r="AF190" i="14"/>
  <c r="AE190" i="14"/>
  <c r="AD190" i="14"/>
  <c r="AC190" i="14"/>
  <c r="AB190" i="14"/>
  <c r="AA190" i="14"/>
  <c r="Z190" i="14"/>
  <c r="Y190" i="14"/>
  <c r="X190" i="14"/>
  <c r="W190" i="14"/>
  <c r="V190" i="14"/>
  <c r="U190" i="14"/>
  <c r="T190" i="14"/>
  <c r="S190" i="14"/>
  <c r="R190" i="14"/>
  <c r="Q190" i="14"/>
  <c r="AF189" i="14"/>
  <c r="AE189" i="14"/>
  <c r="AD189" i="14"/>
  <c r="AC189" i="14"/>
  <c r="AB189" i="14"/>
  <c r="AA189" i="14"/>
  <c r="R189" i="14"/>
  <c r="Q189" i="14"/>
  <c r="AF185" i="14"/>
  <c r="AE185" i="14"/>
  <c r="AD185" i="14"/>
  <c r="AC185" i="14"/>
  <c r="AB185" i="14"/>
  <c r="AA185" i="14"/>
  <c r="Z185" i="14"/>
  <c r="Y185" i="14"/>
  <c r="X185" i="14"/>
  <c r="W185" i="14"/>
  <c r="V185" i="14"/>
  <c r="U185" i="14"/>
  <c r="T185" i="14"/>
  <c r="S185" i="14"/>
  <c r="R185" i="14"/>
  <c r="Q185" i="14"/>
  <c r="AF182" i="14"/>
  <c r="AE182" i="14"/>
  <c r="AD182" i="14"/>
  <c r="AC182" i="14"/>
  <c r="AB182" i="14"/>
  <c r="AA182" i="14"/>
  <c r="Z182" i="14"/>
  <c r="Y182" i="14"/>
  <c r="X182" i="14"/>
  <c r="W182" i="14"/>
  <c r="V182" i="14"/>
  <c r="R182" i="14"/>
  <c r="Q182" i="14"/>
  <c r="M178" i="14"/>
  <c r="M177" i="14"/>
  <c r="L176" i="14"/>
  <c r="K176" i="14"/>
  <c r="J176" i="14"/>
  <c r="I176" i="14"/>
  <c r="H176" i="14"/>
  <c r="G176" i="14"/>
  <c r="F176" i="14"/>
  <c r="E176" i="14"/>
  <c r="D176" i="14"/>
  <c r="L175" i="14"/>
  <c r="K175" i="14"/>
  <c r="J175" i="14"/>
  <c r="I175" i="14"/>
  <c r="H175" i="14"/>
  <c r="G175" i="14"/>
  <c r="F175" i="14"/>
  <c r="E175" i="14"/>
  <c r="D175" i="14"/>
  <c r="L174" i="14"/>
  <c r="K174" i="14"/>
  <c r="J174" i="14"/>
  <c r="I174" i="14"/>
  <c r="H174" i="14"/>
  <c r="G174" i="14"/>
  <c r="F174" i="14"/>
  <c r="E174" i="14"/>
  <c r="D174" i="14"/>
  <c r="L173" i="14"/>
  <c r="K173" i="14"/>
  <c r="J173" i="14"/>
  <c r="I173" i="14"/>
  <c r="H173" i="14"/>
  <c r="G173" i="14"/>
  <c r="F173" i="14"/>
  <c r="E173" i="14"/>
  <c r="D173" i="14"/>
  <c r="L172" i="14"/>
  <c r="H172" i="14"/>
  <c r="G172" i="14"/>
  <c r="F172" i="14"/>
  <c r="E172" i="14"/>
  <c r="D172" i="14"/>
  <c r="L171" i="14"/>
  <c r="K171" i="14"/>
  <c r="H171" i="14"/>
  <c r="G171" i="14"/>
  <c r="F171" i="14"/>
  <c r="E171" i="14"/>
  <c r="D171" i="14"/>
  <c r="N169" i="14"/>
  <c r="M169" i="14"/>
  <c r="M208" i="14" s="1"/>
  <c r="M168" i="14"/>
  <c r="N168" i="14" s="1"/>
  <c r="O168" i="14" s="1"/>
  <c r="P168" i="14" s="1"/>
  <c r="P154" i="14"/>
  <c r="Q154" i="14" s="1"/>
  <c r="Q194" i="14" s="1"/>
  <c r="N154" i="14"/>
  <c r="O154" i="14" s="1"/>
  <c r="N151" i="14"/>
  <c r="N191" i="14" s="1"/>
  <c r="N148" i="14"/>
  <c r="M136" i="14"/>
  <c r="M176" i="14" s="1"/>
  <c r="M135" i="14"/>
  <c r="M134" i="14"/>
  <c r="M174" i="14" s="1"/>
  <c r="M133" i="14"/>
  <c r="M132" i="14"/>
  <c r="M172" i="14" s="1"/>
  <c r="M131" i="14"/>
  <c r="O139" i="14"/>
  <c r="N139" i="14"/>
  <c r="N178" i="14" s="1"/>
  <c r="N138" i="14"/>
  <c r="N137" i="14"/>
  <c r="N187" i="14" s="1"/>
  <c r="Q127" i="14"/>
  <c r="M127" i="14"/>
  <c r="L127" i="14"/>
  <c r="Q124" i="14"/>
  <c r="P124" i="14"/>
  <c r="O124" i="14"/>
  <c r="P127" i="14" s="1"/>
  <c r="N124" i="14"/>
  <c r="O127" i="14" s="1"/>
  <c r="M124" i="14"/>
  <c r="N127" i="14" s="1"/>
  <c r="B123" i="14"/>
  <c r="M121" i="14"/>
  <c r="L121" i="14"/>
  <c r="M120" i="14"/>
  <c r="N120" i="14" s="1"/>
  <c r="O120" i="14" s="1"/>
  <c r="O118" i="14"/>
  <c r="N118" i="14"/>
  <c r="O121" i="14" s="1"/>
  <c r="M118" i="14"/>
  <c r="N121" i="14" s="1"/>
  <c r="B117" i="14"/>
  <c r="M114" i="14"/>
  <c r="N114" i="14" s="1"/>
  <c r="N112" i="14"/>
  <c r="M112" i="14"/>
  <c r="N115" i="14" s="1"/>
  <c r="L112" i="14"/>
  <c r="M115" i="14" s="1"/>
  <c r="K112" i="14"/>
  <c r="L115" i="14" s="1"/>
  <c r="B111" i="14"/>
  <c r="L107" i="14"/>
  <c r="L106" i="14"/>
  <c r="K106" i="14"/>
  <c r="L109" i="14" s="1"/>
  <c r="J106" i="14"/>
  <c r="K109" i="14" s="1"/>
  <c r="B105" i="14"/>
  <c r="R100" i="14"/>
  <c r="Q100" i="14"/>
  <c r="P100" i="14"/>
  <c r="O100" i="14"/>
  <c r="L100" i="14"/>
  <c r="J100" i="14"/>
  <c r="I100" i="14"/>
  <c r="H100" i="14"/>
  <c r="G100" i="14"/>
  <c r="F100" i="14"/>
  <c r="E100" i="14"/>
  <c r="D100" i="14"/>
  <c r="N98" i="14"/>
  <c r="M98" i="14"/>
  <c r="L98" i="14"/>
  <c r="K98" i="14"/>
  <c r="J98" i="14"/>
  <c r="I98" i="14"/>
  <c r="H98" i="14"/>
  <c r="G98" i="14"/>
  <c r="F98" i="14"/>
  <c r="E98" i="14"/>
  <c r="D98" i="14"/>
  <c r="N81" i="14"/>
  <c r="M81" i="14"/>
  <c r="L81" i="14"/>
  <c r="K81" i="14"/>
  <c r="J81" i="14"/>
  <c r="I81" i="14"/>
  <c r="N78" i="14"/>
  <c r="M78" i="14"/>
  <c r="L78" i="14"/>
  <c r="K78" i="14"/>
  <c r="J78" i="14"/>
  <c r="I78" i="14"/>
  <c r="N77" i="14"/>
  <c r="M77" i="14"/>
  <c r="L77" i="14"/>
  <c r="K77" i="14"/>
  <c r="J77" i="14"/>
  <c r="I77" i="14"/>
  <c r="R95" i="14"/>
  <c r="R94" i="14"/>
  <c r="AF93" i="14"/>
  <c r="AE93" i="14"/>
  <c r="R93" i="14"/>
  <c r="AF92" i="14"/>
  <c r="AE92" i="14"/>
  <c r="AD92" i="14"/>
  <c r="AC92" i="14"/>
  <c r="AB92" i="14"/>
  <c r="AA92" i="14"/>
  <c r="R92" i="14"/>
  <c r="AF91" i="14"/>
  <c r="AE91" i="14"/>
  <c r="AD91" i="14"/>
  <c r="AC91" i="14"/>
  <c r="AB91" i="14"/>
  <c r="AA91" i="14"/>
  <c r="Z91" i="14"/>
  <c r="R91" i="14"/>
  <c r="AF90" i="14"/>
  <c r="AE90" i="14"/>
  <c r="AD90" i="14"/>
  <c r="AC90" i="14"/>
  <c r="AB90" i="14"/>
  <c r="AA90" i="14"/>
  <c r="Z90" i="14"/>
  <c r="Y90" i="14"/>
  <c r="X90" i="14"/>
  <c r="W90" i="14"/>
  <c r="V90" i="14"/>
  <c r="U90" i="14"/>
  <c r="T90" i="14"/>
  <c r="S90" i="14"/>
  <c r="R90" i="14"/>
  <c r="AF89" i="14"/>
  <c r="AE89" i="14"/>
  <c r="AD89" i="14"/>
  <c r="AC89" i="14"/>
  <c r="AB89" i="14"/>
  <c r="AA89" i="14"/>
  <c r="Z89" i="14"/>
  <c r="Y89" i="14"/>
  <c r="X89" i="14"/>
  <c r="W89" i="14"/>
  <c r="V89" i="14"/>
  <c r="U89" i="14"/>
  <c r="T89" i="14"/>
  <c r="S89" i="14"/>
  <c r="R89" i="14"/>
  <c r="AF88" i="14"/>
  <c r="AE88" i="14"/>
  <c r="AD88" i="14"/>
  <c r="AC88" i="14"/>
  <c r="AB88" i="14"/>
  <c r="AA88" i="14"/>
  <c r="Z88" i="14"/>
  <c r="Y88" i="14"/>
  <c r="X88" i="14"/>
  <c r="W88" i="14"/>
  <c r="V88" i="14"/>
  <c r="U88" i="14"/>
  <c r="T88" i="14"/>
  <c r="S88" i="14"/>
  <c r="R88" i="14"/>
  <c r="AF86" i="14"/>
  <c r="AE86" i="14"/>
  <c r="AD86" i="14"/>
  <c r="AC86" i="14"/>
  <c r="AB86" i="14"/>
  <c r="AA86" i="14"/>
  <c r="Z86" i="14"/>
  <c r="Y86" i="14"/>
  <c r="X86" i="14"/>
  <c r="W86" i="14"/>
  <c r="V86" i="14"/>
  <c r="U86" i="14"/>
  <c r="T86" i="14"/>
  <c r="S86" i="14"/>
  <c r="R86" i="14"/>
  <c r="AF85" i="14"/>
  <c r="AE85" i="14"/>
  <c r="AD85" i="14"/>
  <c r="AC85" i="14"/>
  <c r="AB85" i="14"/>
  <c r="AA85" i="14"/>
  <c r="Z85" i="14"/>
  <c r="Y85" i="14"/>
  <c r="X85" i="14"/>
  <c r="W85" i="14"/>
  <c r="V85" i="14"/>
  <c r="U85" i="14"/>
  <c r="T85" i="14"/>
  <c r="S85" i="14"/>
  <c r="R85" i="14"/>
  <c r="AF84" i="14"/>
  <c r="AE84" i="14"/>
  <c r="AD84" i="14"/>
  <c r="AC84" i="14"/>
  <c r="AB84" i="14"/>
  <c r="AA84" i="14"/>
  <c r="Z84" i="14"/>
  <c r="Y84" i="14"/>
  <c r="X84" i="14"/>
  <c r="W84" i="14"/>
  <c r="V84" i="14"/>
  <c r="U84" i="14"/>
  <c r="T84" i="14"/>
  <c r="S84" i="14"/>
  <c r="R84" i="14"/>
  <c r="AF83" i="14"/>
  <c r="AE83" i="14"/>
  <c r="AD83" i="14"/>
  <c r="AC83" i="14"/>
  <c r="AB83" i="14"/>
  <c r="AA83" i="14"/>
  <c r="Z83" i="14"/>
  <c r="Y83" i="14"/>
  <c r="X83" i="14"/>
  <c r="W83" i="14"/>
  <c r="V83" i="14"/>
  <c r="U83" i="14"/>
  <c r="T83" i="14"/>
  <c r="S83" i="14"/>
  <c r="R83" i="14"/>
  <c r="R82" i="14"/>
  <c r="R81" i="14"/>
  <c r="AF80" i="14"/>
  <c r="AE80" i="14"/>
  <c r="AD80" i="14"/>
  <c r="AC80" i="14"/>
  <c r="AB80" i="14"/>
  <c r="AA80" i="14"/>
  <c r="Z80" i="14"/>
  <c r="Y80" i="14"/>
  <c r="X80" i="14"/>
  <c r="W80" i="14"/>
  <c r="V80" i="14"/>
  <c r="U80" i="14"/>
  <c r="T80" i="14"/>
  <c r="S80" i="14"/>
  <c r="R80" i="14"/>
  <c r="AF79" i="14"/>
  <c r="AE79" i="14"/>
  <c r="AD79" i="14"/>
  <c r="AC79" i="14"/>
  <c r="AB79" i="14"/>
  <c r="R79" i="14"/>
  <c r="AF78" i="14"/>
  <c r="AE78" i="14"/>
  <c r="AD78" i="14"/>
  <c r="AC78" i="14"/>
  <c r="AB78" i="14"/>
  <c r="AA78" i="14"/>
  <c r="Z78" i="14"/>
  <c r="Y78" i="14"/>
  <c r="R78" i="14"/>
  <c r="AF77" i="14"/>
  <c r="AE77" i="14"/>
  <c r="AD77" i="14"/>
  <c r="AC77" i="14"/>
  <c r="AB77" i="14"/>
  <c r="AA77" i="14"/>
  <c r="Z77" i="14"/>
  <c r="Y77" i="14"/>
  <c r="R77" i="14"/>
  <c r="AF75" i="14"/>
  <c r="AE75" i="14"/>
  <c r="AD75" i="14"/>
  <c r="AC75" i="14"/>
  <c r="AB75" i="14"/>
  <c r="AA75" i="14"/>
  <c r="Z75" i="14"/>
  <c r="Y75" i="14"/>
  <c r="X75" i="14"/>
  <c r="W75" i="14"/>
  <c r="V75" i="14"/>
  <c r="U75" i="14"/>
  <c r="T75" i="14"/>
  <c r="S75" i="14"/>
  <c r="R75" i="14"/>
  <c r="R99" i="14" s="1"/>
  <c r="AF72" i="14"/>
  <c r="AE72" i="14"/>
  <c r="AD72" i="14"/>
  <c r="AC72" i="14"/>
  <c r="AB72" i="14"/>
  <c r="AA72" i="14"/>
  <c r="Z72" i="14"/>
  <c r="Y72" i="14"/>
  <c r="X72" i="14"/>
  <c r="W72" i="14"/>
  <c r="R72" i="14"/>
  <c r="Q90" i="14"/>
  <c r="P90" i="14"/>
  <c r="Q89" i="14"/>
  <c r="P89" i="14"/>
  <c r="Q88" i="14"/>
  <c r="P88" i="14"/>
  <c r="Q86" i="14"/>
  <c r="P86" i="14"/>
  <c r="Q85" i="14"/>
  <c r="P85" i="14"/>
  <c r="Q84" i="14"/>
  <c r="P84" i="14"/>
  <c r="Q83" i="14"/>
  <c r="P83" i="14"/>
  <c r="Q82" i="14"/>
  <c r="P82" i="14"/>
  <c r="Q81" i="14"/>
  <c r="P81" i="14"/>
  <c r="Q80" i="14"/>
  <c r="P80" i="14"/>
  <c r="Q79" i="14"/>
  <c r="P79" i="14"/>
  <c r="Q78" i="14"/>
  <c r="P78" i="14"/>
  <c r="Q77" i="14"/>
  <c r="P77" i="14"/>
  <c r="Q75" i="14"/>
  <c r="P75" i="14"/>
  <c r="P72" i="14"/>
  <c r="S68" i="14"/>
  <c r="Q67" i="14"/>
  <c r="N68" i="14"/>
  <c r="M68" i="14"/>
  <c r="L68" i="14"/>
  <c r="K68" i="14"/>
  <c r="J68" i="14"/>
  <c r="I68" i="14"/>
  <c r="N67" i="14"/>
  <c r="M67" i="14"/>
  <c r="L67" i="14"/>
  <c r="K67" i="14"/>
  <c r="J67" i="14"/>
  <c r="I67" i="14"/>
  <c r="N66" i="14"/>
  <c r="M66" i="14"/>
  <c r="L66" i="14"/>
  <c r="K66" i="14"/>
  <c r="J66" i="14"/>
  <c r="I66" i="14"/>
  <c r="N65" i="14"/>
  <c r="M65" i="14"/>
  <c r="L65" i="14"/>
  <c r="K65" i="14"/>
  <c r="J65" i="14"/>
  <c r="I65" i="14"/>
  <c r="H66" i="14"/>
  <c r="G66" i="14"/>
  <c r="F66" i="14"/>
  <c r="E66" i="14"/>
  <c r="D66" i="14"/>
  <c r="H65" i="14"/>
  <c r="G65" i="14"/>
  <c r="F65" i="14"/>
  <c r="E65" i="14"/>
  <c r="D65" i="14"/>
  <c r="R64" i="14"/>
  <c r="N64" i="14"/>
  <c r="M64" i="14"/>
  <c r="L64" i="14"/>
  <c r="K64" i="14"/>
  <c r="J64" i="14"/>
  <c r="I64" i="14"/>
  <c r="H64" i="14"/>
  <c r="G64" i="14"/>
  <c r="F64" i="14"/>
  <c r="E64" i="14"/>
  <c r="D64" i="14"/>
  <c r="P63" i="14"/>
  <c r="O63" i="14"/>
  <c r="N63" i="14"/>
  <c r="M63" i="14"/>
  <c r="L63" i="14"/>
  <c r="K63" i="14"/>
  <c r="J63" i="14"/>
  <c r="I63" i="14"/>
  <c r="H63" i="14"/>
  <c r="G63" i="14"/>
  <c r="F63" i="14"/>
  <c r="E63" i="14"/>
  <c r="D63" i="14"/>
  <c r="O62" i="14"/>
  <c r="N62" i="14"/>
  <c r="M62" i="14"/>
  <c r="L62" i="14"/>
  <c r="G62" i="14"/>
  <c r="F62" i="14"/>
  <c r="E62" i="14"/>
  <c r="D62" i="14"/>
  <c r="N61" i="14"/>
  <c r="M61" i="14"/>
  <c r="L61" i="14"/>
  <c r="K61" i="14"/>
  <c r="G61" i="14"/>
  <c r="F61" i="14"/>
  <c r="E61" i="14"/>
  <c r="D61" i="14"/>
  <c r="O55" i="14"/>
  <c r="O57" i="14" s="1"/>
  <c r="O54" i="14"/>
  <c r="O56" i="14" s="1"/>
  <c r="R46" i="14"/>
  <c r="N46" i="14"/>
  <c r="M46" i="14"/>
  <c r="K46" i="14"/>
  <c r="J46" i="14"/>
  <c r="I46" i="14"/>
  <c r="H46" i="14"/>
  <c r="G46" i="14"/>
  <c r="F46" i="14"/>
  <c r="E46" i="14"/>
  <c r="P45" i="14"/>
  <c r="O45" i="14"/>
  <c r="F45" i="14"/>
  <c r="R42" i="14"/>
  <c r="Q42" i="14"/>
  <c r="N42" i="14"/>
  <c r="N45" i="14" s="1"/>
  <c r="M42" i="14"/>
  <c r="L42" i="14"/>
  <c r="M207" i="14" s="1"/>
  <c r="K42" i="14"/>
  <c r="G42" i="14"/>
  <c r="F42" i="14"/>
  <c r="G207" i="14" s="1"/>
  <c r="E42" i="14"/>
  <c r="D42" i="14"/>
  <c r="E207" i="14" s="1"/>
  <c r="C42" i="14"/>
  <c r="D207" i="14" s="1"/>
  <c r="AL41" i="14"/>
  <c r="AJ41" i="14"/>
  <c r="T38" i="14"/>
  <c r="S95" i="14"/>
  <c r="S94" i="14"/>
  <c r="T35" i="14"/>
  <c r="T203" i="14" s="1"/>
  <c r="S92" i="14"/>
  <c r="S91" i="14"/>
  <c r="T25" i="14"/>
  <c r="S192" i="14"/>
  <c r="T24" i="14"/>
  <c r="T22" i="14"/>
  <c r="J5" i="14"/>
  <c r="I5" i="14"/>
  <c r="R9" i="14"/>
  <c r="R8" i="14"/>
  <c r="S8" i="14" s="1"/>
  <c r="R7" i="14"/>
  <c r="R6" i="14"/>
  <c r="S6" i="14" s="1"/>
  <c r="S182" i="11" s="1"/>
  <c r="R5" i="14"/>
  <c r="S4" i="14"/>
  <c r="R4" i="14"/>
  <c r="I4" i="14"/>
  <c r="P1" i="14"/>
  <c r="K1" i="14"/>
  <c r="J1" i="14" s="1"/>
  <c r="I1" i="14" s="1"/>
  <c r="H1" i="14" s="1"/>
  <c r="G1" i="14" s="1"/>
  <c r="F1" i="14" s="1"/>
  <c r="E1" i="14" s="1"/>
  <c r="D1" i="14" s="1"/>
  <c r="C1" i="14" s="1"/>
  <c r="BG196" i="1"/>
  <c r="C196" i="1"/>
  <c r="AQ191" i="1"/>
  <c r="C192" i="1"/>
  <c r="AZ193" i="1"/>
  <c r="AY193" i="1"/>
  <c r="AX193" i="1"/>
  <c r="AW193" i="1"/>
  <c r="AZ192" i="1"/>
  <c r="AY192" i="1"/>
  <c r="AX192" i="1"/>
  <c r="AW192" i="1"/>
  <c r="AZ191" i="1"/>
  <c r="AY191" i="1"/>
  <c r="AX191" i="1"/>
  <c r="AW191" i="1"/>
  <c r="AV191" i="1"/>
  <c r="AZ190" i="1"/>
  <c r="AY190" i="1"/>
  <c r="AX190" i="1"/>
  <c r="AW190" i="1"/>
  <c r="AG190" i="1"/>
  <c r="BV183" i="1"/>
  <c r="BV182" i="1"/>
  <c r="C177" i="1"/>
  <c r="CT151" i="1"/>
  <c r="CO172" i="1"/>
  <c r="AP172" i="1"/>
  <c r="AO172" i="1"/>
  <c r="AN172" i="1"/>
  <c r="AM172" i="1"/>
  <c r="B172" i="1"/>
  <c r="B195" i="1" s="1"/>
  <c r="CF159" i="1"/>
  <c r="CO158" i="1"/>
  <c r="CF157" i="1"/>
  <c r="CG157" i="1" s="1"/>
  <c r="CH157" i="1" s="1"/>
  <c r="CO156" i="1"/>
  <c r="BL171" i="1"/>
  <c r="BL194" i="1" s="1"/>
  <c r="B171" i="1"/>
  <c r="B194" i="1" s="1"/>
  <c r="B170" i="1"/>
  <c r="B193" i="1" s="1"/>
  <c r="B169" i="1"/>
  <c r="B192" i="1" s="1"/>
  <c r="B168" i="1"/>
  <c r="B191" i="1" s="1"/>
  <c r="B167" i="1"/>
  <c r="B190" i="1" s="1"/>
  <c r="B162" i="1"/>
  <c r="B186" i="1" s="1"/>
  <c r="B161" i="1"/>
  <c r="B185" i="1" s="1"/>
  <c r="B160" i="1"/>
  <c r="B159" i="1"/>
  <c r="B158" i="1"/>
  <c r="B157" i="1"/>
  <c r="B156" i="1"/>
  <c r="B155" i="1"/>
  <c r="B179" i="1" s="1"/>
  <c r="B154" i="1"/>
  <c r="B178" i="1" s="1"/>
  <c r="B153" i="1"/>
  <c r="B177" i="1" s="1"/>
  <c r="B152" i="1"/>
  <c r="B176" i="1" s="1"/>
  <c r="B151" i="1"/>
  <c r="B175" i="1" s="1"/>
  <c r="BA170" i="1"/>
  <c r="BF170" i="1" s="1"/>
  <c r="BG170" i="1" s="1"/>
  <c r="BA168" i="1"/>
  <c r="BA191" i="1" s="1"/>
  <c r="H169" i="1"/>
  <c r="M169" i="1" s="1"/>
  <c r="BU171" i="1"/>
  <c r="BZ171" i="1" s="1"/>
  <c r="AL167" i="1"/>
  <c r="AL190" i="1" s="1"/>
  <c r="BQ162" i="1"/>
  <c r="BR162" i="1" s="1"/>
  <c r="BP162" i="1"/>
  <c r="BP160" i="1" s="1"/>
  <c r="BK162" i="1"/>
  <c r="BZ161" i="1"/>
  <c r="CE161" i="1" s="1"/>
  <c r="CE160" i="1"/>
  <c r="CA160" i="1" s="1"/>
  <c r="CB160" i="1" s="1"/>
  <c r="CC160" i="1" s="1"/>
  <c r="BY160" i="1"/>
  <c r="BX160" i="1"/>
  <c r="BW160" i="1"/>
  <c r="BV160" i="1"/>
  <c r="BV161" i="1" s="1"/>
  <c r="BU160" i="1"/>
  <c r="BQ160" i="1" s="1"/>
  <c r="BR160" i="1" s="1"/>
  <c r="BO160" i="1"/>
  <c r="BN160" i="1"/>
  <c r="CA159" i="1"/>
  <c r="CB159" i="1" s="1"/>
  <c r="CC159" i="1" s="1"/>
  <c r="CA158" i="1"/>
  <c r="CB158" i="1" s="1"/>
  <c r="CC158" i="1" s="1"/>
  <c r="CS159" i="1"/>
  <c r="CR159" i="1"/>
  <c r="CQ159" i="1"/>
  <c r="CP159" i="1"/>
  <c r="CS158" i="1"/>
  <c r="CR158" i="1"/>
  <c r="CQ158" i="1"/>
  <c r="CP158" i="1"/>
  <c r="CS157" i="1"/>
  <c r="CR157" i="1"/>
  <c r="CQ157" i="1"/>
  <c r="CP157" i="1"/>
  <c r="CS156" i="1"/>
  <c r="CR156" i="1"/>
  <c r="CQ156" i="1"/>
  <c r="CP156" i="1"/>
  <c r="CF158" i="1"/>
  <c r="CG158" i="1" s="1"/>
  <c r="CH158" i="1" s="1"/>
  <c r="CA157" i="1"/>
  <c r="CB157" i="1" s="1"/>
  <c r="CC157" i="1" s="1"/>
  <c r="CA156" i="1"/>
  <c r="CB156" i="1" s="1"/>
  <c r="CC156" i="1" s="1"/>
  <c r="BY157" i="1"/>
  <c r="BX157" i="1"/>
  <c r="BW157" i="1" s="1"/>
  <c r="BV157" i="1" s="1"/>
  <c r="BV181" i="1" s="1"/>
  <c r="BY156" i="1"/>
  <c r="BX156" i="1"/>
  <c r="BW156" i="1" s="1"/>
  <c r="BV156" i="1" s="1"/>
  <c r="BH155" i="1"/>
  <c r="BI155" i="1" s="1"/>
  <c r="BF154" i="1"/>
  <c r="BG154" i="1" s="1"/>
  <c r="AQ152" i="1"/>
  <c r="AV152" i="1" s="1"/>
  <c r="M153" i="1"/>
  <c r="R153" i="1" s="1"/>
  <c r="W153" i="1" s="1"/>
  <c r="BH152" i="1"/>
  <c r="BI152" i="1" s="1"/>
  <c r="BP155" i="1"/>
  <c r="BU155" i="1" s="1"/>
  <c r="BP152" i="1"/>
  <c r="BU152" i="1" s="1"/>
  <c r="AG151" i="1"/>
  <c r="AL151" i="1" s="1"/>
  <c r="AQ151" i="1" s="1"/>
  <c r="BR144" i="1"/>
  <c r="BW144" i="1" s="1"/>
  <c r="BM144" i="1"/>
  <c r="BM142" i="1" s="1"/>
  <c r="BM134" i="1" s="1"/>
  <c r="BL144" i="1"/>
  <c r="BL142" i="1" s="1"/>
  <c r="BL134" i="1" s="1"/>
  <c r="BI144" i="1"/>
  <c r="BI132" i="1" s="1"/>
  <c r="BE144" i="1"/>
  <c r="BF144" i="1" s="1"/>
  <c r="AZ144" i="1"/>
  <c r="BA144" i="1" s="1"/>
  <c r="AU144" i="1"/>
  <c r="AV144" i="1" s="1"/>
  <c r="AP144" i="1"/>
  <c r="AN144" i="1"/>
  <c r="AK144" i="1"/>
  <c r="AL144" i="1" s="1"/>
  <c r="AF144" i="1"/>
  <c r="AG144" i="1" s="1"/>
  <c r="AA144" i="1"/>
  <c r="AB144" i="1" s="1"/>
  <c r="H144" i="1"/>
  <c r="BI142" i="1"/>
  <c r="BH142" i="1"/>
  <c r="BG142" i="1"/>
  <c r="BD142" i="1"/>
  <c r="BC142" i="1"/>
  <c r="BB142" i="1"/>
  <c r="AZ142" i="1"/>
  <c r="AY142" i="1"/>
  <c r="AX142" i="1"/>
  <c r="AW142" i="1"/>
  <c r="AT142" i="1"/>
  <c r="AR142" i="1"/>
  <c r="AO142" i="1"/>
  <c r="AM142" i="1"/>
  <c r="AJ142" i="1"/>
  <c r="AI142" i="1"/>
  <c r="AH142" i="1"/>
  <c r="AE142" i="1"/>
  <c r="AD142" i="1"/>
  <c r="AC142" i="1"/>
  <c r="Z142" i="1"/>
  <c r="Y142" i="1"/>
  <c r="X142" i="1"/>
  <c r="U142" i="1"/>
  <c r="T142" i="1"/>
  <c r="S142" i="1"/>
  <c r="Q142" i="1"/>
  <c r="P142" i="1"/>
  <c r="O142" i="1"/>
  <c r="N142" i="1"/>
  <c r="E142" i="1"/>
  <c r="H142" i="1" s="1"/>
  <c r="BA141" i="1"/>
  <c r="BA140" i="1"/>
  <c r="BA139" i="1"/>
  <c r="BA138" i="1"/>
  <c r="BA137" i="1"/>
  <c r="BA136" i="1"/>
  <c r="BA135" i="1"/>
  <c r="AV141" i="1"/>
  <c r="AV140" i="1"/>
  <c r="AV139" i="1"/>
  <c r="AV138" i="1"/>
  <c r="AV137" i="1"/>
  <c r="AV136" i="1"/>
  <c r="AV135" i="1"/>
  <c r="AQ141" i="1"/>
  <c r="AQ140" i="1"/>
  <c r="AQ139" i="1"/>
  <c r="AQ138" i="1"/>
  <c r="AQ137" i="1"/>
  <c r="AQ136" i="1"/>
  <c r="AQ135" i="1"/>
  <c r="BP135" i="1"/>
  <c r="BK135" i="1"/>
  <c r="BF135" i="1"/>
  <c r="AL135" i="1"/>
  <c r="AG135" i="1"/>
  <c r="AB135" i="1"/>
  <c r="W135" i="1"/>
  <c r="R135" i="1"/>
  <c r="R134" i="1"/>
  <c r="M135" i="1"/>
  <c r="H135" i="1"/>
  <c r="H134" i="1"/>
  <c r="H132" i="1" s="1"/>
  <c r="BW135" i="1"/>
  <c r="CB135" i="1" s="1"/>
  <c r="CQ135" i="1" s="1"/>
  <c r="CV135" i="1" s="1"/>
  <c r="DA135" i="1" s="1"/>
  <c r="DF135" i="1" s="1"/>
  <c r="DK135" i="1" s="1"/>
  <c r="DP135" i="1" s="1"/>
  <c r="DU135" i="1" s="1"/>
  <c r="DZ135" i="1" s="1"/>
  <c r="EE135" i="1" s="1"/>
  <c r="EJ135" i="1" s="1"/>
  <c r="BV135" i="1"/>
  <c r="BE134" i="1"/>
  <c r="AZ134" i="1"/>
  <c r="BA134" i="1" s="1"/>
  <c r="AU134" i="1"/>
  <c r="AU142" i="1" s="1"/>
  <c r="AS134" i="1"/>
  <c r="AS132" i="1" s="1"/>
  <c r="AP134" i="1"/>
  <c r="AP142" i="1" s="1"/>
  <c r="AN134" i="1"/>
  <c r="AN132" i="1" s="1"/>
  <c r="AK134" i="1"/>
  <c r="AK132" i="1" s="1"/>
  <c r="AF134" i="1"/>
  <c r="AF132" i="1" s="1"/>
  <c r="AA134" i="1"/>
  <c r="AA132" i="1" s="1"/>
  <c r="V134" i="1"/>
  <c r="V132" i="1" s="1"/>
  <c r="L134" i="1"/>
  <c r="L132" i="1" s="1"/>
  <c r="J134" i="1"/>
  <c r="J132" i="1" s="1"/>
  <c r="I134" i="1"/>
  <c r="I132" i="1" s="1"/>
  <c r="BZ132" i="1"/>
  <c r="BP132" i="1"/>
  <c r="BH132" i="1"/>
  <c r="BG132" i="1"/>
  <c r="BD132" i="1"/>
  <c r="BC132" i="1"/>
  <c r="BB132" i="1"/>
  <c r="AY132" i="1"/>
  <c r="AX132" i="1"/>
  <c r="AW132" i="1"/>
  <c r="AT132" i="1"/>
  <c r="AR132" i="1"/>
  <c r="AO132" i="1"/>
  <c r="AM132" i="1"/>
  <c r="AJ132" i="1"/>
  <c r="AI132" i="1"/>
  <c r="AH132" i="1"/>
  <c r="AE132" i="1"/>
  <c r="AD132" i="1"/>
  <c r="AC132" i="1"/>
  <c r="Z132" i="1"/>
  <c r="Y132" i="1"/>
  <c r="X132" i="1"/>
  <c r="U132" i="1"/>
  <c r="T132" i="1"/>
  <c r="S132" i="1"/>
  <c r="Q132" i="1"/>
  <c r="P132" i="1"/>
  <c r="O132" i="1"/>
  <c r="N132" i="1"/>
  <c r="K132" i="1"/>
  <c r="G132" i="1"/>
  <c r="F132" i="1"/>
  <c r="E132" i="1"/>
  <c r="D132" i="1"/>
  <c r="C132" i="1"/>
  <c r="BU128" i="1"/>
  <c r="BL128" i="1"/>
  <c r="BP128" i="1" s="1"/>
  <c r="BJ128" i="1"/>
  <c r="BJ123" i="1" s="1"/>
  <c r="BI128" i="1"/>
  <c r="BI123" i="1" s="1"/>
  <c r="BH128" i="1"/>
  <c r="BH123" i="1" s="1"/>
  <c r="BG128" i="1"/>
  <c r="BG123" i="1" s="1"/>
  <c r="BE128" i="1"/>
  <c r="BB128" i="1"/>
  <c r="BB123" i="1" s="1"/>
  <c r="AZ128" i="1"/>
  <c r="AZ123" i="1" s="1"/>
  <c r="AY128" i="1"/>
  <c r="AY123" i="1" s="1"/>
  <c r="AX128" i="1"/>
  <c r="AX123" i="1" s="1"/>
  <c r="AW128" i="1"/>
  <c r="AW123" i="1" s="1"/>
  <c r="AU128" i="1"/>
  <c r="AU123" i="1" s="1"/>
  <c r="AT128" i="1"/>
  <c r="AT123" i="1" s="1"/>
  <c r="AS128" i="1"/>
  <c r="AS123" i="1" s="1"/>
  <c r="AR128" i="1"/>
  <c r="AR123" i="1" s="1"/>
  <c r="AQ128" i="1"/>
  <c r="AQ123" i="1" s="1"/>
  <c r="AL128" i="1"/>
  <c r="AG128" i="1"/>
  <c r="AG123" i="1" s="1"/>
  <c r="AB128" i="1"/>
  <c r="AB123" i="1" s="1"/>
  <c r="W128" i="1"/>
  <c r="W123" i="1" s="1"/>
  <c r="O128" i="1"/>
  <c r="O123" i="1" s="1"/>
  <c r="N128" i="1"/>
  <c r="N123" i="1" s="1"/>
  <c r="L128" i="1"/>
  <c r="L123" i="1" s="1"/>
  <c r="K128" i="1"/>
  <c r="K123" i="1" s="1"/>
  <c r="J128" i="1"/>
  <c r="J123" i="1" s="1"/>
  <c r="I128" i="1"/>
  <c r="I123" i="1" s="1"/>
  <c r="G128" i="1"/>
  <c r="H128" i="1" s="1"/>
  <c r="H123" i="1" s="1"/>
  <c r="BZ125" i="1"/>
  <c r="BU125" i="1"/>
  <c r="BP125" i="1"/>
  <c r="BK125" i="1"/>
  <c r="BD125" i="1"/>
  <c r="BD128" i="1" s="1"/>
  <c r="BD123" i="1" s="1"/>
  <c r="BC125" i="1"/>
  <c r="BA125" i="1"/>
  <c r="AV125" i="1"/>
  <c r="AV193" i="1" s="1"/>
  <c r="CQ123" i="1"/>
  <c r="CP123" i="1"/>
  <c r="CL123" i="1"/>
  <c r="CK123" i="1"/>
  <c r="CG123" i="1"/>
  <c r="CF123" i="1"/>
  <c r="BY123" i="1"/>
  <c r="BX123" i="1"/>
  <c r="BW123" i="1"/>
  <c r="BV123" i="1"/>
  <c r="BT123" i="1"/>
  <c r="BS123" i="1"/>
  <c r="BR123" i="1"/>
  <c r="BQ123" i="1"/>
  <c r="BO123" i="1"/>
  <c r="BN123" i="1"/>
  <c r="BM123" i="1"/>
  <c r="BE123" i="1"/>
  <c r="AP123" i="1"/>
  <c r="AO123" i="1"/>
  <c r="AN123" i="1"/>
  <c r="AM123" i="1"/>
  <c r="AL123" i="1"/>
  <c r="AK123" i="1"/>
  <c r="AJ123" i="1"/>
  <c r="AI123" i="1"/>
  <c r="AH123" i="1"/>
  <c r="AF123" i="1"/>
  <c r="AE123" i="1"/>
  <c r="AD123" i="1"/>
  <c r="AC123" i="1"/>
  <c r="AA123" i="1"/>
  <c r="Z123" i="1"/>
  <c r="Y123" i="1"/>
  <c r="X123" i="1"/>
  <c r="V123" i="1"/>
  <c r="U123" i="1"/>
  <c r="T123" i="1"/>
  <c r="S123" i="1"/>
  <c r="Q123" i="1"/>
  <c r="P123" i="1"/>
  <c r="G123" i="1"/>
  <c r="F123" i="1"/>
  <c r="E123" i="1"/>
  <c r="D123" i="1"/>
  <c r="C123" i="1"/>
  <c r="CJ121" i="1"/>
  <c r="CO121" i="1" s="1"/>
  <c r="BZ121" i="1"/>
  <c r="BU121" i="1"/>
  <c r="BP121" i="1"/>
  <c r="BP194" i="1" s="1"/>
  <c r="CO119" i="1"/>
  <c r="CT119" i="1" s="1"/>
  <c r="CY119" i="1" s="1"/>
  <c r="DI119" i="1" s="1"/>
  <c r="DN119" i="1" s="1"/>
  <c r="DS119" i="1" s="1"/>
  <c r="DX119" i="1" s="1"/>
  <c r="EC119" i="1" s="1"/>
  <c r="EH119" i="1" s="1"/>
  <c r="EM119" i="1" s="1"/>
  <c r="ER119" i="1" s="1"/>
  <c r="BZ118" i="1"/>
  <c r="BU118" i="1"/>
  <c r="BP118" i="1"/>
  <c r="BK118" i="1"/>
  <c r="BF118" i="1"/>
  <c r="BA118" i="1"/>
  <c r="AV118" i="1"/>
  <c r="AQ118" i="1"/>
  <c r="AL118" i="1"/>
  <c r="AG118" i="1"/>
  <c r="AB118" i="1"/>
  <c r="W118" i="1"/>
  <c r="R118" i="1"/>
  <c r="L118" i="1"/>
  <c r="J118" i="1"/>
  <c r="G118" i="1"/>
  <c r="H118" i="1" s="1"/>
  <c r="BZ115" i="1"/>
  <c r="BU115" i="1"/>
  <c r="BP115" i="1"/>
  <c r="BK115" i="1"/>
  <c r="BK116" i="1" s="1"/>
  <c r="BF116" i="1"/>
  <c r="BZ112" i="1"/>
  <c r="BU112" i="1"/>
  <c r="BP112" i="1"/>
  <c r="BK112" i="1"/>
  <c r="BK113" i="1" s="1"/>
  <c r="BF113" i="1"/>
  <c r="EQ84" i="1"/>
  <c r="EQ195" i="1" s="1"/>
  <c r="EP84" i="1"/>
  <c r="EP195" i="1" s="1"/>
  <c r="EO84" i="1"/>
  <c r="EO195" i="1" s="1"/>
  <c r="EN84" i="1"/>
  <c r="EN195" i="1" s="1"/>
  <c r="EL84" i="1"/>
  <c r="EL195" i="1" s="1"/>
  <c r="EK84" i="1"/>
  <c r="EK195" i="1" s="1"/>
  <c r="EJ84" i="1"/>
  <c r="EJ195" i="1" s="1"/>
  <c r="EI84" i="1"/>
  <c r="EI195" i="1" s="1"/>
  <c r="EG84" i="1"/>
  <c r="EG195" i="1" s="1"/>
  <c r="EF84" i="1"/>
  <c r="EF195" i="1" s="1"/>
  <c r="EE84" i="1"/>
  <c r="EE195" i="1" s="1"/>
  <c r="ED84" i="1"/>
  <c r="ED195" i="1" s="1"/>
  <c r="EB84" i="1"/>
  <c r="EB195" i="1" s="1"/>
  <c r="EA84" i="1"/>
  <c r="EA195" i="1" s="1"/>
  <c r="DZ84" i="1"/>
  <c r="DZ195" i="1" s="1"/>
  <c r="DY84" i="1"/>
  <c r="DY195" i="1" s="1"/>
  <c r="DW84" i="1"/>
  <c r="DW195" i="1" s="1"/>
  <c r="DV84" i="1"/>
  <c r="DV195" i="1" s="1"/>
  <c r="DU84" i="1"/>
  <c r="DU195" i="1" s="1"/>
  <c r="DT84" i="1"/>
  <c r="DT195" i="1" s="1"/>
  <c r="DR84" i="1"/>
  <c r="DR195" i="1" s="1"/>
  <c r="DQ84" i="1"/>
  <c r="DQ195" i="1" s="1"/>
  <c r="DP84" i="1"/>
  <c r="DP195" i="1" s="1"/>
  <c r="DO84" i="1"/>
  <c r="DO195" i="1" s="1"/>
  <c r="DM84" i="1"/>
  <c r="DM195" i="1" s="1"/>
  <c r="DL84" i="1"/>
  <c r="DL195" i="1" s="1"/>
  <c r="DK84" i="1"/>
  <c r="DK195" i="1" s="1"/>
  <c r="DJ84" i="1"/>
  <c r="DJ195" i="1" s="1"/>
  <c r="DH84" i="1"/>
  <c r="DH195" i="1" s="1"/>
  <c r="DG84" i="1"/>
  <c r="DG195" i="1" s="1"/>
  <c r="DF84" i="1"/>
  <c r="DF195" i="1" s="1"/>
  <c r="DE84" i="1"/>
  <c r="DE195" i="1" s="1"/>
  <c r="DC84" i="1"/>
  <c r="DC195" i="1" s="1"/>
  <c r="DB84" i="1"/>
  <c r="DB195" i="1" s="1"/>
  <c r="DA84" i="1"/>
  <c r="DA195" i="1" s="1"/>
  <c r="CZ84" i="1"/>
  <c r="CZ195" i="1" s="1"/>
  <c r="CX84" i="1"/>
  <c r="CX195" i="1" s="1"/>
  <c r="CW84" i="1"/>
  <c r="CW195" i="1" s="1"/>
  <c r="CV84" i="1"/>
  <c r="CV195" i="1" s="1"/>
  <c r="CU84" i="1"/>
  <c r="CU195" i="1" s="1"/>
  <c r="CS84" i="1"/>
  <c r="CS195" i="1" s="1"/>
  <c r="CR84" i="1"/>
  <c r="CR195" i="1" s="1"/>
  <c r="CQ84" i="1"/>
  <c r="CQ195" i="1" s="1"/>
  <c r="CP84" i="1"/>
  <c r="CP195" i="1" s="1"/>
  <c r="CN84" i="1"/>
  <c r="CN195" i="1" s="1"/>
  <c r="CM84" i="1"/>
  <c r="CM195" i="1" s="1"/>
  <c r="CL84" i="1"/>
  <c r="CL195" i="1" s="1"/>
  <c r="CK84" i="1"/>
  <c r="CK195" i="1" s="1"/>
  <c r="BZ84" i="1"/>
  <c r="N84" i="1"/>
  <c r="K84" i="1"/>
  <c r="K89" i="1" s="1"/>
  <c r="J84" i="1"/>
  <c r="J89" i="1" s="1"/>
  <c r="I84" i="1"/>
  <c r="I89" i="1" s="1"/>
  <c r="H84" i="1"/>
  <c r="G84" i="1"/>
  <c r="F84" i="1"/>
  <c r="F89" i="1" s="1"/>
  <c r="F130" i="1" s="1"/>
  <c r="E84" i="1"/>
  <c r="E89" i="1" s="1"/>
  <c r="E130" i="1" s="1"/>
  <c r="D84" i="1"/>
  <c r="D89" i="1" s="1"/>
  <c r="C84" i="1"/>
  <c r="C89" i="1" s="1"/>
  <c r="BP82" i="1"/>
  <c r="BR82" i="1" s="1"/>
  <c r="BP81" i="1"/>
  <c r="BP80" i="1"/>
  <c r="BR80" i="1" s="1"/>
  <c r="BQ80" i="1"/>
  <c r="BQ79" i="1" s="1"/>
  <c r="BO79" i="1"/>
  <c r="BN79" i="1"/>
  <c r="BM79" i="1"/>
  <c r="BL79" i="1"/>
  <c r="BR77" i="1"/>
  <c r="BP77" i="1"/>
  <c r="BP76" i="1"/>
  <c r="BP75" i="1"/>
  <c r="BK77" i="1"/>
  <c r="BK76" i="1"/>
  <c r="BK75" i="1"/>
  <c r="BF77" i="1"/>
  <c r="BF76" i="1"/>
  <c r="BF75" i="1"/>
  <c r="BA77" i="1"/>
  <c r="BA76" i="1"/>
  <c r="BA75" i="1"/>
  <c r="AV77" i="1"/>
  <c r="AV76" i="1"/>
  <c r="AV75" i="1"/>
  <c r="AQ77" i="1"/>
  <c r="AQ76" i="1"/>
  <c r="AQ75" i="1"/>
  <c r="AL77" i="1"/>
  <c r="AL75" i="1"/>
  <c r="AG77" i="1"/>
  <c r="AG75" i="1"/>
  <c r="AB77" i="1"/>
  <c r="AB76" i="1"/>
  <c r="AB75" i="1"/>
  <c r="W77" i="1"/>
  <c r="W76" i="1"/>
  <c r="W75" i="1"/>
  <c r="AH76" i="1"/>
  <c r="AL76" i="1" s="1"/>
  <c r="AF76" i="1"/>
  <c r="AF74" i="1" s="1"/>
  <c r="AE76" i="1"/>
  <c r="AE74" i="1" s="1"/>
  <c r="AD76" i="1"/>
  <c r="AD74" i="1" s="1"/>
  <c r="AC76" i="1"/>
  <c r="AC74" i="1" s="1"/>
  <c r="R76" i="1"/>
  <c r="R75" i="1"/>
  <c r="BQ74" i="1"/>
  <c r="BO74" i="1"/>
  <c r="BN74" i="1"/>
  <c r="BM74" i="1"/>
  <c r="BL74" i="1"/>
  <c r="BJ74" i="1"/>
  <c r="BI74" i="1"/>
  <c r="BH74" i="1"/>
  <c r="BG74" i="1"/>
  <c r="BE74" i="1"/>
  <c r="BD74" i="1"/>
  <c r="BC74" i="1"/>
  <c r="BB74" i="1"/>
  <c r="AZ74" i="1"/>
  <c r="AY74" i="1"/>
  <c r="AX74" i="1"/>
  <c r="AW74" i="1"/>
  <c r="AU74" i="1"/>
  <c r="AT74" i="1"/>
  <c r="AS74" i="1"/>
  <c r="AR74" i="1"/>
  <c r="AP74" i="1"/>
  <c r="AO74" i="1"/>
  <c r="AN74" i="1"/>
  <c r="AM74" i="1"/>
  <c r="AK74" i="1"/>
  <c r="AJ74" i="1"/>
  <c r="AI74" i="1"/>
  <c r="AA74" i="1"/>
  <c r="Z74" i="1"/>
  <c r="Y74" i="1"/>
  <c r="X74" i="1"/>
  <c r="V74" i="1"/>
  <c r="U74" i="1"/>
  <c r="T74" i="1"/>
  <c r="S74" i="1"/>
  <c r="Q74" i="1"/>
  <c r="P74" i="1"/>
  <c r="L74" i="1"/>
  <c r="L84" i="1" s="1"/>
  <c r="BR72" i="1"/>
  <c r="BQ72" i="1"/>
  <c r="BQ68" i="1" s="1"/>
  <c r="BP72" i="1"/>
  <c r="BJ72" i="1"/>
  <c r="BI72" i="1"/>
  <c r="W72" i="1"/>
  <c r="N72" i="1"/>
  <c r="BP71" i="1"/>
  <c r="BP70" i="1"/>
  <c r="BP69" i="1"/>
  <c r="BK71" i="1"/>
  <c r="BK69" i="1"/>
  <c r="BE71" i="1"/>
  <c r="BD71" i="1"/>
  <c r="BC71" i="1"/>
  <c r="BB71" i="1"/>
  <c r="AZ71" i="1"/>
  <c r="AY71" i="1"/>
  <c r="AX71" i="1"/>
  <c r="AW71" i="1"/>
  <c r="AU71" i="1"/>
  <c r="AT71" i="1"/>
  <c r="AS71" i="1"/>
  <c r="AR71" i="1"/>
  <c r="AP71" i="1"/>
  <c r="AO71" i="1"/>
  <c r="AN71" i="1"/>
  <c r="AM71" i="1"/>
  <c r="AK71" i="1"/>
  <c r="AJ71" i="1"/>
  <c r="AI71" i="1"/>
  <c r="AH71" i="1"/>
  <c r="AF71" i="1"/>
  <c r="AE71" i="1"/>
  <c r="AD71" i="1"/>
  <c r="AC71" i="1"/>
  <c r="AA71" i="1"/>
  <c r="Z71" i="1"/>
  <c r="Y71" i="1"/>
  <c r="X71" i="1"/>
  <c r="BH70" i="1"/>
  <c r="BH72" i="1" s="1"/>
  <c r="BG70" i="1"/>
  <c r="BG72" i="1" s="1"/>
  <c r="BE70" i="1"/>
  <c r="BD70" i="1"/>
  <c r="BC70" i="1"/>
  <c r="BB70" i="1"/>
  <c r="AZ70" i="1"/>
  <c r="AY70" i="1"/>
  <c r="AX70" i="1"/>
  <c r="AW70" i="1"/>
  <c r="AU70" i="1"/>
  <c r="AT70" i="1"/>
  <c r="AS70" i="1"/>
  <c r="AR70" i="1"/>
  <c r="AR68" i="1" s="1"/>
  <c r="AP70" i="1"/>
  <c r="AO70" i="1"/>
  <c r="AN70" i="1"/>
  <c r="AM70" i="1"/>
  <c r="AK70" i="1"/>
  <c r="AJ70" i="1"/>
  <c r="AI70" i="1"/>
  <c r="AH70" i="1"/>
  <c r="AF70" i="1"/>
  <c r="AE70" i="1"/>
  <c r="AD70" i="1"/>
  <c r="AC70" i="1"/>
  <c r="AA70" i="1"/>
  <c r="Z70" i="1"/>
  <c r="Y70" i="1"/>
  <c r="X70" i="1"/>
  <c r="X68" i="1" s="1"/>
  <c r="BF69" i="1"/>
  <c r="BA69" i="1"/>
  <c r="AV69" i="1"/>
  <c r="AQ69" i="1"/>
  <c r="AL69" i="1"/>
  <c r="AG69" i="1"/>
  <c r="AB69" i="1"/>
  <c r="W69" i="1"/>
  <c r="R69" i="1"/>
  <c r="BO68" i="1"/>
  <c r="BN68" i="1"/>
  <c r="BM68" i="1"/>
  <c r="BL68" i="1"/>
  <c r="BJ68" i="1"/>
  <c r="BI68" i="1"/>
  <c r="BG68" i="1"/>
  <c r="V68" i="1"/>
  <c r="U68" i="1"/>
  <c r="T68" i="1"/>
  <c r="S68" i="1"/>
  <c r="Q68" i="1"/>
  <c r="P68" i="1"/>
  <c r="O68" i="1"/>
  <c r="O84" i="1" s="1"/>
  <c r="O89" i="1" s="1"/>
  <c r="M68" i="1"/>
  <c r="BY61" i="1"/>
  <c r="BY58" i="1" s="1"/>
  <c r="BX61" i="1"/>
  <c r="BX58" i="1" s="1"/>
  <c r="BW61" i="1"/>
  <c r="BW58" i="1" s="1"/>
  <c r="BV61" i="1"/>
  <c r="BV58" i="1" s="1"/>
  <c r="BU61" i="1"/>
  <c r="BP61" i="1"/>
  <c r="BP59" i="1"/>
  <c r="J121" i="18" s="1"/>
  <c r="BK61" i="1"/>
  <c r="BK60" i="1"/>
  <c r="BK59" i="1"/>
  <c r="BZ60" i="1"/>
  <c r="L110" i="19" s="1"/>
  <c r="BZ59" i="1"/>
  <c r="L121" i="18" s="1"/>
  <c r="BU60" i="1"/>
  <c r="K110" i="19" s="1"/>
  <c r="BU59" i="1"/>
  <c r="K121" i="18" s="1"/>
  <c r="BN60" i="1"/>
  <c r="BM60" i="1"/>
  <c r="BM58" i="1" s="1"/>
  <c r="BM186" i="1" s="1"/>
  <c r="EQ58" i="1"/>
  <c r="EP58" i="1"/>
  <c r="EO58" i="1"/>
  <c r="EN58" i="1"/>
  <c r="EL58" i="1"/>
  <c r="EK58" i="1"/>
  <c r="EJ58" i="1"/>
  <c r="EI58" i="1"/>
  <c r="EG58" i="1"/>
  <c r="EF58" i="1"/>
  <c r="EE58" i="1"/>
  <c r="ED58" i="1"/>
  <c r="EB58" i="1"/>
  <c r="EA58" i="1"/>
  <c r="DZ58" i="1"/>
  <c r="DY58" i="1"/>
  <c r="DW58" i="1"/>
  <c r="DV58" i="1"/>
  <c r="DU58" i="1"/>
  <c r="DT58" i="1"/>
  <c r="DR58" i="1"/>
  <c r="DQ58" i="1"/>
  <c r="DP58" i="1"/>
  <c r="DO58" i="1"/>
  <c r="DM58" i="1"/>
  <c r="DL58" i="1"/>
  <c r="DK58" i="1"/>
  <c r="DJ58" i="1"/>
  <c r="DH58" i="1"/>
  <c r="DG58" i="1"/>
  <c r="DF58" i="1"/>
  <c r="DE58" i="1"/>
  <c r="DC58" i="1"/>
  <c r="DB58" i="1"/>
  <c r="DA58" i="1"/>
  <c r="CZ58" i="1"/>
  <c r="CX58" i="1"/>
  <c r="CW58" i="1"/>
  <c r="CV58" i="1"/>
  <c r="CU58" i="1"/>
  <c r="CS58" i="1"/>
  <c r="CR58" i="1"/>
  <c r="CQ58" i="1"/>
  <c r="CP58" i="1"/>
  <c r="CN58" i="1"/>
  <c r="CM58" i="1"/>
  <c r="CL58" i="1"/>
  <c r="CK58" i="1"/>
  <c r="CC58" i="1"/>
  <c r="CB58" i="1"/>
  <c r="CA58" i="1"/>
  <c r="BT58" i="1"/>
  <c r="BS58" i="1"/>
  <c r="BR58" i="1"/>
  <c r="BQ58" i="1"/>
  <c r="BO58" i="1"/>
  <c r="BO186" i="1" s="1"/>
  <c r="BN58" i="1"/>
  <c r="BN186" i="1" s="1"/>
  <c r="BL58" i="1"/>
  <c r="BL186" i="1" s="1"/>
  <c r="BJ58" i="1"/>
  <c r="BJ186" i="1" s="1"/>
  <c r="BZ56" i="1"/>
  <c r="BZ55" i="1"/>
  <c r="L112" i="19" s="1"/>
  <c r="BZ54" i="1"/>
  <c r="EQ53" i="1"/>
  <c r="EQ185" i="1" s="1"/>
  <c r="EP53" i="1"/>
  <c r="EP185" i="1" s="1"/>
  <c r="EO53" i="1"/>
  <c r="EO185" i="1" s="1"/>
  <c r="EN53" i="1"/>
  <c r="EN185" i="1" s="1"/>
  <c r="EL53" i="1"/>
  <c r="EL185" i="1" s="1"/>
  <c r="EK53" i="1"/>
  <c r="EK185" i="1" s="1"/>
  <c r="EJ53" i="1"/>
  <c r="EJ185" i="1" s="1"/>
  <c r="EI53" i="1"/>
  <c r="EI185" i="1" s="1"/>
  <c r="EG53" i="1"/>
  <c r="EG185" i="1" s="1"/>
  <c r="EF53" i="1"/>
  <c r="EF185" i="1" s="1"/>
  <c r="EE53" i="1"/>
  <c r="EE185" i="1" s="1"/>
  <c r="ED53" i="1"/>
  <c r="ED185" i="1" s="1"/>
  <c r="EB53" i="1"/>
  <c r="EB185" i="1" s="1"/>
  <c r="EA53" i="1"/>
  <c r="EA185" i="1" s="1"/>
  <c r="DZ53" i="1"/>
  <c r="DZ185" i="1" s="1"/>
  <c r="DY53" i="1"/>
  <c r="DY185" i="1" s="1"/>
  <c r="DW53" i="1"/>
  <c r="DW185" i="1" s="1"/>
  <c r="DV53" i="1"/>
  <c r="DV185" i="1" s="1"/>
  <c r="DU53" i="1"/>
  <c r="DU185" i="1" s="1"/>
  <c r="DT53" i="1"/>
  <c r="DT185" i="1" s="1"/>
  <c r="DR53" i="1"/>
  <c r="DR185" i="1" s="1"/>
  <c r="DQ53" i="1"/>
  <c r="DQ185" i="1" s="1"/>
  <c r="DP53" i="1"/>
  <c r="DP185" i="1" s="1"/>
  <c r="DO53" i="1"/>
  <c r="DO185" i="1" s="1"/>
  <c r="DM53" i="1"/>
  <c r="DM185" i="1" s="1"/>
  <c r="DL53" i="1"/>
  <c r="DL185" i="1" s="1"/>
  <c r="DK53" i="1"/>
  <c r="DK185" i="1" s="1"/>
  <c r="DJ53" i="1"/>
  <c r="DJ185" i="1" s="1"/>
  <c r="DH53" i="1"/>
  <c r="DH185" i="1" s="1"/>
  <c r="DG53" i="1"/>
  <c r="DG185" i="1" s="1"/>
  <c r="DF53" i="1"/>
  <c r="DF185" i="1" s="1"/>
  <c r="DE53" i="1"/>
  <c r="DE185" i="1" s="1"/>
  <c r="DC53" i="1"/>
  <c r="DC185" i="1" s="1"/>
  <c r="DB53" i="1"/>
  <c r="DB185" i="1" s="1"/>
  <c r="DA53" i="1"/>
  <c r="DA185" i="1" s="1"/>
  <c r="CZ53" i="1"/>
  <c r="CZ185" i="1" s="1"/>
  <c r="CX53" i="1"/>
  <c r="CX185" i="1" s="1"/>
  <c r="CW53" i="1"/>
  <c r="CW185" i="1" s="1"/>
  <c r="CV53" i="1"/>
  <c r="CV185" i="1" s="1"/>
  <c r="CU53" i="1"/>
  <c r="CU185" i="1" s="1"/>
  <c r="CS53" i="1"/>
  <c r="CS185" i="1" s="1"/>
  <c r="CR53" i="1"/>
  <c r="CR185" i="1" s="1"/>
  <c r="CQ53" i="1"/>
  <c r="CQ185" i="1" s="1"/>
  <c r="CP53" i="1"/>
  <c r="CP185" i="1" s="1"/>
  <c r="CN53" i="1"/>
  <c r="CN185" i="1" s="1"/>
  <c r="CM53" i="1"/>
  <c r="CM185" i="1" s="1"/>
  <c r="CL53" i="1"/>
  <c r="CL185" i="1" s="1"/>
  <c r="CK53" i="1"/>
  <c r="CK185" i="1" s="1"/>
  <c r="CC53" i="1"/>
  <c r="CB53" i="1"/>
  <c r="CA53" i="1"/>
  <c r="BY53" i="1"/>
  <c r="BX53" i="1"/>
  <c r="BW53" i="1"/>
  <c r="BY51" i="1"/>
  <c r="BY48" i="1" s="1"/>
  <c r="BX51" i="1"/>
  <c r="BX48" i="1" s="1"/>
  <c r="BW51" i="1"/>
  <c r="BW48" i="1" s="1"/>
  <c r="BV51" i="1"/>
  <c r="BV48" i="1" s="1"/>
  <c r="BU51" i="1"/>
  <c r="BP51" i="1"/>
  <c r="BP49" i="1"/>
  <c r="J118" i="18" s="1"/>
  <c r="BZ50" i="1"/>
  <c r="L108" i="19" s="1"/>
  <c r="BZ49" i="1"/>
  <c r="L118" i="18" s="1"/>
  <c r="BU50" i="1"/>
  <c r="K108" i="19" s="1"/>
  <c r="BU49" i="1"/>
  <c r="K118" i="18" s="1"/>
  <c r="BM50" i="1"/>
  <c r="BP50" i="1" s="1"/>
  <c r="EQ48" i="1"/>
  <c r="EP48" i="1"/>
  <c r="EO48" i="1"/>
  <c r="EN48" i="1"/>
  <c r="EL48" i="1"/>
  <c r="EK48" i="1"/>
  <c r="EJ48" i="1"/>
  <c r="EI48" i="1"/>
  <c r="EG48" i="1"/>
  <c r="EF48" i="1"/>
  <c r="EE48" i="1"/>
  <c r="ED48" i="1"/>
  <c r="EB48" i="1"/>
  <c r="EA48" i="1"/>
  <c r="DZ48" i="1"/>
  <c r="DY48" i="1"/>
  <c r="DW48" i="1"/>
  <c r="DV48" i="1"/>
  <c r="DU48" i="1"/>
  <c r="DT48" i="1"/>
  <c r="DR48" i="1"/>
  <c r="DQ48" i="1"/>
  <c r="DP48" i="1"/>
  <c r="DO48" i="1"/>
  <c r="DM48" i="1"/>
  <c r="DL48" i="1"/>
  <c r="DK48" i="1"/>
  <c r="DJ48" i="1"/>
  <c r="DH48" i="1"/>
  <c r="DG48" i="1"/>
  <c r="DF48" i="1"/>
  <c r="DE48" i="1"/>
  <c r="DC48" i="1"/>
  <c r="DB48" i="1"/>
  <c r="DA48" i="1"/>
  <c r="CZ48" i="1"/>
  <c r="CX48" i="1"/>
  <c r="CW48" i="1"/>
  <c r="CV48" i="1"/>
  <c r="CU48" i="1"/>
  <c r="CS48" i="1"/>
  <c r="CR48" i="1"/>
  <c r="CQ48" i="1"/>
  <c r="CP48" i="1"/>
  <c r="CN48" i="1"/>
  <c r="CM48" i="1"/>
  <c r="CL48" i="1"/>
  <c r="CK48" i="1"/>
  <c r="CC48" i="1"/>
  <c r="CB48" i="1"/>
  <c r="CA48" i="1"/>
  <c r="BT48" i="1"/>
  <c r="BS48" i="1"/>
  <c r="BR48" i="1"/>
  <c r="BQ48" i="1"/>
  <c r="BO48" i="1"/>
  <c r="BN48" i="1"/>
  <c r="BZ46" i="1"/>
  <c r="BY46" i="1" s="1"/>
  <c r="CC43" i="1"/>
  <c r="CB43" i="1"/>
  <c r="CA43" i="1"/>
  <c r="BX43" i="1"/>
  <c r="BW43" i="1"/>
  <c r="BE43" i="1"/>
  <c r="BD43" i="1"/>
  <c r="BZ41" i="1"/>
  <c r="BZ40" i="1"/>
  <c r="BZ39" i="1"/>
  <c r="CC38" i="1"/>
  <c r="CB38" i="1"/>
  <c r="CA38" i="1"/>
  <c r="BY38" i="1"/>
  <c r="BX38" i="1"/>
  <c r="BW38" i="1"/>
  <c r="BE38" i="1"/>
  <c r="BD38" i="1"/>
  <c r="BZ36" i="1"/>
  <c r="BZ35" i="1"/>
  <c r="BZ34" i="1"/>
  <c r="CC33" i="1"/>
  <c r="CB33" i="1"/>
  <c r="CA33" i="1"/>
  <c r="BY33" i="1"/>
  <c r="BX33" i="1"/>
  <c r="BW33" i="1"/>
  <c r="BE33" i="1"/>
  <c r="BD33" i="1"/>
  <c r="BZ31" i="1"/>
  <c r="BZ30" i="1"/>
  <c r="BZ29" i="1"/>
  <c r="AM201" i="12" s="1"/>
  <c r="BU31" i="1"/>
  <c r="BU30" i="1"/>
  <c r="BU29" i="1"/>
  <c r="CC28" i="1"/>
  <c r="CB28" i="1"/>
  <c r="CA28" i="1"/>
  <c r="BY28" i="1"/>
  <c r="BX28" i="1"/>
  <c r="BW28" i="1"/>
  <c r="BV28" i="1"/>
  <c r="BT28" i="1"/>
  <c r="BE28" i="1"/>
  <c r="BD28" i="1"/>
  <c r="BZ26" i="1"/>
  <c r="BZ25" i="1"/>
  <c r="BZ24" i="1"/>
  <c r="AM191" i="12" s="1"/>
  <c r="BU26" i="1"/>
  <c r="BU25" i="1"/>
  <c r="AH397" i="12" s="1"/>
  <c r="BU24" i="1"/>
  <c r="BP26" i="1"/>
  <c r="BP25" i="1"/>
  <c r="AC397" i="12" s="1"/>
  <c r="BP24" i="1"/>
  <c r="BK26" i="1"/>
  <c r="X445" i="12" s="1"/>
  <c r="BK25" i="1"/>
  <c r="X397" i="12" s="1"/>
  <c r="BK24" i="1"/>
  <c r="BF26" i="1"/>
  <c r="S445" i="12" s="1"/>
  <c r="BF24" i="1"/>
  <c r="CA23" i="1"/>
  <c r="BY23" i="1"/>
  <c r="BX23" i="1"/>
  <c r="BW23" i="1"/>
  <c r="BV23" i="1"/>
  <c r="BT23" i="1"/>
  <c r="BS23" i="1"/>
  <c r="BR23" i="1"/>
  <c r="BQ23" i="1"/>
  <c r="BO23" i="1"/>
  <c r="BN23" i="1"/>
  <c r="BM23" i="1"/>
  <c r="BL23" i="1"/>
  <c r="BJ23" i="1"/>
  <c r="BI23" i="1"/>
  <c r="BH23" i="1"/>
  <c r="BG23" i="1"/>
  <c r="BG179" i="1" s="1"/>
  <c r="BE23" i="1"/>
  <c r="BD23" i="1"/>
  <c r="BZ21" i="1"/>
  <c r="BZ20" i="1"/>
  <c r="BZ19" i="1"/>
  <c r="BU21" i="1"/>
  <c r="BU20" i="1"/>
  <c r="AH389" i="12" s="1"/>
  <c r="BU19" i="1"/>
  <c r="BP21" i="1"/>
  <c r="BP20" i="1"/>
  <c r="AC389" i="12" s="1"/>
  <c r="BP19" i="1"/>
  <c r="BK21" i="1"/>
  <c r="X442" i="12" s="1"/>
  <c r="BK20" i="1"/>
  <c r="X389" i="12" s="1"/>
  <c r="BK19" i="1"/>
  <c r="X181" i="12" s="1"/>
  <c r="BF21" i="1"/>
  <c r="S442" i="12" s="1"/>
  <c r="BF20" i="1"/>
  <c r="S389" i="12" s="1"/>
  <c r="BF19" i="1"/>
  <c r="S181" i="12" s="1"/>
  <c r="BA21" i="1"/>
  <c r="N442" i="12" s="1"/>
  <c r="BA20" i="1"/>
  <c r="N389" i="12" s="1"/>
  <c r="BA19" i="1"/>
  <c r="N181" i="12" s="1"/>
  <c r="CA18" i="1"/>
  <c r="BY18" i="1"/>
  <c r="BX18" i="1"/>
  <c r="BW18" i="1"/>
  <c r="BV18" i="1"/>
  <c r="BT18" i="1"/>
  <c r="BS18" i="1"/>
  <c r="BR18" i="1"/>
  <c r="BQ18" i="1"/>
  <c r="BO18" i="1"/>
  <c r="BN18" i="1"/>
  <c r="BM18" i="1"/>
  <c r="BL18" i="1"/>
  <c r="BJ18" i="1"/>
  <c r="BI18" i="1"/>
  <c r="BH18" i="1"/>
  <c r="BG18" i="1"/>
  <c r="BE18" i="1"/>
  <c r="BD18" i="1"/>
  <c r="BC18" i="1"/>
  <c r="BB18" i="1"/>
  <c r="AZ18" i="1"/>
  <c r="AY18" i="1"/>
  <c r="BZ16" i="1"/>
  <c r="AM477" i="12" s="1"/>
  <c r="BZ15" i="1"/>
  <c r="AM473" i="12" s="1"/>
  <c r="BZ14" i="1"/>
  <c r="BU16" i="1"/>
  <c r="AH477" i="12" s="1"/>
  <c r="BU15" i="1"/>
  <c r="AH473" i="12" s="1"/>
  <c r="BU14" i="1"/>
  <c r="BP16" i="1"/>
  <c r="AC477" i="12" s="1"/>
  <c r="BP15" i="1"/>
  <c r="AC473" i="12" s="1"/>
  <c r="BP14" i="1"/>
  <c r="BK16" i="1"/>
  <c r="BK15" i="1"/>
  <c r="X473" i="12" s="1"/>
  <c r="BK14" i="1"/>
  <c r="BF16" i="1"/>
  <c r="BF15" i="1"/>
  <c r="S473" i="12" s="1"/>
  <c r="BF14" i="1"/>
  <c r="BA16" i="1"/>
  <c r="BA15" i="1"/>
  <c r="N473" i="12" s="1"/>
  <c r="BA14" i="1"/>
  <c r="AV16" i="1"/>
  <c r="AV15" i="1"/>
  <c r="M473" i="12" s="1"/>
  <c r="AV14" i="1"/>
  <c r="AQ16" i="1"/>
  <c r="AQ15" i="1"/>
  <c r="L473" i="12" s="1"/>
  <c r="AQ14" i="1"/>
  <c r="AL16" i="1"/>
  <c r="AL14" i="1"/>
  <c r="K469" i="12" s="1"/>
  <c r="AD16" i="1"/>
  <c r="AD15" i="1"/>
  <c r="AB16" i="1"/>
  <c r="I433" i="12" s="1"/>
  <c r="AB15" i="1"/>
  <c r="AB14" i="1"/>
  <c r="W16" i="1"/>
  <c r="W15" i="1"/>
  <c r="W14" i="1"/>
  <c r="AH15" i="1"/>
  <c r="AF15" i="1"/>
  <c r="AF13" i="1" s="1"/>
  <c r="AE15" i="1"/>
  <c r="AC15" i="1"/>
  <c r="R14" i="1"/>
  <c r="O15" i="1"/>
  <c r="K15" i="1"/>
  <c r="J15" i="1"/>
  <c r="F15" i="1"/>
  <c r="E15" i="1"/>
  <c r="AE14" i="1"/>
  <c r="AE13" i="1" s="1"/>
  <c r="I14" i="1"/>
  <c r="M14" i="1" s="1"/>
  <c r="G14" i="1"/>
  <c r="H14" i="1" s="1"/>
  <c r="CB13" i="1"/>
  <c r="CA13" i="1"/>
  <c r="BY13" i="1"/>
  <c r="BX13" i="1"/>
  <c r="BW13" i="1"/>
  <c r="BV13" i="1"/>
  <c r="BT13" i="1"/>
  <c r="BS13" i="1"/>
  <c r="BR13" i="1"/>
  <c r="BQ13" i="1"/>
  <c r="BO13" i="1"/>
  <c r="BN13" i="1"/>
  <c r="BM13" i="1"/>
  <c r="BL13" i="1"/>
  <c r="BJ13" i="1"/>
  <c r="BI13" i="1"/>
  <c r="BH13" i="1"/>
  <c r="BG13" i="1"/>
  <c r="BE13" i="1"/>
  <c r="BD13" i="1"/>
  <c r="BC13" i="1"/>
  <c r="BB13" i="1"/>
  <c r="AZ13" i="1"/>
  <c r="AZ177" i="1" s="1"/>
  <c r="AY13" i="1"/>
  <c r="AY177" i="1" s="1"/>
  <c r="AX13" i="1"/>
  <c r="AX177" i="1" s="1"/>
  <c r="AW13" i="1"/>
  <c r="AW177" i="1" s="1"/>
  <c r="AU13" i="1"/>
  <c r="AT13" i="1"/>
  <c r="AS13" i="1"/>
  <c r="AR13" i="1"/>
  <c r="AP13" i="1"/>
  <c r="AO13" i="1"/>
  <c r="AN13" i="1"/>
  <c r="AM13" i="1"/>
  <c r="AK13" i="1"/>
  <c r="AJ13" i="1"/>
  <c r="AI13" i="1"/>
  <c r="AC13" i="1"/>
  <c r="AA13" i="1"/>
  <c r="Z13" i="1"/>
  <c r="Y13" i="1"/>
  <c r="X13" i="1"/>
  <c r="V13" i="1"/>
  <c r="U13" i="1"/>
  <c r="T13" i="1"/>
  <c r="S13" i="1"/>
  <c r="Q13" i="1"/>
  <c r="P13" i="1"/>
  <c r="N13" i="1"/>
  <c r="L13" i="1"/>
  <c r="G13" i="1"/>
  <c r="BZ11" i="1"/>
  <c r="AM436" i="12" s="1"/>
  <c r="BZ10" i="1"/>
  <c r="BZ9" i="1"/>
  <c r="BU11" i="1"/>
  <c r="AH436" i="12" s="1"/>
  <c r="BU10" i="1"/>
  <c r="AH373" i="12" s="1"/>
  <c r="BU9" i="1"/>
  <c r="BP11" i="1"/>
  <c r="AC436" i="12" s="1"/>
  <c r="BP10" i="1"/>
  <c r="AC373" i="12" s="1"/>
  <c r="BP9" i="1"/>
  <c r="BK11" i="1"/>
  <c r="X436" i="12" s="1"/>
  <c r="BK10" i="1"/>
  <c r="X373" i="12" s="1"/>
  <c r="BK9" i="1"/>
  <c r="BF11" i="1"/>
  <c r="S436" i="12" s="1"/>
  <c r="BF10" i="1"/>
  <c r="S373" i="12" s="1"/>
  <c r="BF9" i="1"/>
  <c r="BA11" i="1"/>
  <c r="N436" i="12" s="1"/>
  <c r="BA10" i="1"/>
  <c r="N373" i="12" s="1"/>
  <c r="BA9" i="1"/>
  <c r="AV11" i="1"/>
  <c r="M436" i="12" s="1"/>
  <c r="AV10" i="1"/>
  <c r="M373" i="12" s="1"/>
  <c r="AV9" i="1"/>
  <c r="AQ11" i="1"/>
  <c r="L436" i="12" s="1"/>
  <c r="AQ10" i="1"/>
  <c r="L373" i="12" s="1"/>
  <c r="AQ9" i="1"/>
  <c r="AL11" i="1"/>
  <c r="K436" i="12" s="1"/>
  <c r="AL10" i="1"/>
  <c r="K373" i="12" s="1"/>
  <c r="AL9" i="1"/>
  <c r="AG11" i="1"/>
  <c r="J436" i="12" s="1"/>
  <c r="AG9" i="1"/>
  <c r="AB11" i="1"/>
  <c r="I436" i="12" s="1"/>
  <c r="AB10" i="1"/>
  <c r="I373" i="12" s="1"/>
  <c r="AB9" i="1"/>
  <c r="AC10" i="1"/>
  <c r="W10" i="1"/>
  <c r="H373" i="12" s="1"/>
  <c r="W9" i="1"/>
  <c r="R10" i="1"/>
  <c r="R9" i="1"/>
  <c r="CA8" i="1"/>
  <c r="BY8" i="1"/>
  <c r="BX8" i="1"/>
  <c r="BW8" i="1"/>
  <c r="BV8" i="1"/>
  <c r="BT8" i="1"/>
  <c r="BS8" i="1"/>
  <c r="BR8" i="1"/>
  <c r="BQ8" i="1"/>
  <c r="BO8" i="1"/>
  <c r="BN8" i="1"/>
  <c r="BM8" i="1"/>
  <c r="BL8" i="1"/>
  <c r="BJ8" i="1"/>
  <c r="BI8" i="1"/>
  <c r="BH8" i="1"/>
  <c r="BG8" i="1"/>
  <c r="BG176" i="1" s="1"/>
  <c r="BE8" i="1"/>
  <c r="BD8" i="1"/>
  <c r="BC8" i="1"/>
  <c r="BB8" i="1"/>
  <c r="AZ8" i="1"/>
  <c r="AZ176" i="1" s="1"/>
  <c r="AY8" i="1"/>
  <c r="AY176" i="1" s="1"/>
  <c r="AX8" i="1"/>
  <c r="AX176" i="1" s="1"/>
  <c r="AW8" i="1"/>
  <c r="AW176" i="1" s="1"/>
  <c r="AU8" i="1"/>
  <c r="AT8" i="1"/>
  <c r="AS8" i="1"/>
  <c r="AR8" i="1"/>
  <c r="AP8" i="1"/>
  <c r="AO8" i="1"/>
  <c r="AN8" i="1"/>
  <c r="AM8" i="1"/>
  <c r="AK8" i="1"/>
  <c r="AJ8" i="1"/>
  <c r="AI8" i="1"/>
  <c r="AH8" i="1"/>
  <c r="AF8" i="1"/>
  <c r="AE8" i="1"/>
  <c r="AD8" i="1"/>
  <c r="AA8" i="1"/>
  <c r="Z8" i="1"/>
  <c r="Y8" i="1"/>
  <c r="X8" i="1"/>
  <c r="V8" i="1"/>
  <c r="U8" i="1"/>
  <c r="T8" i="1"/>
  <c r="S8" i="1"/>
  <c r="Q8" i="1"/>
  <c r="P8" i="1"/>
  <c r="BZ6" i="1"/>
  <c r="AM439" i="12" s="1"/>
  <c r="BZ5" i="1"/>
  <c r="BZ4" i="1"/>
  <c r="AM171" i="12" s="1"/>
  <c r="BU6" i="1"/>
  <c r="AH439" i="12" s="1"/>
  <c r="BU5" i="1"/>
  <c r="AH381" i="12" s="1"/>
  <c r="BU4" i="1"/>
  <c r="BP6" i="1"/>
  <c r="AC439" i="12" s="1"/>
  <c r="BP5" i="1"/>
  <c r="AC381" i="12" s="1"/>
  <c r="BP4" i="1"/>
  <c r="BK6" i="1"/>
  <c r="X439" i="12" s="1"/>
  <c r="BK5" i="1"/>
  <c r="X381" i="12" s="1"/>
  <c r="BK4" i="1"/>
  <c r="BF6" i="1"/>
  <c r="S439" i="12" s="1"/>
  <c r="BF5" i="1"/>
  <c r="S381" i="12" s="1"/>
  <c r="BF4" i="1"/>
  <c r="BA6" i="1"/>
  <c r="N439" i="12" s="1"/>
  <c r="BA5" i="1"/>
  <c r="N381" i="12" s="1"/>
  <c r="BA4" i="1"/>
  <c r="AV6" i="1"/>
  <c r="M439" i="12" s="1"/>
  <c r="AV5" i="1"/>
  <c r="M381" i="12" s="1"/>
  <c r="AV4" i="1"/>
  <c r="AQ6" i="1"/>
  <c r="L439" i="12" s="1"/>
  <c r="AQ5" i="1"/>
  <c r="L381" i="12" s="1"/>
  <c r="AQ4" i="1"/>
  <c r="AL6" i="1"/>
  <c r="K439" i="12" s="1"/>
  <c r="AL4" i="1"/>
  <c r="K171" i="12" s="1"/>
  <c r="AF6" i="1"/>
  <c r="AG6" i="1" s="1"/>
  <c r="J439" i="12" s="1"/>
  <c r="AH5" i="1"/>
  <c r="AL5" i="1" s="1"/>
  <c r="K381" i="12" s="1"/>
  <c r="AG4" i="1"/>
  <c r="AB4" i="1"/>
  <c r="CC3" i="1"/>
  <c r="CB3" i="1"/>
  <c r="CA3" i="1"/>
  <c r="BY3" i="1"/>
  <c r="BX3" i="1"/>
  <c r="BW3" i="1"/>
  <c r="BV3" i="1"/>
  <c r="BT3" i="1"/>
  <c r="BS3" i="1"/>
  <c r="BR3" i="1"/>
  <c r="BQ3" i="1"/>
  <c r="BO3" i="1"/>
  <c r="BN3" i="1"/>
  <c r="BM3" i="1"/>
  <c r="BL3" i="1"/>
  <c r="BJ3" i="1"/>
  <c r="BI3" i="1"/>
  <c r="BH3" i="1"/>
  <c r="BG3" i="1"/>
  <c r="BE3" i="1"/>
  <c r="BD3" i="1"/>
  <c r="BC3" i="1"/>
  <c r="BB3" i="1"/>
  <c r="AZ3" i="1"/>
  <c r="AY3" i="1"/>
  <c r="AX3" i="1"/>
  <c r="AW3" i="1"/>
  <c r="AU3" i="1"/>
  <c r="AT3" i="1"/>
  <c r="AS3" i="1"/>
  <c r="AR3" i="1"/>
  <c r="AP3" i="1"/>
  <c r="AO3" i="1"/>
  <c r="AN3" i="1"/>
  <c r="AM3" i="1"/>
  <c r="AK3" i="1"/>
  <c r="AJ3" i="1"/>
  <c r="AI3" i="1"/>
  <c r="AE3" i="1"/>
  <c r="AD3" i="1"/>
  <c r="AC3" i="1"/>
  <c r="AA3" i="1"/>
  <c r="Z3" i="1"/>
  <c r="R211" i="11"/>
  <c r="Q211" i="11"/>
  <c r="P211" i="11"/>
  <c r="O211" i="11"/>
  <c r="N211" i="11"/>
  <c r="M211" i="11"/>
  <c r="L211" i="11"/>
  <c r="K211" i="11"/>
  <c r="J211" i="11"/>
  <c r="I211" i="11"/>
  <c r="H211" i="11"/>
  <c r="G211" i="11"/>
  <c r="F211" i="11"/>
  <c r="E211" i="11"/>
  <c r="D211" i="11"/>
  <c r="C211" i="11"/>
  <c r="O210" i="11"/>
  <c r="P210" i="11" s="1"/>
  <c r="Q210" i="11" s="1"/>
  <c r="R210" i="11" s="1"/>
  <c r="S210" i="11" s="1"/>
  <c r="T210" i="11" s="1"/>
  <c r="U210" i="11" s="1"/>
  <c r="V210" i="11" s="1"/>
  <c r="W210" i="11" s="1"/>
  <c r="X210" i="11" s="1"/>
  <c r="Y210" i="11" s="1"/>
  <c r="Z210" i="11" s="1"/>
  <c r="AA210" i="11" s="1"/>
  <c r="AB210" i="11" s="1"/>
  <c r="AC210" i="11" s="1"/>
  <c r="AD210" i="11" s="1"/>
  <c r="AE210" i="11" s="1"/>
  <c r="AF210" i="11" s="1"/>
  <c r="N210" i="11"/>
  <c r="M210" i="11"/>
  <c r="L210" i="11"/>
  <c r="K210" i="11"/>
  <c r="J210" i="11"/>
  <c r="I210" i="11"/>
  <c r="H210" i="11"/>
  <c r="G210" i="11"/>
  <c r="F210" i="11"/>
  <c r="E210" i="11"/>
  <c r="D210" i="11"/>
  <c r="C210" i="11"/>
  <c r="AF204" i="11"/>
  <c r="AE204" i="11"/>
  <c r="AD204" i="11"/>
  <c r="AC204" i="11"/>
  <c r="AB204" i="11"/>
  <c r="AA204" i="11"/>
  <c r="Z204" i="11"/>
  <c r="Y204" i="11"/>
  <c r="X204" i="11"/>
  <c r="W204" i="11"/>
  <c r="V204" i="11"/>
  <c r="U204" i="11"/>
  <c r="T204" i="11"/>
  <c r="S204" i="11"/>
  <c r="R204" i="11"/>
  <c r="K204" i="11"/>
  <c r="J204" i="11"/>
  <c r="I204" i="11"/>
  <c r="H204" i="11"/>
  <c r="Q201" i="11"/>
  <c r="P201" i="11"/>
  <c r="O201" i="11"/>
  <c r="N201" i="11"/>
  <c r="M201" i="11"/>
  <c r="L201" i="11"/>
  <c r="Q197" i="11"/>
  <c r="P197" i="11"/>
  <c r="O197" i="11"/>
  <c r="N197" i="11"/>
  <c r="M197" i="11"/>
  <c r="L197" i="11"/>
  <c r="Q195" i="11"/>
  <c r="Q196" i="11" s="1"/>
  <c r="Q200" i="11" s="1"/>
  <c r="P195" i="11"/>
  <c r="P196" i="11" s="1"/>
  <c r="P200" i="11" s="1"/>
  <c r="O195" i="11"/>
  <c r="N195" i="11"/>
  <c r="M195" i="11"/>
  <c r="M196" i="11" s="1"/>
  <c r="M200" i="11" s="1"/>
  <c r="L195" i="11"/>
  <c r="L196" i="11" s="1"/>
  <c r="L200" i="11" s="1"/>
  <c r="K195" i="11"/>
  <c r="J195" i="11"/>
  <c r="I195" i="11"/>
  <c r="H195" i="11"/>
  <c r="AF191" i="11"/>
  <c r="AE191" i="11"/>
  <c r="AD191" i="11"/>
  <c r="AC191" i="11"/>
  <c r="AB191" i="11"/>
  <c r="AA191" i="11"/>
  <c r="Z191" i="11"/>
  <c r="Y191" i="11"/>
  <c r="X191" i="11"/>
  <c r="W191" i="11"/>
  <c r="V191" i="11"/>
  <c r="U191" i="11"/>
  <c r="T191" i="11"/>
  <c r="S191" i="11"/>
  <c r="R191" i="11"/>
  <c r="Q191" i="11"/>
  <c r="K191" i="11"/>
  <c r="J191" i="11"/>
  <c r="I191" i="11"/>
  <c r="H191" i="11"/>
  <c r="O188" i="11"/>
  <c r="N188" i="11"/>
  <c r="M188" i="11"/>
  <c r="L188" i="11"/>
  <c r="O184" i="11"/>
  <c r="N184" i="11"/>
  <c r="M184" i="11"/>
  <c r="L184" i="11"/>
  <c r="R182" i="11"/>
  <c r="Q182" i="11"/>
  <c r="P182" i="11"/>
  <c r="O182" i="11"/>
  <c r="O183" i="11" s="1"/>
  <c r="O187" i="11" s="1"/>
  <c r="N182" i="11"/>
  <c r="N183" i="11" s="1"/>
  <c r="N187" i="11" s="1"/>
  <c r="M182" i="11"/>
  <c r="M183" i="11" s="1"/>
  <c r="M187" i="11" s="1"/>
  <c r="L182" i="11"/>
  <c r="L183" i="11" s="1"/>
  <c r="L187" i="11" s="1"/>
  <c r="K182" i="11"/>
  <c r="J182" i="11"/>
  <c r="I182" i="11"/>
  <c r="H182" i="11"/>
  <c r="AF178" i="11"/>
  <c r="AE178" i="11"/>
  <c r="AD178" i="11"/>
  <c r="AC178" i="11"/>
  <c r="AB178" i="11"/>
  <c r="AA178" i="11"/>
  <c r="Z178" i="11"/>
  <c r="Y178" i="11"/>
  <c r="X178" i="11"/>
  <c r="W178" i="11"/>
  <c r="V178" i="11"/>
  <c r="U178" i="11"/>
  <c r="T178" i="11"/>
  <c r="S178" i="11"/>
  <c r="R178" i="11"/>
  <c r="Q178" i="11"/>
  <c r="P178" i="11"/>
  <c r="O178" i="11"/>
  <c r="N175" i="11"/>
  <c r="M175" i="11"/>
  <c r="L175" i="11"/>
  <c r="K175" i="11"/>
  <c r="J175" i="11"/>
  <c r="I175" i="11"/>
  <c r="H175" i="11"/>
  <c r="N171" i="11"/>
  <c r="M171" i="11"/>
  <c r="L171" i="11"/>
  <c r="K171" i="11"/>
  <c r="J171" i="11"/>
  <c r="I171" i="11"/>
  <c r="H171" i="11"/>
  <c r="Q169" i="11"/>
  <c r="P169" i="11"/>
  <c r="O169" i="11"/>
  <c r="N169" i="11"/>
  <c r="N170" i="11" s="1"/>
  <c r="N174" i="11" s="1"/>
  <c r="M169" i="11"/>
  <c r="L169" i="11"/>
  <c r="K169" i="11"/>
  <c r="K170" i="11" s="1"/>
  <c r="K174" i="11" s="1"/>
  <c r="J169" i="11"/>
  <c r="J170" i="11" s="1"/>
  <c r="J174" i="11" s="1"/>
  <c r="I169" i="11"/>
  <c r="AF165" i="11"/>
  <c r="AE165" i="11"/>
  <c r="AD165" i="11"/>
  <c r="AC165" i="11"/>
  <c r="AB165" i="11"/>
  <c r="AA165" i="11"/>
  <c r="Z165" i="11"/>
  <c r="Y165" i="11"/>
  <c r="X165" i="11"/>
  <c r="W165" i="11"/>
  <c r="V165" i="11"/>
  <c r="U165" i="11"/>
  <c r="T165" i="11"/>
  <c r="S165" i="11"/>
  <c r="R165" i="11"/>
  <c r="Q165" i="11"/>
  <c r="P165" i="11"/>
  <c r="O165" i="11"/>
  <c r="N165" i="11"/>
  <c r="M165" i="11"/>
  <c r="L162" i="11"/>
  <c r="K162" i="11"/>
  <c r="J162" i="11"/>
  <c r="I162" i="11"/>
  <c r="H162" i="11"/>
  <c r="L158" i="11"/>
  <c r="K158" i="11"/>
  <c r="J158" i="11"/>
  <c r="I158" i="11"/>
  <c r="H158" i="11"/>
  <c r="S156" i="11"/>
  <c r="R156" i="11"/>
  <c r="Q156" i="11"/>
  <c r="P156" i="11"/>
  <c r="O156" i="11"/>
  <c r="N156" i="11"/>
  <c r="M156" i="11"/>
  <c r="L156" i="11"/>
  <c r="L157" i="11" s="1"/>
  <c r="L161" i="11" s="1"/>
  <c r="K156" i="11"/>
  <c r="K157" i="11" s="1"/>
  <c r="K161" i="11" s="1"/>
  <c r="J156" i="11"/>
  <c r="J157" i="11" s="1"/>
  <c r="J161" i="11" s="1"/>
  <c r="I156" i="11"/>
  <c r="I157" i="11" s="1"/>
  <c r="I161" i="11" s="1"/>
  <c r="Q152" i="11"/>
  <c r="P152" i="11"/>
  <c r="O152" i="11"/>
  <c r="N152" i="11"/>
  <c r="M152" i="11"/>
  <c r="L152" i="11"/>
  <c r="K152" i="11"/>
  <c r="J152" i="11"/>
  <c r="I152" i="11"/>
  <c r="AF149" i="11"/>
  <c r="AE149" i="11"/>
  <c r="AD149" i="11"/>
  <c r="AC149" i="11"/>
  <c r="AB149" i="11"/>
  <c r="AA149" i="11"/>
  <c r="Z149" i="11"/>
  <c r="Y149" i="11"/>
  <c r="X149" i="11"/>
  <c r="W149" i="11"/>
  <c r="V149" i="11"/>
  <c r="U149" i="11"/>
  <c r="T149" i="11"/>
  <c r="S149" i="11"/>
  <c r="M147" i="11"/>
  <c r="N147" i="11" s="1"/>
  <c r="L146" i="11"/>
  <c r="M144" i="11"/>
  <c r="N144" i="11" s="1"/>
  <c r="L143" i="11"/>
  <c r="M141" i="11"/>
  <c r="N141" i="11" s="1"/>
  <c r="O141" i="11" s="1"/>
  <c r="O140" i="11" s="1"/>
  <c r="L140" i="11"/>
  <c r="K140" i="11"/>
  <c r="J140" i="11"/>
  <c r="I140" i="11"/>
  <c r="M138" i="11"/>
  <c r="N138" i="11" s="1"/>
  <c r="N137" i="11" s="1"/>
  <c r="M137" i="11"/>
  <c r="L137" i="11"/>
  <c r="K137" i="11"/>
  <c r="J137" i="11"/>
  <c r="I137" i="11"/>
  <c r="M135" i="11"/>
  <c r="N135" i="11" s="1"/>
  <c r="L134" i="11"/>
  <c r="M132" i="11"/>
  <c r="N132" i="11" s="1"/>
  <c r="O132" i="11" s="1"/>
  <c r="L131" i="11"/>
  <c r="M129" i="11"/>
  <c r="N129" i="11" s="1"/>
  <c r="O129" i="11" s="1"/>
  <c r="O128" i="11" s="1"/>
  <c r="L128" i="11"/>
  <c r="K128" i="11"/>
  <c r="J128" i="11"/>
  <c r="I128" i="11"/>
  <c r="M126" i="11"/>
  <c r="N126" i="11" s="1"/>
  <c r="N125" i="11" s="1"/>
  <c r="L125" i="11"/>
  <c r="K125" i="11"/>
  <c r="J125" i="11"/>
  <c r="J149" i="11" s="1"/>
  <c r="I125" i="11"/>
  <c r="R121" i="11"/>
  <c r="Q121" i="11"/>
  <c r="P121" i="11"/>
  <c r="O121" i="11"/>
  <c r="N121" i="11"/>
  <c r="M121" i="11"/>
  <c r="K121" i="11"/>
  <c r="J121" i="11"/>
  <c r="H121" i="11"/>
  <c r="G121" i="11"/>
  <c r="F121" i="11"/>
  <c r="E121" i="11"/>
  <c r="D121" i="11"/>
  <c r="C121" i="11"/>
  <c r="R119" i="11"/>
  <c r="Q119" i="11"/>
  <c r="P119" i="11"/>
  <c r="O119" i="11"/>
  <c r="S116" i="11"/>
  <c r="R116" i="11"/>
  <c r="Q116" i="11"/>
  <c r="P116" i="11"/>
  <c r="O116" i="11"/>
  <c r="N116" i="11"/>
  <c r="L116" i="11"/>
  <c r="K116" i="11"/>
  <c r="I116" i="11"/>
  <c r="H116" i="11"/>
  <c r="G116" i="11"/>
  <c r="F116" i="11"/>
  <c r="E116" i="11"/>
  <c r="D116" i="11"/>
  <c r="G109" i="11"/>
  <c r="F109" i="11"/>
  <c r="E109" i="11"/>
  <c r="D109" i="11"/>
  <c r="C109" i="11"/>
  <c r="X101" i="11"/>
  <c r="Y101" i="11" s="1"/>
  <c r="Z101" i="11" s="1"/>
  <c r="R100" i="11"/>
  <c r="R101" i="11" s="1"/>
  <c r="Q100" i="11"/>
  <c r="P100" i="11"/>
  <c r="R99" i="11"/>
  <c r="Q99" i="11"/>
  <c r="P99" i="11"/>
  <c r="R95" i="11"/>
  <c r="R112" i="11" s="1"/>
  <c r="Q95" i="11"/>
  <c r="Q112" i="11" s="1"/>
  <c r="P95" i="11"/>
  <c r="P112" i="11" s="1"/>
  <c r="N95" i="11"/>
  <c r="N112" i="11" s="1"/>
  <c r="M95" i="11"/>
  <c r="M112" i="11" s="1"/>
  <c r="L95" i="11"/>
  <c r="L112" i="11" s="1"/>
  <c r="K95" i="11"/>
  <c r="K112" i="11" s="1"/>
  <c r="J95" i="11"/>
  <c r="J112" i="11" s="1"/>
  <c r="I95" i="11"/>
  <c r="I112" i="11" s="1"/>
  <c r="H95" i="11"/>
  <c r="H112" i="11" s="1"/>
  <c r="G95" i="11"/>
  <c r="G112" i="11" s="1"/>
  <c r="F95" i="11"/>
  <c r="F112" i="11" s="1"/>
  <c r="E95" i="11"/>
  <c r="E112" i="11" s="1"/>
  <c r="D95" i="11"/>
  <c r="D112" i="11" s="1"/>
  <c r="C95" i="11"/>
  <c r="C112" i="11" s="1"/>
  <c r="R94" i="11"/>
  <c r="Q94" i="11"/>
  <c r="P94" i="11"/>
  <c r="N94" i="11"/>
  <c r="M94" i="11"/>
  <c r="G93" i="11"/>
  <c r="H92" i="11" s="1"/>
  <c r="F93" i="11"/>
  <c r="G92" i="11" s="1"/>
  <c r="E93" i="11"/>
  <c r="F92" i="11" s="1"/>
  <c r="D93" i="11"/>
  <c r="C93" i="11"/>
  <c r="D92" i="11" s="1"/>
  <c r="R92" i="11"/>
  <c r="Q92" i="11"/>
  <c r="P92" i="11"/>
  <c r="O92" i="11"/>
  <c r="N92" i="11"/>
  <c r="M92" i="11"/>
  <c r="L92" i="11"/>
  <c r="K92" i="11"/>
  <c r="J92" i="11"/>
  <c r="I92" i="11"/>
  <c r="E92" i="11"/>
  <c r="C92" i="11"/>
  <c r="D91" i="11"/>
  <c r="C91" i="11"/>
  <c r="S92" i="11"/>
  <c r="M90" i="11"/>
  <c r="H90" i="11"/>
  <c r="G90" i="11"/>
  <c r="F90" i="11"/>
  <c r="L89" i="11"/>
  <c r="L88" i="11"/>
  <c r="H89" i="11"/>
  <c r="H88" i="11"/>
  <c r="F89" i="11"/>
  <c r="E89" i="11"/>
  <c r="E91" i="11" s="1"/>
  <c r="M88" i="11"/>
  <c r="M87" i="11"/>
  <c r="M86" i="11"/>
  <c r="K88" i="11"/>
  <c r="J88" i="11"/>
  <c r="I88" i="11"/>
  <c r="AA87" i="11"/>
  <c r="AB87" i="11" s="1"/>
  <c r="Q86" i="11"/>
  <c r="P86" i="11"/>
  <c r="O86" i="11"/>
  <c r="N86" i="11"/>
  <c r="Q84" i="11"/>
  <c r="O84" i="11"/>
  <c r="I84" i="11"/>
  <c r="H84" i="11"/>
  <c r="R83" i="11"/>
  <c r="Q83" i="11"/>
  <c r="P83" i="11"/>
  <c r="O83" i="11"/>
  <c r="M83" i="11"/>
  <c r="L83" i="11"/>
  <c r="K83" i="11"/>
  <c r="J83" i="11"/>
  <c r="I83" i="11"/>
  <c r="H83" i="11"/>
  <c r="N82" i="11"/>
  <c r="N83" i="11" s="1"/>
  <c r="N81" i="11"/>
  <c r="G82" i="11"/>
  <c r="F82" i="11"/>
  <c r="E82" i="11"/>
  <c r="E83" i="11" s="1"/>
  <c r="D82" i="11"/>
  <c r="C82" i="11"/>
  <c r="O81" i="11"/>
  <c r="O80" i="11"/>
  <c r="M81" i="11"/>
  <c r="M91" i="11" s="1"/>
  <c r="L81" i="11"/>
  <c r="K81" i="11"/>
  <c r="J81" i="11"/>
  <c r="I81" i="11"/>
  <c r="K80" i="11"/>
  <c r="J80" i="11"/>
  <c r="I80" i="11"/>
  <c r="H80" i="11"/>
  <c r="G80" i="11"/>
  <c r="R80" i="11"/>
  <c r="Q80" i="11"/>
  <c r="P80" i="11"/>
  <c r="T78" i="11"/>
  <c r="U78" i="11" s="1"/>
  <c r="V78" i="11" s="1"/>
  <c r="W78" i="11" s="1"/>
  <c r="X78" i="11" s="1"/>
  <c r="Y78" i="11" s="1"/>
  <c r="Z78" i="11" s="1"/>
  <c r="AA78" i="11" s="1"/>
  <c r="AB78" i="11" s="1"/>
  <c r="AC78" i="11" s="1"/>
  <c r="AD78" i="11" s="1"/>
  <c r="AE78" i="11" s="1"/>
  <c r="AF78" i="11" s="1"/>
  <c r="H78" i="11"/>
  <c r="G78" i="11"/>
  <c r="F78" i="11"/>
  <c r="E78" i="11"/>
  <c r="D78" i="11"/>
  <c r="C78" i="11"/>
  <c r="R77" i="11"/>
  <c r="Q77" i="11"/>
  <c r="P77" i="11"/>
  <c r="O77" i="11"/>
  <c r="L77" i="11"/>
  <c r="K77" i="11"/>
  <c r="J77" i="11"/>
  <c r="I77" i="11"/>
  <c r="H77" i="11"/>
  <c r="N76" i="11"/>
  <c r="N77" i="11" s="1"/>
  <c r="M76" i="11"/>
  <c r="M77" i="11" s="1"/>
  <c r="G76" i="11"/>
  <c r="G77" i="11" s="1"/>
  <c r="F76" i="11"/>
  <c r="E76" i="11"/>
  <c r="D76" i="11"/>
  <c r="C76" i="11"/>
  <c r="C77" i="11" s="1"/>
  <c r="Q75" i="11"/>
  <c r="O75" i="11"/>
  <c r="I75" i="11"/>
  <c r="H75" i="11"/>
  <c r="R74" i="11"/>
  <c r="R84" i="11" s="1"/>
  <c r="P74" i="11"/>
  <c r="P84" i="11" s="1"/>
  <c r="N74" i="11"/>
  <c r="N84" i="11" s="1"/>
  <c r="M74" i="11"/>
  <c r="L74" i="11"/>
  <c r="L75" i="11" s="1"/>
  <c r="K74" i="11"/>
  <c r="K84" i="11" s="1"/>
  <c r="J74" i="11"/>
  <c r="J84" i="11" s="1"/>
  <c r="G74" i="11"/>
  <c r="G75" i="11" s="1"/>
  <c r="F74" i="11"/>
  <c r="E74" i="11"/>
  <c r="D74" i="11"/>
  <c r="D75" i="11" s="1"/>
  <c r="C74" i="11"/>
  <c r="C75" i="11" s="1"/>
  <c r="H73" i="11"/>
  <c r="G73" i="11"/>
  <c r="F73" i="11"/>
  <c r="E73" i="11"/>
  <c r="D73" i="11"/>
  <c r="C73" i="11"/>
  <c r="Q72" i="11"/>
  <c r="P72" i="11"/>
  <c r="O72" i="11"/>
  <c r="N72" i="11"/>
  <c r="M72" i="11"/>
  <c r="L72" i="11"/>
  <c r="K72" i="11"/>
  <c r="J72" i="11"/>
  <c r="I72" i="11"/>
  <c r="H72" i="11"/>
  <c r="G71" i="11"/>
  <c r="F71" i="11"/>
  <c r="E71" i="11"/>
  <c r="D71" i="11"/>
  <c r="C71" i="11"/>
  <c r="G70" i="11"/>
  <c r="F70" i="11"/>
  <c r="F84" i="11" s="1"/>
  <c r="E70" i="11"/>
  <c r="D70" i="11"/>
  <c r="C70" i="11"/>
  <c r="T73" i="11"/>
  <c r="U73" i="11" s="1"/>
  <c r="V73" i="11" s="1"/>
  <c r="W73" i="11" s="1"/>
  <c r="X73" i="11" s="1"/>
  <c r="Y73" i="11" s="1"/>
  <c r="Z73" i="11" s="1"/>
  <c r="AA73" i="11" s="1"/>
  <c r="AB73" i="11" s="1"/>
  <c r="AC73" i="11" s="1"/>
  <c r="AD73" i="11" s="1"/>
  <c r="AE73" i="11" s="1"/>
  <c r="AF73" i="11" s="1"/>
  <c r="R69" i="11"/>
  <c r="H69" i="11"/>
  <c r="G69" i="11"/>
  <c r="F69" i="11"/>
  <c r="E69" i="11"/>
  <c r="D69" i="11"/>
  <c r="C69" i="11"/>
  <c r="T62" i="11"/>
  <c r="U62" i="11" s="1"/>
  <c r="V62" i="11" s="1"/>
  <c r="W62" i="11" s="1"/>
  <c r="X62" i="11" s="1"/>
  <c r="Y62" i="11" s="1"/>
  <c r="Z62" i="11" s="1"/>
  <c r="AA62" i="11" s="1"/>
  <c r="AB62" i="11" s="1"/>
  <c r="AC62" i="11" s="1"/>
  <c r="AD62" i="11" s="1"/>
  <c r="AE62" i="11" s="1"/>
  <c r="AF62" i="11" s="1"/>
  <c r="R61" i="11"/>
  <c r="R63" i="11" s="1"/>
  <c r="Q61" i="11"/>
  <c r="Q63" i="11" s="1"/>
  <c r="P61" i="11"/>
  <c r="P63" i="11" s="1"/>
  <c r="N61" i="11"/>
  <c r="N63" i="11" s="1"/>
  <c r="M61" i="11"/>
  <c r="M63" i="11" s="1"/>
  <c r="L61" i="11"/>
  <c r="L63" i="11" s="1"/>
  <c r="K61" i="11"/>
  <c r="K63" i="11" s="1"/>
  <c r="J61" i="11"/>
  <c r="J63" i="11" s="1"/>
  <c r="M59" i="11"/>
  <c r="L59" i="11"/>
  <c r="K59" i="11"/>
  <c r="J59" i="11"/>
  <c r="R58" i="11"/>
  <c r="Q58" i="11"/>
  <c r="P58" i="11"/>
  <c r="O58" i="11"/>
  <c r="N58" i="11"/>
  <c r="M58" i="11"/>
  <c r="L58" i="11"/>
  <c r="K58" i="11"/>
  <c r="J58" i="11"/>
  <c r="I59" i="11"/>
  <c r="H59" i="11"/>
  <c r="G59" i="11"/>
  <c r="F59" i="11"/>
  <c r="E59" i="11"/>
  <c r="D59" i="11"/>
  <c r="C59" i="11"/>
  <c r="I58" i="11"/>
  <c r="H58" i="11"/>
  <c r="G58" i="11"/>
  <c r="D58" i="11"/>
  <c r="C58" i="11"/>
  <c r="R51" i="11"/>
  <c r="Q51" i="11"/>
  <c r="P51" i="11"/>
  <c r="O51" i="11"/>
  <c r="N51" i="11"/>
  <c r="M51" i="11"/>
  <c r="K51" i="11"/>
  <c r="J51" i="11"/>
  <c r="I51" i="11"/>
  <c r="H51" i="11"/>
  <c r="G51" i="11"/>
  <c r="F51" i="11"/>
  <c r="E51" i="11"/>
  <c r="D51" i="11"/>
  <c r="C51" i="11"/>
  <c r="AF44" i="11"/>
  <c r="AE44" i="11"/>
  <c r="AD44" i="11"/>
  <c r="AC44" i="11"/>
  <c r="AB44" i="11"/>
  <c r="AA44" i="11"/>
  <c r="Z44" i="11"/>
  <c r="Y44" i="11"/>
  <c r="X44" i="11"/>
  <c r="W44" i="11"/>
  <c r="V44" i="11"/>
  <c r="U44" i="11"/>
  <c r="T44" i="11"/>
  <c r="R44" i="11"/>
  <c r="R40" i="11"/>
  <c r="Q40" i="11"/>
  <c r="Q45" i="11" s="1"/>
  <c r="P40" i="11"/>
  <c r="O40" i="11"/>
  <c r="O45" i="11" s="1"/>
  <c r="L40" i="11"/>
  <c r="L45" i="11" s="1"/>
  <c r="J40" i="11"/>
  <c r="J45" i="11" s="1"/>
  <c r="I40" i="11"/>
  <c r="I45" i="11" s="1"/>
  <c r="H40" i="11"/>
  <c r="H45" i="11" s="1"/>
  <c r="G40" i="11"/>
  <c r="G45" i="11" s="1"/>
  <c r="F40" i="11"/>
  <c r="F45" i="11" s="1"/>
  <c r="E40" i="11"/>
  <c r="E45" i="11" s="1"/>
  <c r="D40" i="11"/>
  <c r="D45" i="11" s="1"/>
  <c r="C40" i="11"/>
  <c r="C45" i="11" s="1"/>
  <c r="N39" i="11"/>
  <c r="N40" i="11" s="1"/>
  <c r="N45" i="11" s="1"/>
  <c r="M39" i="11"/>
  <c r="M40" i="11" s="1"/>
  <c r="M45" i="11" s="1"/>
  <c r="K39" i="11"/>
  <c r="K40" i="11" s="1"/>
  <c r="K45" i="11" s="1"/>
  <c r="AF38" i="11"/>
  <c r="AE38" i="11"/>
  <c r="AD38" i="11"/>
  <c r="AC38" i="11"/>
  <c r="AB38" i="11"/>
  <c r="AA38" i="11"/>
  <c r="Z38" i="11"/>
  <c r="Y38" i="11"/>
  <c r="X38" i="11"/>
  <c r="W38" i="11"/>
  <c r="V38" i="11"/>
  <c r="U38" i="11"/>
  <c r="T38" i="11"/>
  <c r="AF37" i="11"/>
  <c r="AE37" i="11"/>
  <c r="AD37" i="11"/>
  <c r="AC37" i="11"/>
  <c r="AB37" i="11"/>
  <c r="AA37" i="11"/>
  <c r="Z37" i="11"/>
  <c r="Y37" i="11"/>
  <c r="X37" i="11"/>
  <c r="W37" i="11"/>
  <c r="V37" i="11"/>
  <c r="U37" i="11"/>
  <c r="T37" i="11"/>
  <c r="AF36" i="11"/>
  <c r="AE36" i="11"/>
  <c r="AD36" i="11"/>
  <c r="AC36" i="11"/>
  <c r="AB36" i="11"/>
  <c r="AA36" i="11"/>
  <c r="Z36" i="11"/>
  <c r="Y36" i="11"/>
  <c r="X36" i="11"/>
  <c r="W36" i="11"/>
  <c r="V36" i="11"/>
  <c r="U36" i="11"/>
  <c r="T36" i="11"/>
  <c r="P35" i="11"/>
  <c r="R28" i="11"/>
  <c r="Q28" i="11"/>
  <c r="P28" i="11"/>
  <c r="O28" i="11"/>
  <c r="N28" i="11"/>
  <c r="M28" i="11"/>
  <c r="L28" i="11"/>
  <c r="J28" i="11"/>
  <c r="D28" i="11"/>
  <c r="C27" i="11"/>
  <c r="C28" i="11" s="1"/>
  <c r="F26" i="11"/>
  <c r="F58" i="11" s="1"/>
  <c r="E26" i="11"/>
  <c r="E58" i="11" s="1"/>
  <c r="AF25" i="11"/>
  <c r="AE25" i="11"/>
  <c r="AD25" i="11"/>
  <c r="AC25" i="11"/>
  <c r="AB25" i="11"/>
  <c r="AA25" i="11"/>
  <c r="Z25" i="11"/>
  <c r="Y25" i="11"/>
  <c r="X25" i="11"/>
  <c r="W25" i="11"/>
  <c r="V25" i="11"/>
  <c r="U25" i="11"/>
  <c r="T25" i="11"/>
  <c r="K23" i="11"/>
  <c r="K22" i="11"/>
  <c r="H23" i="11"/>
  <c r="G23" i="11"/>
  <c r="G28" i="11" s="1"/>
  <c r="U22" i="11"/>
  <c r="I22" i="11"/>
  <c r="I28" i="11" s="1"/>
  <c r="H22" i="11"/>
  <c r="H28" i="11" s="1"/>
  <c r="M19" i="11"/>
  <c r="M18" i="11"/>
  <c r="R18" i="11"/>
  <c r="Q18" i="11"/>
  <c r="P18" i="11"/>
  <c r="O18" i="11"/>
  <c r="N18" i="11"/>
  <c r="L18" i="11"/>
  <c r="K18" i="11"/>
  <c r="J18" i="11"/>
  <c r="I18" i="11"/>
  <c r="H18" i="11"/>
  <c r="G18" i="11"/>
  <c r="F18" i="11"/>
  <c r="G16" i="11"/>
  <c r="P12" i="11"/>
  <c r="O12" i="11"/>
  <c r="I12" i="11"/>
  <c r="H12" i="11"/>
  <c r="G12" i="11"/>
  <c r="G20" i="11" s="1"/>
  <c r="F12" i="11"/>
  <c r="E12" i="11"/>
  <c r="E20" i="11" s="1"/>
  <c r="D12" i="11"/>
  <c r="D20" i="11" s="1"/>
  <c r="C12" i="11"/>
  <c r="C20" i="11" s="1"/>
  <c r="AF11" i="11"/>
  <c r="AE11" i="11"/>
  <c r="AD11" i="11"/>
  <c r="AC11" i="11"/>
  <c r="AB11" i="11"/>
  <c r="AA11" i="11"/>
  <c r="Z11" i="11"/>
  <c r="Y11" i="11"/>
  <c r="X11" i="11"/>
  <c r="W11" i="11"/>
  <c r="V11" i="11"/>
  <c r="U11" i="11"/>
  <c r="T11" i="11"/>
  <c r="R9" i="11"/>
  <c r="R59" i="11" s="1"/>
  <c r="Q9" i="11"/>
  <c r="Q59" i="11" s="1"/>
  <c r="P9" i="11"/>
  <c r="P59" i="11" s="1"/>
  <c r="O9" i="11"/>
  <c r="O59" i="11" s="1"/>
  <c r="N9" i="11"/>
  <c r="N59" i="11" s="1"/>
  <c r="M7" i="11"/>
  <c r="L7" i="11"/>
  <c r="L20" i="11" s="1"/>
  <c r="K7" i="11"/>
  <c r="K20" i="11" s="1"/>
  <c r="J7" i="11"/>
  <c r="I7" i="11"/>
  <c r="H7" i="11"/>
  <c r="H20" i="11" s="1"/>
  <c r="R6" i="11"/>
  <c r="Q6" i="11"/>
  <c r="BU109" i="4" s="1"/>
  <c r="P6" i="11"/>
  <c r="O6" i="11"/>
  <c r="N6" i="11"/>
  <c r="M6" i="11"/>
  <c r="BA109" i="4" s="1"/>
  <c r="L6" i="11"/>
  <c r="K6" i="11"/>
  <c r="J6" i="11"/>
  <c r="I6" i="11"/>
  <c r="H6" i="11"/>
  <c r="G6" i="11"/>
  <c r="F6" i="11"/>
  <c r="E6" i="11"/>
  <c r="D6" i="11"/>
  <c r="C6" i="11"/>
  <c r="AF8" i="11"/>
  <c r="AE8" i="11"/>
  <c r="AD8" i="11"/>
  <c r="AC8" i="11"/>
  <c r="AB8" i="11"/>
  <c r="AA8" i="11"/>
  <c r="Z8" i="11"/>
  <c r="Y8" i="11"/>
  <c r="X8" i="11"/>
  <c r="W8" i="11"/>
  <c r="V8" i="11"/>
  <c r="U8" i="11"/>
  <c r="T8" i="11"/>
  <c r="J187" i="10"/>
  <c r="J185" i="10"/>
  <c r="J182" i="10"/>
  <c r="J181" i="10"/>
  <c r="J180" i="10"/>
  <c r="J179" i="10"/>
  <c r="J178" i="10"/>
  <c r="R187" i="10"/>
  <c r="N187" i="10"/>
  <c r="M187" i="10"/>
  <c r="K187" i="10"/>
  <c r="R186" i="10"/>
  <c r="Q186" i="10"/>
  <c r="R185" i="10"/>
  <c r="Q185" i="10"/>
  <c r="P185" i="10"/>
  <c r="O185" i="10"/>
  <c r="N185" i="10"/>
  <c r="M185" i="10"/>
  <c r="L185" i="10"/>
  <c r="K185" i="10"/>
  <c r="R183" i="10"/>
  <c r="Q183" i="10"/>
  <c r="P183" i="10"/>
  <c r="O183" i="10"/>
  <c r="N183" i="10"/>
  <c r="M183" i="10"/>
  <c r="R182" i="10"/>
  <c r="Q182" i="10"/>
  <c r="P182" i="10"/>
  <c r="O182" i="10"/>
  <c r="N182" i="10"/>
  <c r="M182" i="10"/>
  <c r="L182" i="10"/>
  <c r="K182" i="10"/>
  <c r="R181" i="10"/>
  <c r="Q181" i="10"/>
  <c r="P181" i="10"/>
  <c r="O181" i="10"/>
  <c r="N181" i="10"/>
  <c r="M181" i="10"/>
  <c r="L181" i="10"/>
  <c r="K181" i="10"/>
  <c r="R180" i="10"/>
  <c r="Q180" i="10"/>
  <c r="P180" i="10"/>
  <c r="O180" i="10"/>
  <c r="N180" i="10"/>
  <c r="L180" i="10"/>
  <c r="K180" i="10"/>
  <c r="R179" i="10"/>
  <c r="Q179" i="10"/>
  <c r="P179" i="10"/>
  <c r="O179" i="10"/>
  <c r="N179" i="10"/>
  <c r="M179" i="10"/>
  <c r="L179" i="10"/>
  <c r="K179" i="10"/>
  <c r="R178" i="10"/>
  <c r="R184" i="10" s="1"/>
  <c r="Q178" i="10"/>
  <c r="P178" i="10"/>
  <c r="O178" i="10"/>
  <c r="N178" i="10"/>
  <c r="N184" i="10" s="1"/>
  <c r="M178" i="10"/>
  <c r="L178" i="10"/>
  <c r="K178" i="10"/>
  <c r="R167" i="10"/>
  <c r="Q167" i="10"/>
  <c r="P167" i="10"/>
  <c r="O167" i="10"/>
  <c r="N167" i="10"/>
  <c r="M167" i="10"/>
  <c r="R166" i="10"/>
  <c r="Q166" i="10"/>
  <c r="P166" i="10"/>
  <c r="O166" i="10"/>
  <c r="N166" i="10"/>
  <c r="M166" i="10"/>
  <c r="R165" i="10"/>
  <c r="Q165" i="10"/>
  <c r="P165" i="10"/>
  <c r="O165" i="10"/>
  <c r="N165" i="10"/>
  <c r="M165" i="10"/>
  <c r="I166" i="10"/>
  <c r="H166" i="10"/>
  <c r="G166" i="10"/>
  <c r="G168" i="10" s="1"/>
  <c r="F166" i="10"/>
  <c r="E166" i="10"/>
  <c r="D166" i="10"/>
  <c r="C166" i="10"/>
  <c r="L165" i="10"/>
  <c r="K165" i="10"/>
  <c r="J165" i="10"/>
  <c r="I165" i="10"/>
  <c r="H165" i="10"/>
  <c r="G165" i="10"/>
  <c r="F165" i="10"/>
  <c r="E165" i="10"/>
  <c r="D165" i="10"/>
  <c r="C165" i="10"/>
  <c r="AF163" i="10"/>
  <c r="AE163" i="10"/>
  <c r="AD163" i="10"/>
  <c r="AC163" i="10"/>
  <c r="AB163" i="10"/>
  <c r="AA163" i="10"/>
  <c r="Z163" i="10"/>
  <c r="Y163" i="10"/>
  <c r="X163" i="10"/>
  <c r="W163" i="10"/>
  <c r="V163" i="10"/>
  <c r="U163" i="10"/>
  <c r="T163" i="10"/>
  <c r="S163" i="10"/>
  <c r="R163" i="10"/>
  <c r="Q163" i="10"/>
  <c r="P163" i="10"/>
  <c r="AF161" i="10"/>
  <c r="AE161" i="10"/>
  <c r="AD161" i="10"/>
  <c r="AC161" i="10"/>
  <c r="AB161" i="10"/>
  <c r="AA161" i="10"/>
  <c r="Z161" i="10"/>
  <c r="Y161" i="10"/>
  <c r="X161" i="10"/>
  <c r="W161" i="10"/>
  <c r="V161" i="10"/>
  <c r="U161" i="10"/>
  <c r="T161" i="10"/>
  <c r="S161" i="10"/>
  <c r="R161" i="10"/>
  <c r="Q161" i="10"/>
  <c r="P161" i="10"/>
  <c r="AF159" i="10"/>
  <c r="AE159" i="10"/>
  <c r="AD159" i="10"/>
  <c r="AC159" i="10"/>
  <c r="AB159" i="10"/>
  <c r="AA159" i="10"/>
  <c r="Z159" i="10"/>
  <c r="Y159" i="10"/>
  <c r="X159" i="10"/>
  <c r="W159" i="10"/>
  <c r="V159" i="10"/>
  <c r="U159" i="10"/>
  <c r="T159" i="10"/>
  <c r="S159" i="10"/>
  <c r="R159" i="10"/>
  <c r="Q159" i="10"/>
  <c r="P159" i="10"/>
  <c r="R151" i="10"/>
  <c r="Q151" i="10"/>
  <c r="P151" i="10"/>
  <c r="O151" i="10"/>
  <c r="N151" i="10"/>
  <c r="M151" i="10"/>
  <c r="L151" i="10"/>
  <c r="K151" i="10"/>
  <c r="J151" i="10"/>
  <c r="J152" i="10" s="1"/>
  <c r="I151" i="10"/>
  <c r="H151" i="10"/>
  <c r="H152" i="10" s="1"/>
  <c r="G151" i="10"/>
  <c r="F151" i="10"/>
  <c r="F152" i="10" s="1"/>
  <c r="E151" i="10"/>
  <c r="D151" i="10"/>
  <c r="D152" i="10" s="1"/>
  <c r="C151" i="10"/>
  <c r="C121" i="10"/>
  <c r="D121" i="10" s="1"/>
  <c r="R116" i="10"/>
  <c r="Q116" i="10"/>
  <c r="P116" i="10"/>
  <c r="O116" i="10"/>
  <c r="N116" i="10"/>
  <c r="M116" i="10"/>
  <c r="L116" i="10"/>
  <c r="K116" i="10"/>
  <c r="J116" i="10"/>
  <c r="I116" i="10"/>
  <c r="H116" i="10"/>
  <c r="G116" i="10"/>
  <c r="F116" i="10"/>
  <c r="E116" i="10"/>
  <c r="D116" i="10"/>
  <c r="C116" i="10"/>
  <c r="C114" i="10"/>
  <c r="C112" i="10"/>
  <c r="R114" i="10"/>
  <c r="Q114" i="10"/>
  <c r="P114" i="10"/>
  <c r="O114" i="10"/>
  <c r="N114" i="10"/>
  <c r="M114" i="10"/>
  <c r="L114" i="10"/>
  <c r="K114" i="10"/>
  <c r="J114" i="10"/>
  <c r="I114" i="10"/>
  <c r="H114" i="10"/>
  <c r="G114" i="10"/>
  <c r="F114" i="10"/>
  <c r="E114" i="10"/>
  <c r="D114" i="10"/>
  <c r="R112" i="10"/>
  <c r="R136" i="10" s="1"/>
  <c r="S136" i="10" s="1"/>
  <c r="T136" i="10" s="1"/>
  <c r="U136" i="10" s="1"/>
  <c r="V136" i="10" s="1"/>
  <c r="W136" i="10" s="1"/>
  <c r="X136" i="10" s="1"/>
  <c r="Y136" i="10" s="1"/>
  <c r="Z136" i="10" s="1"/>
  <c r="AA136" i="10" s="1"/>
  <c r="AB136" i="10" s="1"/>
  <c r="AC136" i="10" s="1"/>
  <c r="AD136" i="10" s="1"/>
  <c r="AE136" i="10" s="1"/>
  <c r="AF136" i="10" s="1"/>
  <c r="Q112" i="10"/>
  <c r="Q135" i="10" s="1"/>
  <c r="R135" i="10" s="1"/>
  <c r="S135" i="10" s="1"/>
  <c r="T135" i="10" s="1"/>
  <c r="U135" i="10" s="1"/>
  <c r="V135" i="10" s="1"/>
  <c r="W135" i="10" s="1"/>
  <c r="X135" i="10" s="1"/>
  <c r="Y135" i="10" s="1"/>
  <c r="Z135" i="10" s="1"/>
  <c r="AA135" i="10" s="1"/>
  <c r="AB135" i="10" s="1"/>
  <c r="AC135" i="10" s="1"/>
  <c r="AD135" i="10" s="1"/>
  <c r="AE135" i="10" s="1"/>
  <c r="AF135" i="10" s="1"/>
  <c r="P112" i="10"/>
  <c r="P134" i="10" s="1"/>
  <c r="Q134" i="10" s="1"/>
  <c r="R134" i="10" s="1"/>
  <c r="S134" i="10" s="1"/>
  <c r="T134" i="10" s="1"/>
  <c r="U134" i="10" s="1"/>
  <c r="V134" i="10" s="1"/>
  <c r="W134" i="10" s="1"/>
  <c r="X134" i="10" s="1"/>
  <c r="Y134" i="10" s="1"/>
  <c r="Z134" i="10" s="1"/>
  <c r="AA134" i="10" s="1"/>
  <c r="AB134" i="10" s="1"/>
  <c r="AC134" i="10" s="1"/>
  <c r="AD134" i="10" s="1"/>
  <c r="AE134" i="10" s="1"/>
  <c r="AF134" i="10" s="1"/>
  <c r="O112" i="10"/>
  <c r="O53" i="10" s="1"/>
  <c r="N112" i="10"/>
  <c r="N53" i="10" s="1"/>
  <c r="M112" i="10"/>
  <c r="M131" i="10" s="1"/>
  <c r="N131" i="10" s="1"/>
  <c r="O131" i="10" s="1"/>
  <c r="P131" i="10" s="1"/>
  <c r="Q131" i="10" s="1"/>
  <c r="R131" i="10" s="1"/>
  <c r="S131" i="10" s="1"/>
  <c r="T131" i="10" s="1"/>
  <c r="U131" i="10" s="1"/>
  <c r="V131" i="10" s="1"/>
  <c r="W131" i="10" s="1"/>
  <c r="X131" i="10" s="1"/>
  <c r="Y131" i="10" s="1"/>
  <c r="Z131" i="10" s="1"/>
  <c r="AA131" i="10" s="1"/>
  <c r="AB131" i="10" s="1"/>
  <c r="AC131" i="10" s="1"/>
  <c r="AD131" i="10" s="1"/>
  <c r="AE131" i="10" s="1"/>
  <c r="AF131" i="10" s="1"/>
  <c r="L112" i="10"/>
  <c r="L53" i="10" s="1"/>
  <c r="K112" i="10"/>
  <c r="K53" i="10" s="1"/>
  <c r="J112" i="10"/>
  <c r="J53" i="10" s="1"/>
  <c r="I112" i="10"/>
  <c r="H112" i="10"/>
  <c r="H53" i="10" s="1"/>
  <c r="G112" i="10"/>
  <c r="G53" i="10" s="1"/>
  <c r="F112" i="10"/>
  <c r="F53" i="10" s="1"/>
  <c r="D112" i="10"/>
  <c r="D53" i="10" s="1"/>
  <c r="S111" i="10"/>
  <c r="R111" i="10"/>
  <c r="Q111" i="10"/>
  <c r="P111" i="10"/>
  <c r="O111" i="10"/>
  <c r="N111" i="10"/>
  <c r="M111" i="10"/>
  <c r="L111" i="10"/>
  <c r="K111" i="10"/>
  <c r="J111" i="10"/>
  <c r="I111" i="10"/>
  <c r="H111" i="10"/>
  <c r="G111" i="10"/>
  <c r="F111" i="10"/>
  <c r="E111" i="10"/>
  <c r="D111" i="10"/>
  <c r="C98" i="10"/>
  <c r="R83" i="10"/>
  <c r="Q83" i="10"/>
  <c r="P83" i="10"/>
  <c r="O83" i="10"/>
  <c r="N83" i="10"/>
  <c r="M83" i="10"/>
  <c r="K83" i="10"/>
  <c r="J83" i="10"/>
  <c r="I83" i="10"/>
  <c r="R80" i="10"/>
  <c r="Q80" i="10"/>
  <c r="P80" i="10"/>
  <c r="O80" i="10"/>
  <c r="N80" i="10"/>
  <c r="M80" i="10"/>
  <c r="L80" i="10"/>
  <c r="K80" i="10"/>
  <c r="J80" i="10"/>
  <c r="I80" i="10"/>
  <c r="H80" i="10"/>
  <c r="F80" i="10"/>
  <c r="D80" i="10"/>
  <c r="C80" i="10"/>
  <c r="R77" i="10"/>
  <c r="R79" i="10" s="1"/>
  <c r="Q77" i="10"/>
  <c r="Q79" i="10" s="1"/>
  <c r="P77" i="10"/>
  <c r="O77" i="10"/>
  <c r="N77" i="10"/>
  <c r="N79" i="10" s="1"/>
  <c r="M77" i="10"/>
  <c r="M79" i="10" s="1"/>
  <c r="L77" i="10"/>
  <c r="K77" i="10"/>
  <c r="J77" i="10"/>
  <c r="J79" i="10" s="1"/>
  <c r="I77" i="10"/>
  <c r="I79" i="10" s="1"/>
  <c r="H77" i="10"/>
  <c r="G77" i="10"/>
  <c r="F77" i="10"/>
  <c r="E77" i="10"/>
  <c r="D77" i="10"/>
  <c r="C77" i="10"/>
  <c r="R74" i="10"/>
  <c r="Q74" i="10"/>
  <c r="G74" i="10"/>
  <c r="F74" i="10"/>
  <c r="E74" i="10"/>
  <c r="D74" i="10"/>
  <c r="C74" i="10"/>
  <c r="R71" i="10"/>
  <c r="Q71" i="10"/>
  <c r="E71" i="10"/>
  <c r="D71" i="10"/>
  <c r="C71" i="10"/>
  <c r="R69" i="10"/>
  <c r="Q69" i="10"/>
  <c r="P69" i="10"/>
  <c r="O69" i="10"/>
  <c r="N69" i="10"/>
  <c r="M69" i="10"/>
  <c r="L69" i="10"/>
  <c r="K69" i="10"/>
  <c r="J69" i="10"/>
  <c r="I69" i="10"/>
  <c r="H69" i="10"/>
  <c r="G69" i="10"/>
  <c r="F69" i="10"/>
  <c r="E69" i="10"/>
  <c r="D69" i="10"/>
  <c r="C69" i="10"/>
  <c r="R67" i="10"/>
  <c r="Q67" i="10"/>
  <c r="P67" i="10"/>
  <c r="O67" i="10"/>
  <c r="N67" i="10"/>
  <c r="M67" i="10"/>
  <c r="L67" i="10"/>
  <c r="K67" i="10"/>
  <c r="J67" i="10"/>
  <c r="I67" i="10"/>
  <c r="H67" i="10"/>
  <c r="G67" i="10"/>
  <c r="F67" i="10"/>
  <c r="E67" i="10"/>
  <c r="D67" i="10"/>
  <c r="C67" i="10"/>
  <c r="R65" i="10"/>
  <c r="Q65" i="10"/>
  <c r="P65" i="10"/>
  <c r="O65" i="10"/>
  <c r="N65" i="10"/>
  <c r="M65" i="10"/>
  <c r="L65" i="10"/>
  <c r="K65" i="10"/>
  <c r="J65" i="10"/>
  <c r="I65" i="10"/>
  <c r="H65" i="10"/>
  <c r="G65" i="10"/>
  <c r="F65" i="10"/>
  <c r="E65" i="10"/>
  <c r="D65" i="10"/>
  <c r="C65" i="10"/>
  <c r="R62" i="10"/>
  <c r="Q62" i="10"/>
  <c r="P62" i="10"/>
  <c r="O62" i="10"/>
  <c r="N62" i="10"/>
  <c r="L62" i="10"/>
  <c r="K62" i="10"/>
  <c r="J62" i="10"/>
  <c r="I62" i="10"/>
  <c r="H62" i="10"/>
  <c r="G62" i="10"/>
  <c r="F62" i="10"/>
  <c r="E62" i="10"/>
  <c r="C62" i="10"/>
  <c r="U72" i="10"/>
  <c r="V72" i="10" s="1"/>
  <c r="T63" i="10"/>
  <c r="U63" i="10" s="1"/>
  <c r="Q53" i="10"/>
  <c r="M53" i="10"/>
  <c r="I53" i="10"/>
  <c r="C53" i="10"/>
  <c r="C50" i="10"/>
  <c r="C48" i="10"/>
  <c r="R41" i="10"/>
  <c r="Q41" i="10"/>
  <c r="P41" i="10"/>
  <c r="O41" i="10"/>
  <c r="N41" i="10"/>
  <c r="M41" i="10"/>
  <c r="L40" i="10"/>
  <c r="L39" i="10"/>
  <c r="L121" i="11" s="1"/>
  <c r="M116" i="11" s="1"/>
  <c r="G40" i="10"/>
  <c r="F40" i="10"/>
  <c r="E40" i="10"/>
  <c r="I39" i="10"/>
  <c r="I121" i="11" s="1"/>
  <c r="J116" i="11" s="1"/>
  <c r="T40" i="10"/>
  <c r="U40" i="10" s="1"/>
  <c r="V40" i="10" s="1"/>
  <c r="W40" i="10" s="1"/>
  <c r="X40" i="10" s="1"/>
  <c r="Y40" i="10" s="1"/>
  <c r="Z40" i="10" s="1"/>
  <c r="AA40" i="10" s="1"/>
  <c r="AB40" i="10" s="1"/>
  <c r="AC40" i="10" s="1"/>
  <c r="AD40" i="10" s="1"/>
  <c r="AE40" i="10" s="1"/>
  <c r="AF40" i="10" s="1"/>
  <c r="T37" i="10"/>
  <c r="L37" i="10"/>
  <c r="L41" i="10" s="1"/>
  <c r="K37" i="10"/>
  <c r="K41" i="10" s="1"/>
  <c r="J37" i="10"/>
  <c r="J41" i="10" s="1"/>
  <c r="I37" i="10"/>
  <c r="H37" i="10"/>
  <c r="H41" i="10" s="1"/>
  <c r="G37" i="10"/>
  <c r="G41" i="10" s="1"/>
  <c r="F37" i="10"/>
  <c r="E37" i="10"/>
  <c r="D37" i="10"/>
  <c r="D41" i="10" s="1"/>
  <c r="C37" i="10"/>
  <c r="C41" i="10" s="1"/>
  <c r="L35" i="10"/>
  <c r="Q32" i="10"/>
  <c r="Q46" i="14" s="1"/>
  <c r="P32" i="10"/>
  <c r="P46" i="14" s="1"/>
  <c r="P47" i="14" s="1"/>
  <c r="O32" i="10"/>
  <c r="O46" i="14" s="1"/>
  <c r="O47" i="14" s="1"/>
  <c r="L32" i="10"/>
  <c r="L187" i="10" s="1"/>
  <c r="L31" i="10"/>
  <c r="L30" i="10"/>
  <c r="L29" i="10"/>
  <c r="C32" i="10"/>
  <c r="C46" i="14" s="1"/>
  <c r="C31" i="10"/>
  <c r="D30" i="10"/>
  <c r="D46" i="14" s="1"/>
  <c r="T31" i="10"/>
  <c r="U31" i="10" s="1"/>
  <c r="V31" i="10" s="1"/>
  <c r="W31" i="10" s="1"/>
  <c r="X31" i="10" s="1"/>
  <c r="Y31" i="10" s="1"/>
  <c r="Z31" i="10" s="1"/>
  <c r="AA31" i="10" s="1"/>
  <c r="AB31" i="10" s="1"/>
  <c r="AC31" i="10" s="1"/>
  <c r="AD31" i="10" s="1"/>
  <c r="AE31" i="10" s="1"/>
  <c r="AF31" i="10" s="1"/>
  <c r="T29" i="10"/>
  <c r="U29" i="10" s="1"/>
  <c r="V29" i="10" s="1"/>
  <c r="W29" i="10" s="1"/>
  <c r="X29" i="10" s="1"/>
  <c r="Y29" i="10" s="1"/>
  <c r="Z29" i="10" s="1"/>
  <c r="AA29" i="10" s="1"/>
  <c r="AB29" i="10" s="1"/>
  <c r="AC29" i="10" s="1"/>
  <c r="AD29" i="10" s="1"/>
  <c r="AE29" i="10" s="1"/>
  <c r="AF29" i="10" s="1"/>
  <c r="R27" i="10"/>
  <c r="Q27" i="10"/>
  <c r="L26" i="10"/>
  <c r="L46" i="14" s="1"/>
  <c r="L25" i="10"/>
  <c r="L24" i="10"/>
  <c r="L23" i="10"/>
  <c r="M25" i="10"/>
  <c r="M24" i="10"/>
  <c r="P24" i="10"/>
  <c r="O24" i="10"/>
  <c r="N24" i="10"/>
  <c r="K24" i="10"/>
  <c r="J24" i="10"/>
  <c r="I24" i="10"/>
  <c r="I71" i="10" s="1"/>
  <c r="H24" i="10"/>
  <c r="H71" i="10" s="1"/>
  <c r="G24" i="10"/>
  <c r="G71" i="10" s="1"/>
  <c r="F24" i="10"/>
  <c r="F71" i="10" s="1"/>
  <c r="H23" i="10"/>
  <c r="G23" i="10"/>
  <c r="F23" i="10"/>
  <c r="E23" i="10"/>
  <c r="D23" i="10"/>
  <c r="D27" i="10" s="1"/>
  <c r="D90" i="10" s="1"/>
  <c r="C23" i="10"/>
  <c r="T25" i="10"/>
  <c r="U25" i="10" s="1"/>
  <c r="V25" i="10" s="1"/>
  <c r="W25" i="10" s="1"/>
  <c r="X25" i="10" s="1"/>
  <c r="Y25" i="10" s="1"/>
  <c r="Z25" i="10" s="1"/>
  <c r="AA25" i="10" s="1"/>
  <c r="AB25" i="10" s="1"/>
  <c r="AC25" i="10" s="1"/>
  <c r="AD25" i="10" s="1"/>
  <c r="AE25" i="10" s="1"/>
  <c r="AF25" i="10" s="1"/>
  <c r="AF19" i="11" s="1"/>
  <c r="C19" i="10"/>
  <c r="G18" i="10"/>
  <c r="G80" i="10" s="1"/>
  <c r="E18" i="10"/>
  <c r="E80" i="10" s="1"/>
  <c r="L15" i="10"/>
  <c r="K15" i="10"/>
  <c r="J15" i="10"/>
  <c r="T16" i="10"/>
  <c r="U16" i="10" s="1"/>
  <c r="V16" i="10" s="1"/>
  <c r="W16" i="10" s="1"/>
  <c r="X16" i="10" s="1"/>
  <c r="Y16" i="10" s="1"/>
  <c r="Z16" i="10" s="1"/>
  <c r="AA16" i="10" s="1"/>
  <c r="AB16" i="10" s="1"/>
  <c r="AC16" i="10" s="1"/>
  <c r="AD16" i="10" s="1"/>
  <c r="AE16" i="10" s="1"/>
  <c r="AF16" i="10" s="1"/>
  <c r="T14" i="10"/>
  <c r="U14" i="10" s="1"/>
  <c r="V14" i="10" s="1"/>
  <c r="W14" i="10" s="1"/>
  <c r="X14" i="10" s="1"/>
  <c r="Y14" i="10" s="1"/>
  <c r="Z14" i="10" s="1"/>
  <c r="AA14" i="10" s="1"/>
  <c r="AB14" i="10" s="1"/>
  <c r="AC14" i="10" s="1"/>
  <c r="AD14" i="10" s="1"/>
  <c r="AE14" i="10" s="1"/>
  <c r="AF14" i="10" s="1"/>
  <c r="R10" i="10"/>
  <c r="Q10" i="10"/>
  <c r="Q89" i="10" s="1"/>
  <c r="P10" i="10"/>
  <c r="N10" i="10"/>
  <c r="G10" i="10"/>
  <c r="F10" i="10"/>
  <c r="E10" i="10"/>
  <c r="C10" i="10"/>
  <c r="M9" i="10"/>
  <c r="M8" i="10"/>
  <c r="M74" i="10" s="1"/>
  <c r="D9" i="10"/>
  <c r="D62" i="10" s="1"/>
  <c r="P8" i="10"/>
  <c r="P74" i="10" s="1"/>
  <c r="O8" i="10"/>
  <c r="O74" i="10" s="1"/>
  <c r="N8" i="10"/>
  <c r="N74" i="10" s="1"/>
  <c r="L8" i="10"/>
  <c r="L74" i="10" s="1"/>
  <c r="K8" i="10"/>
  <c r="K74" i="10" s="1"/>
  <c r="J8" i="10"/>
  <c r="J74" i="10" s="1"/>
  <c r="I8" i="10"/>
  <c r="I74" i="10" s="1"/>
  <c r="H8" i="10"/>
  <c r="H74" i="10" s="1"/>
  <c r="T7" i="10"/>
  <c r="U7" i="10" s="1"/>
  <c r="V7" i="10" s="1"/>
  <c r="W7" i="10" s="1"/>
  <c r="X7" i="10" s="1"/>
  <c r="Y7" i="10" s="1"/>
  <c r="Z7" i="10" s="1"/>
  <c r="AA7" i="10" s="1"/>
  <c r="AB7" i="10" s="1"/>
  <c r="AC7" i="10" s="1"/>
  <c r="AD7" i="10" s="1"/>
  <c r="AE7" i="10" s="1"/>
  <c r="AF7" i="10" s="1"/>
  <c r="T24" i="11"/>
  <c r="L3" i="10"/>
  <c r="L51" i="11" s="1"/>
  <c r="B166" i="4"/>
  <c r="AX138" i="4"/>
  <c r="AW138" i="4"/>
  <c r="AR138" i="4"/>
  <c r="AO138" i="4"/>
  <c r="AN138" i="4"/>
  <c r="AM138" i="4"/>
  <c r="AJ138" i="4"/>
  <c r="AH138" i="4"/>
  <c r="AF138" i="4"/>
  <c r="AE138" i="4"/>
  <c r="AD138" i="4"/>
  <c r="AC138" i="4"/>
  <c r="AA138" i="4"/>
  <c r="Z138" i="4"/>
  <c r="Y138" i="4"/>
  <c r="X138" i="4"/>
  <c r="V138" i="4"/>
  <c r="U138" i="4"/>
  <c r="T138" i="4"/>
  <c r="S138" i="4"/>
  <c r="Q138" i="4"/>
  <c r="P138" i="4"/>
  <c r="O138" i="4"/>
  <c r="N138" i="4"/>
  <c r="L138" i="4"/>
  <c r="K138" i="4"/>
  <c r="J138" i="4"/>
  <c r="I138" i="4"/>
  <c r="G138" i="4"/>
  <c r="F138" i="4"/>
  <c r="E138" i="4"/>
  <c r="D138" i="4"/>
  <c r="C138" i="4"/>
  <c r="V137" i="4"/>
  <c r="U137" i="4"/>
  <c r="T137" i="4"/>
  <c r="S137" i="4"/>
  <c r="Q137" i="4"/>
  <c r="P137" i="4"/>
  <c r="O137" i="4"/>
  <c r="N137" i="4"/>
  <c r="L137" i="4"/>
  <c r="K137" i="4"/>
  <c r="J137" i="4"/>
  <c r="I137" i="4"/>
  <c r="G137" i="4"/>
  <c r="F137" i="4"/>
  <c r="E137" i="4"/>
  <c r="D137" i="4"/>
  <c r="C137" i="4"/>
  <c r="EQ136" i="4"/>
  <c r="EP136" i="4"/>
  <c r="EO136" i="4"/>
  <c r="EN136" i="4"/>
  <c r="EL136" i="4"/>
  <c r="EK136" i="4"/>
  <c r="EJ136" i="4"/>
  <c r="EI136" i="4"/>
  <c r="EG136" i="4"/>
  <c r="EF136" i="4"/>
  <c r="EE136" i="4"/>
  <c r="ED136" i="4"/>
  <c r="EB136" i="4"/>
  <c r="EA136" i="4"/>
  <c r="DZ136" i="4"/>
  <c r="DY136" i="4"/>
  <c r="DW136" i="4"/>
  <c r="DV136" i="4"/>
  <c r="DU136" i="4"/>
  <c r="DT136" i="4"/>
  <c r="DR136" i="4"/>
  <c r="DQ136" i="4"/>
  <c r="DP136" i="4"/>
  <c r="DO136" i="4"/>
  <c r="DM136" i="4"/>
  <c r="DL136" i="4"/>
  <c r="DK136" i="4"/>
  <c r="DJ136" i="4"/>
  <c r="DH136" i="4"/>
  <c r="DG136" i="4"/>
  <c r="DF136" i="4"/>
  <c r="DE136" i="4"/>
  <c r="DC136" i="4"/>
  <c r="DB136" i="4"/>
  <c r="DA136" i="4"/>
  <c r="CZ136" i="4"/>
  <c r="CX136" i="4"/>
  <c r="CW136" i="4"/>
  <c r="CV136" i="4"/>
  <c r="CU136" i="4"/>
  <c r="CS136" i="4"/>
  <c r="CR136" i="4"/>
  <c r="CQ136" i="4"/>
  <c r="CP136" i="4"/>
  <c r="CN136" i="4"/>
  <c r="CM136" i="4"/>
  <c r="CL136" i="4"/>
  <c r="CK136" i="4"/>
  <c r="DX127" i="4"/>
  <c r="DS127" i="4"/>
  <c r="DN127" i="4"/>
  <c r="DI127" i="4"/>
  <c r="DD127" i="4"/>
  <c r="CY127" i="4"/>
  <c r="CT127" i="4"/>
  <c r="CO127" i="4"/>
  <c r="CJ127" i="4"/>
  <c r="CE127" i="4"/>
  <c r="BZ128" i="4"/>
  <c r="BZ127" i="4"/>
  <c r="BU131" i="4"/>
  <c r="BU128" i="4"/>
  <c r="BU127" i="4"/>
  <c r="EQ131" i="4"/>
  <c r="EP131" i="4"/>
  <c r="EO131" i="4"/>
  <c r="EN131" i="4"/>
  <c r="EL131" i="4"/>
  <c r="EK131" i="4"/>
  <c r="EJ131" i="4"/>
  <c r="EI131" i="4"/>
  <c r="EG131" i="4"/>
  <c r="EF131" i="4"/>
  <c r="EE131" i="4"/>
  <c r="ED131" i="4"/>
  <c r="EB131" i="4"/>
  <c r="EA131" i="4"/>
  <c r="DZ131" i="4"/>
  <c r="DY131" i="4"/>
  <c r="DW131" i="4"/>
  <c r="DV131" i="4"/>
  <c r="DU131" i="4"/>
  <c r="DT131" i="4"/>
  <c r="DR131" i="4"/>
  <c r="DQ131" i="4"/>
  <c r="DP131" i="4"/>
  <c r="DO131" i="4"/>
  <c r="DM131" i="4"/>
  <c r="DL131" i="4"/>
  <c r="DK131" i="4"/>
  <c r="DJ131" i="4"/>
  <c r="DH131" i="4"/>
  <c r="DG131" i="4"/>
  <c r="DF131" i="4"/>
  <c r="DE131" i="4"/>
  <c r="DC131" i="4"/>
  <c r="DB131" i="4"/>
  <c r="DA131" i="4"/>
  <c r="CZ131" i="4"/>
  <c r="CX131" i="4"/>
  <c r="CW131" i="4"/>
  <c r="CV131" i="4"/>
  <c r="CU131" i="4"/>
  <c r="CS131" i="4"/>
  <c r="CR131" i="4"/>
  <c r="CQ131" i="4"/>
  <c r="CP131" i="4"/>
  <c r="BP128" i="4"/>
  <c r="BP127" i="4"/>
  <c r="AV130" i="4"/>
  <c r="AW130" i="4" s="1"/>
  <c r="AX130" i="4" s="1"/>
  <c r="AY130" i="4" s="1"/>
  <c r="AZ130" i="4" s="1"/>
  <c r="AQ130" i="4"/>
  <c r="AQ127" i="4"/>
  <c r="AL130" i="4"/>
  <c r="AL127" i="4"/>
  <c r="AG130" i="4"/>
  <c r="BI129" i="4"/>
  <c r="BG129" i="4"/>
  <c r="BE129" i="4"/>
  <c r="BE128" i="4" s="1"/>
  <c r="BA129" i="4"/>
  <c r="BA127" i="4"/>
  <c r="AS129" i="4"/>
  <c r="AV129" i="4" s="1"/>
  <c r="AS127" i="4"/>
  <c r="AV127" i="4" s="1"/>
  <c r="AP128" i="4"/>
  <c r="AP129" i="4" s="1"/>
  <c r="AQ129" i="4" s="1"/>
  <c r="AK128" i="4"/>
  <c r="AK129" i="4" s="1"/>
  <c r="AL129" i="4" s="1"/>
  <c r="AF128" i="4"/>
  <c r="AF127" i="4"/>
  <c r="AD128" i="4"/>
  <c r="AD127" i="4"/>
  <c r="AD129" i="4" s="1"/>
  <c r="Y128" i="4"/>
  <c r="Y127" i="4"/>
  <c r="AZ128" i="4"/>
  <c r="AY128" i="4"/>
  <c r="AX128" i="4"/>
  <c r="AW128" i="4"/>
  <c r="AU128" i="4"/>
  <c r="AT128" i="4"/>
  <c r="AR128" i="4"/>
  <c r="AO128" i="4"/>
  <c r="AN128" i="4"/>
  <c r="AM128" i="4"/>
  <c r="AJ128" i="4"/>
  <c r="AI128" i="4"/>
  <c r="AH128" i="4"/>
  <c r="BJ127" i="4"/>
  <c r="BJ129" i="4" s="1"/>
  <c r="BH127" i="4"/>
  <c r="BH129" i="4" s="1"/>
  <c r="BF127" i="4"/>
  <c r="AV123" i="4"/>
  <c r="AV122" i="4"/>
  <c r="AV121" i="4"/>
  <c r="AV120" i="4"/>
  <c r="AV119" i="4"/>
  <c r="AV118" i="4"/>
  <c r="AV117" i="4"/>
  <c r="AV116" i="4"/>
  <c r="AV114" i="4"/>
  <c r="AQ123" i="4"/>
  <c r="AQ122" i="4"/>
  <c r="AQ121" i="4"/>
  <c r="AQ120" i="4"/>
  <c r="AQ119" i="4"/>
  <c r="AQ118" i="4"/>
  <c r="AQ117" i="4"/>
  <c r="AQ116" i="4"/>
  <c r="AQ114" i="4"/>
  <c r="AL123" i="4"/>
  <c r="AL122" i="4"/>
  <c r="AL121" i="4"/>
  <c r="AL120" i="4"/>
  <c r="AL119" i="4"/>
  <c r="AL118" i="4"/>
  <c r="AL117" i="4"/>
  <c r="AL116" i="4"/>
  <c r="AL114" i="4"/>
  <c r="AG123" i="4"/>
  <c r="AG122" i="4"/>
  <c r="AG121" i="4"/>
  <c r="AG120" i="4"/>
  <c r="AG119" i="4"/>
  <c r="AG118" i="4"/>
  <c r="AG117" i="4"/>
  <c r="AG116" i="4"/>
  <c r="AG114" i="4"/>
  <c r="AB123" i="4"/>
  <c r="AB122" i="4"/>
  <c r="AB121" i="4"/>
  <c r="AB120" i="4"/>
  <c r="AB119" i="4"/>
  <c r="AB118" i="4"/>
  <c r="AB117" i="4"/>
  <c r="AB116" i="4"/>
  <c r="AB114" i="4"/>
  <c r="W123" i="4"/>
  <c r="W122" i="4"/>
  <c r="W121" i="4"/>
  <c r="W120" i="4"/>
  <c r="W119" i="4"/>
  <c r="W118" i="4"/>
  <c r="W117" i="4"/>
  <c r="W116" i="4"/>
  <c r="W114" i="4"/>
  <c r="R123" i="4"/>
  <c r="R122" i="4"/>
  <c r="R121" i="4"/>
  <c r="R120" i="4"/>
  <c r="R119" i="4"/>
  <c r="R118" i="4"/>
  <c r="R117" i="4"/>
  <c r="R116" i="4"/>
  <c r="R114" i="4"/>
  <c r="M123" i="4"/>
  <c r="M122" i="4"/>
  <c r="M121" i="4"/>
  <c r="M120" i="4"/>
  <c r="M119" i="4"/>
  <c r="M118" i="4"/>
  <c r="M117" i="4"/>
  <c r="M116" i="4"/>
  <c r="M114" i="4"/>
  <c r="H123" i="4"/>
  <c r="H122" i="4"/>
  <c r="H121" i="4"/>
  <c r="H120" i="4"/>
  <c r="H119" i="4"/>
  <c r="H118" i="4"/>
  <c r="H117" i="4"/>
  <c r="H116" i="4"/>
  <c r="H114" i="4"/>
  <c r="AY115" i="4"/>
  <c r="AY124" i="4" s="1"/>
  <c r="AX115" i="4"/>
  <c r="AX124" i="4" s="1"/>
  <c r="AW115" i="4"/>
  <c r="AW124" i="4" s="1"/>
  <c r="AU115" i="4"/>
  <c r="AU124" i="4" s="1"/>
  <c r="AT115" i="4"/>
  <c r="AT124" i="4" s="1"/>
  <c r="AS115" i="4"/>
  <c r="AS124" i="4" s="1"/>
  <c r="AR115" i="4"/>
  <c r="AR124" i="4" s="1"/>
  <c r="AP115" i="4"/>
  <c r="AP124" i="4" s="1"/>
  <c r="AO115" i="4"/>
  <c r="AO124" i="4" s="1"/>
  <c r="AN115" i="4"/>
  <c r="AN124" i="4" s="1"/>
  <c r="AM115" i="4"/>
  <c r="AM124" i="4" s="1"/>
  <c r="AK115" i="4"/>
  <c r="AK124" i="4" s="1"/>
  <c r="AJ115" i="4"/>
  <c r="AJ124" i="4" s="1"/>
  <c r="AI115" i="4"/>
  <c r="AI124" i="4" s="1"/>
  <c r="AH115" i="4"/>
  <c r="AH124" i="4" s="1"/>
  <c r="AF115" i="4"/>
  <c r="AF124" i="4" s="1"/>
  <c r="AE115" i="4"/>
  <c r="AE124" i="4" s="1"/>
  <c r="AD115" i="4"/>
  <c r="AD124" i="4" s="1"/>
  <c r="AC115" i="4"/>
  <c r="AC124" i="4" s="1"/>
  <c r="AA115" i="4"/>
  <c r="AA124" i="4" s="1"/>
  <c r="Z115" i="4"/>
  <c r="Z124" i="4" s="1"/>
  <c r="Y115" i="4"/>
  <c r="Y124" i="4" s="1"/>
  <c r="X115" i="4"/>
  <c r="X124" i="4" s="1"/>
  <c r="V115" i="4"/>
  <c r="V124" i="4" s="1"/>
  <c r="U115" i="4"/>
  <c r="U124" i="4" s="1"/>
  <c r="T115" i="4"/>
  <c r="T124" i="4" s="1"/>
  <c r="S115" i="4"/>
  <c r="S124" i="4" s="1"/>
  <c r="Q115" i="4"/>
  <c r="Q124" i="4" s="1"/>
  <c r="P115" i="4"/>
  <c r="P124" i="4" s="1"/>
  <c r="O115" i="4"/>
  <c r="O124" i="4" s="1"/>
  <c r="N115" i="4"/>
  <c r="N124" i="4" s="1"/>
  <c r="L115" i="4"/>
  <c r="L124" i="4" s="1"/>
  <c r="K115" i="4"/>
  <c r="K124" i="4" s="1"/>
  <c r="J115" i="4"/>
  <c r="J124" i="4" s="1"/>
  <c r="I115" i="4"/>
  <c r="I124" i="4" s="1"/>
  <c r="G115" i="4"/>
  <c r="G124" i="4" s="1"/>
  <c r="F115" i="4"/>
  <c r="F124" i="4" s="1"/>
  <c r="E115" i="4"/>
  <c r="E124" i="4" s="1"/>
  <c r="D115" i="4"/>
  <c r="D124" i="4" s="1"/>
  <c r="C115" i="4"/>
  <c r="C124" i="4" s="1"/>
  <c r="R111" i="4"/>
  <c r="Q111" i="4"/>
  <c r="BZ109" i="4"/>
  <c r="BY109" i="4" s="1"/>
  <c r="BP109" i="4"/>
  <c r="BO109" i="4" s="1"/>
  <c r="BK109" i="4"/>
  <c r="BJ109" i="4" s="1"/>
  <c r="BF109" i="4"/>
  <c r="BE109" i="4" s="1"/>
  <c r="AW109" i="4"/>
  <c r="AV109" i="4"/>
  <c r="AS109" i="4"/>
  <c r="AR109" i="4"/>
  <c r="AQ109" i="4"/>
  <c r="AM109" i="4"/>
  <c r="AN109" i="4" s="1"/>
  <c r="AO109" i="4" s="1"/>
  <c r="AL109" i="4"/>
  <c r="AH109" i="4"/>
  <c r="AI109" i="4" s="1"/>
  <c r="AG109" i="4"/>
  <c r="AC109" i="4"/>
  <c r="AD109" i="4" s="1"/>
  <c r="AE109" i="4" s="1"/>
  <c r="AB109" i="4"/>
  <c r="X109" i="4"/>
  <c r="Y109" i="4" s="1"/>
  <c r="W109" i="4"/>
  <c r="T109" i="4"/>
  <c r="U109" i="4" s="1"/>
  <c r="R109" i="4"/>
  <c r="O109" i="4"/>
  <c r="P109" i="4" s="1"/>
  <c r="M109" i="4"/>
  <c r="J109" i="4"/>
  <c r="K109" i="4" s="1"/>
  <c r="H109" i="4"/>
  <c r="E109" i="4"/>
  <c r="F109" i="4" s="1"/>
  <c r="C109" i="4"/>
  <c r="V105" i="4"/>
  <c r="S105" i="4"/>
  <c r="Q105" i="4"/>
  <c r="N105" i="4"/>
  <c r="L105" i="4"/>
  <c r="K105" i="4"/>
  <c r="J105" i="4"/>
  <c r="V104" i="4"/>
  <c r="S104" i="4"/>
  <c r="Q104" i="4"/>
  <c r="N104" i="4"/>
  <c r="L104" i="4"/>
  <c r="J104" i="4"/>
  <c r="V103" i="4"/>
  <c r="U103" i="4"/>
  <c r="T103" i="4"/>
  <c r="S103" i="4"/>
  <c r="P103" i="4"/>
  <c r="O103" i="4"/>
  <c r="N103" i="4"/>
  <c r="K103" i="4"/>
  <c r="J103" i="4"/>
  <c r="I105" i="4"/>
  <c r="I104" i="4"/>
  <c r="I103" i="4"/>
  <c r="CA88" i="4"/>
  <c r="BU88" i="4"/>
  <c r="BK88" i="4"/>
  <c r="BK87" i="4"/>
  <c r="O61" i="11" s="1"/>
  <c r="O63" i="11" s="1"/>
  <c r="BK86" i="4"/>
  <c r="O94" i="11" s="1"/>
  <c r="BB88" i="4"/>
  <c r="BA88" i="4"/>
  <c r="X88" i="4"/>
  <c r="W88" i="4"/>
  <c r="V88" i="4"/>
  <c r="U88" i="4"/>
  <c r="T88" i="4"/>
  <c r="S88" i="4"/>
  <c r="R88" i="4"/>
  <c r="Q88" i="4"/>
  <c r="P88" i="4"/>
  <c r="O88" i="4"/>
  <c r="N88" i="4"/>
  <c r="M88" i="4"/>
  <c r="L88" i="4"/>
  <c r="K88" i="4"/>
  <c r="J88" i="4"/>
  <c r="I88" i="4"/>
  <c r="H88" i="4"/>
  <c r="G88" i="4"/>
  <c r="F88" i="4"/>
  <c r="E88" i="4"/>
  <c r="D88" i="4"/>
  <c r="C88" i="4"/>
  <c r="AV86" i="4"/>
  <c r="L94" i="11" s="1"/>
  <c r="AQ86" i="4"/>
  <c r="K94" i="11" s="1"/>
  <c r="AL86" i="4"/>
  <c r="J94" i="11" s="1"/>
  <c r="AG86" i="4"/>
  <c r="I94" i="11" s="1"/>
  <c r="AB86" i="4"/>
  <c r="H94" i="11" s="1"/>
  <c r="X86" i="4"/>
  <c r="W86" i="4"/>
  <c r="G94" i="11" s="1"/>
  <c r="V86" i="4"/>
  <c r="U86" i="4"/>
  <c r="T86" i="4"/>
  <c r="S86" i="4"/>
  <c r="R86" i="4"/>
  <c r="F94" i="11" s="1"/>
  <c r="Q86" i="4"/>
  <c r="P86" i="4"/>
  <c r="O86" i="4"/>
  <c r="N86" i="4"/>
  <c r="M86" i="4"/>
  <c r="E94" i="11" s="1"/>
  <c r="L86" i="4"/>
  <c r="K86" i="4"/>
  <c r="J86" i="4"/>
  <c r="I86" i="4"/>
  <c r="H86" i="4"/>
  <c r="D94" i="11" s="1"/>
  <c r="G86" i="4"/>
  <c r="F86" i="4"/>
  <c r="E86" i="4"/>
  <c r="D86" i="4"/>
  <c r="C86" i="4"/>
  <c r="C94" i="11" s="1"/>
  <c r="BK78" i="4"/>
  <c r="BK77" i="4"/>
  <c r="BK76" i="4"/>
  <c r="BK75" i="4"/>
  <c r="BK74" i="4"/>
  <c r="BK73" i="4"/>
  <c r="AX79" i="4"/>
  <c r="AW79" i="4"/>
  <c r="AR79" i="4"/>
  <c r="AO79" i="4"/>
  <c r="AN79" i="4"/>
  <c r="AL78" i="4"/>
  <c r="AL77" i="4"/>
  <c r="AL76" i="4"/>
  <c r="AL75" i="4"/>
  <c r="AL74" i="4"/>
  <c r="AL73" i="4"/>
  <c r="AI79" i="4"/>
  <c r="AL79" i="4" s="1"/>
  <c r="AG79" i="4"/>
  <c r="AG78" i="4"/>
  <c r="AG77" i="4"/>
  <c r="AG76" i="4"/>
  <c r="AG75" i="4"/>
  <c r="AG74" i="4"/>
  <c r="AG73" i="4"/>
  <c r="AB79" i="4"/>
  <c r="AB78" i="4"/>
  <c r="AB77" i="4"/>
  <c r="AB76" i="4"/>
  <c r="AB75" i="4"/>
  <c r="AB74" i="4"/>
  <c r="AB73" i="4"/>
  <c r="W79" i="4"/>
  <c r="W78" i="4"/>
  <c r="W77" i="4"/>
  <c r="W76" i="4"/>
  <c r="W75" i="4"/>
  <c r="W74" i="4"/>
  <c r="W73" i="4"/>
  <c r="R79" i="4"/>
  <c r="R78" i="4"/>
  <c r="R77" i="4"/>
  <c r="R76" i="4"/>
  <c r="R75" i="4"/>
  <c r="R74" i="4"/>
  <c r="R73" i="4"/>
  <c r="M79" i="4"/>
  <c r="M78" i="4"/>
  <c r="M77" i="4"/>
  <c r="M76" i="4"/>
  <c r="M75" i="4"/>
  <c r="M74" i="4"/>
  <c r="M73" i="4"/>
  <c r="H79" i="4"/>
  <c r="H78" i="4"/>
  <c r="H77" i="4"/>
  <c r="H76" i="4"/>
  <c r="H75" i="4"/>
  <c r="H74" i="4"/>
  <c r="H73" i="4"/>
  <c r="BF78" i="4"/>
  <c r="BF77" i="4"/>
  <c r="BF76" i="4"/>
  <c r="BF75" i="4"/>
  <c r="BF74" i="4"/>
  <c r="BF73" i="4"/>
  <c r="BA78" i="4"/>
  <c r="BA77" i="4"/>
  <c r="BA76" i="4"/>
  <c r="BA75" i="4"/>
  <c r="BA74" i="4"/>
  <c r="BA73" i="4"/>
  <c r="AV78" i="4"/>
  <c r="AV77" i="4"/>
  <c r="AV76" i="4"/>
  <c r="AV75" i="4"/>
  <c r="AV74" i="4"/>
  <c r="AV73" i="4"/>
  <c r="AQ78" i="4"/>
  <c r="AQ77" i="4"/>
  <c r="AQ76" i="4"/>
  <c r="AQ75" i="4"/>
  <c r="AQ74" i="4"/>
  <c r="AQ73" i="4"/>
  <c r="BU70" i="4"/>
  <c r="BP70" i="4"/>
  <c r="BP69" i="4"/>
  <c r="BP68" i="4"/>
  <c r="BZ69" i="4"/>
  <c r="BZ68" i="4"/>
  <c r="BT68" i="4"/>
  <c r="BS68" i="4"/>
  <c r="BR68" i="4"/>
  <c r="BI68" i="4"/>
  <c r="BK68" i="4" s="1"/>
  <c r="AL68" i="4"/>
  <c r="AG68" i="4"/>
  <c r="AB68" i="4"/>
  <c r="W68" i="4"/>
  <c r="R68" i="4"/>
  <c r="M68" i="4"/>
  <c r="H68" i="4"/>
  <c r="BZ63" i="4"/>
  <c r="BU63" i="4"/>
  <c r="BU62" i="4"/>
  <c r="BU61" i="4"/>
  <c r="BU60" i="4"/>
  <c r="BU59" i="4"/>
  <c r="BU58" i="4"/>
  <c r="BP62" i="4"/>
  <c r="BP60" i="4"/>
  <c r="BP59" i="4"/>
  <c r="BP58" i="4"/>
  <c r="BO61" i="4"/>
  <c r="BP61" i="4" s="1"/>
  <c r="BK61" i="4"/>
  <c r="BK60" i="4"/>
  <c r="BK59" i="4"/>
  <c r="BK58" i="4"/>
  <c r="AL61" i="4"/>
  <c r="AL60" i="4"/>
  <c r="AL59" i="4"/>
  <c r="AL58" i="4"/>
  <c r="AL57" i="4"/>
  <c r="AG61" i="4"/>
  <c r="AG60" i="4"/>
  <c r="AG59" i="4"/>
  <c r="AG58" i="4"/>
  <c r="AG57" i="4"/>
  <c r="AB61" i="4"/>
  <c r="AB60" i="4"/>
  <c r="AB59" i="4"/>
  <c r="AB58" i="4"/>
  <c r="AB57" i="4"/>
  <c r="W61" i="4"/>
  <c r="W60" i="4"/>
  <c r="W59" i="4"/>
  <c r="W58" i="4"/>
  <c r="W57" i="4"/>
  <c r="R61" i="4"/>
  <c r="R60" i="4"/>
  <c r="R59" i="4"/>
  <c r="R58" i="4"/>
  <c r="R57" i="4"/>
  <c r="M61" i="4"/>
  <c r="M60" i="4"/>
  <c r="M59" i="4"/>
  <c r="M58" i="4"/>
  <c r="M57" i="4"/>
  <c r="H61" i="4"/>
  <c r="H60" i="4"/>
  <c r="H59" i="4"/>
  <c r="H58" i="4"/>
  <c r="H57" i="4"/>
  <c r="BZ58" i="4"/>
  <c r="CB35" i="4"/>
  <c r="CB36" i="4" s="1"/>
  <c r="CA57" i="4"/>
  <c r="BY57" i="4"/>
  <c r="BX57" i="4"/>
  <c r="BW57" i="4"/>
  <c r="BV57" i="4"/>
  <c r="BT57" i="4"/>
  <c r="BS57" i="4"/>
  <c r="BR57" i="4"/>
  <c r="BQ57" i="4"/>
  <c r="BO57" i="4"/>
  <c r="BN57" i="4"/>
  <c r="BM57" i="4"/>
  <c r="BL57" i="4"/>
  <c r="BJ57" i="4"/>
  <c r="BI57" i="4"/>
  <c r="BZ55" i="4"/>
  <c r="BZ54" i="4"/>
  <c r="BZ53" i="4"/>
  <c r="BZ52" i="4"/>
  <c r="BZ51" i="4"/>
  <c r="BZ50" i="4"/>
  <c r="BZ49" i="4"/>
  <c r="CJ49" i="4" s="1"/>
  <c r="BU55" i="4"/>
  <c r="BU52" i="4"/>
  <c r="BU51" i="4"/>
  <c r="BU50" i="4"/>
  <c r="BU49" i="4"/>
  <c r="BP52" i="4"/>
  <c r="BP51" i="4"/>
  <c r="BP50" i="4"/>
  <c r="BP49" i="4"/>
  <c r="BK52" i="4"/>
  <c r="AL52" i="4"/>
  <c r="AG52" i="4"/>
  <c r="AB52" i="4"/>
  <c r="W52" i="4"/>
  <c r="R52" i="4"/>
  <c r="M52" i="4"/>
  <c r="H52" i="4"/>
  <c r="BK50" i="4"/>
  <c r="BK49" i="4"/>
  <c r="AL50" i="4"/>
  <c r="AL49" i="4"/>
  <c r="AL48" i="4"/>
  <c r="AG50" i="4"/>
  <c r="AG49" i="4"/>
  <c r="AG48" i="4"/>
  <c r="AB50" i="4"/>
  <c r="AB49" i="4"/>
  <c r="AB48" i="4"/>
  <c r="W50" i="4"/>
  <c r="W49" i="4"/>
  <c r="W48" i="4"/>
  <c r="R50" i="4"/>
  <c r="R49" i="4"/>
  <c r="R48" i="4"/>
  <c r="M50" i="4"/>
  <c r="M49" i="4"/>
  <c r="M48" i="4"/>
  <c r="H50" i="4"/>
  <c r="H49" i="4"/>
  <c r="H48" i="4"/>
  <c r="CC12" i="4"/>
  <c r="CA48" i="4"/>
  <c r="BY48" i="4"/>
  <c r="BX48" i="4"/>
  <c r="BW48" i="4"/>
  <c r="BV48" i="4"/>
  <c r="BT48" i="4"/>
  <c r="BS48" i="4"/>
  <c r="BR48" i="4"/>
  <c r="BQ48" i="4"/>
  <c r="BO48" i="4"/>
  <c r="BN48" i="4"/>
  <c r="BM48" i="4"/>
  <c r="BL48" i="4"/>
  <c r="BJ48" i="4"/>
  <c r="BI48" i="4"/>
  <c r="BZ46" i="4"/>
  <c r="BZ45" i="4"/>
  <c r="BZ44" i="4"/>
  <c r="BU46" i="4"/>
  <c r="BU45" i="4"/>
  <c r="BU44" i="4"/>
  <c r="BO45" i="4"/>
  <c r="BP45" i="4" s="1"/>
  <c r="BK45" i="4"/>
  <c r="BK44" i="4"/>
  <c r="AL45" i="4"/>
  <c r="AL44" i="4"/>
  <c r="AL43" i="4"/>
  <c r="AG45" i="4"/>
  <c r="AG44" i="4"/>
  <c r="AG43" i="4"/>
  <c r="AB45" i="4"/>
  <c r="AB44" i="4"/>
  <c r="AB43" i="4"/>
  <c r="W45" i="4"/>
  <c r="W44" i="4"/>
  <c r="W43" i="4"/>
  <c r="R45" i="4"/>
  <c r="R44" i="4"/>
  <c r="R43" i="4"/>
  <c r="M45" i="4"/>
  <c r="M44" i="4"/>
  <c r="M43" i="4"/>
  <c r="H45" i="4"/>
  <c r="H44" i="4"/>
  <c r="H43" i="4"/>
  <c r="BP44" i="4"/>
  <c r="CA43" i="4"/>
  <c r="BY43" i="4"/>
  <c r="BX43" i="4"/>
  <c r="BW43" i="4"/>
  <c r="BV43" i="4"/>
  <c r="BT43" i="4"/>
  <c r="BS43" i="4"/>
  <c r="BR43" i="4"/>
  <c r="BQ43" i="4"/>
  <c r="BN43" i="4"/>
  <c r="BM43" i="4"/>
  <c r="BL43" i="4"/>
  <c r="BJ43" i="4"/>
  <c r="BI43" i="4"/>
  <c r="ER37" i="4"/>
  <c r="EM37" i="4"/>
  <c r="EH37" i="4"/>
  <c r="EC37" i="4"/>
  <c r="DX37" i="4"/>
  <c r="DS37" i="4"/>
  <c r="DN37" i="4"/>
  <c r="DI37" i="4"/>
  <c r="DD37" i="4"/>
  <c r="CY37" i="4"/>
  <c r="CT37" i="4"/>
  <c r="CO37" i="4"/>
  <c r="AU37" i="4"/>
  <c r="AU138" i="4" s="1"/>
  <c r="AT37" i="4"/>
  <c r="AT138" i="4" s="1"/>
  <c r="AS37" i="4"/>
  <c r="AS138" i="4" s="1"/>
  <c r="AP37" i="4"/>
  <c r="AP138" i="4" s="1"/>
  <c r="AK37" i="4"/>
  <c r="AK138" i="4" s="1"/>
  <c r="AI37" i="4"/>
  <c r="AI138" i="4" s="1"/>
  <c r="AI35" i="4"/>
  <c r="AI137" i="4" s="1"/>
  <c r="AG37" i="4"/>
  <c r="AB37" i="4"/>
  <c r="AH35" i="4"/>
  <c r="AH137" i="4" s="1"/>
  <c r="CA35" i="4"/>
  <c r="BY35" i="4"/>
  <c r="BX35" i="4"/>
  <c r="BX37" i="4" s="1"/>
  <c r="BW35" i="4"/>
  <c r="BV35" i="4"/>
  <c r="BT35" i="4"/>
  <c r="BS35" i="4"/>
  <c r="BR35" i="4"/>
  <c r="BQ35" i="4"/>
  <c r="BO35" i="4"/>
  <c r="BN35" i="4"/>
  <c r="BM35" i="4"/>
  <c r="BM37" i="4" s="1"/>
  <c r="BL35" i="4"/>
  <c r="BL37" i="4" s="1"/>
  <c r="BJ35" i="4"/>
  <c r="BI35" i="4"/>
  <c r="BI37" i="4" s="1"/>
  <c r="BH35" i="4"/>
  <c r="BG35" i="4"/>
  <c r="BE35" i="4"/>
  <c r="BE37" i="4" s="1"/>
  <c r="BD35" i="4"/>
  <c r="BC35" i="4"/>
  <c r="BB35" i="4"/>
  <c r="AZ35" i="4"/>
  <c r="AY35" i="4"/>
  <c r="AX35" i="4"/>
  <c r="AX137" i="4" s="1"/>
  <c r="AW35" i="4"/>
  <c r="AW137" i="4" s="1"/>
  <c r="AU35" i="4"/>
  <c r="AU137" i="4" s="1"/>
  <c r="AT35" i="4"/>
  <c r="AT137" i="4" s="1"/>
  <c r="AS35" i="4"/>
  <c r="AS137" i="4" s="1"/>
  <c r="AR35" i="4"/>
  <c r="AR137" i="4" s="1"/>
  <c r="AP35" i="4"/>
  <c r="AP137" i="4" s="1"/>
  <c r="AO35" i="4"/>
  <c r="AO137" i="4" s="1"/>
  <c r="AN35" i="4"/>
  <c r="AN137" i="4" s="1"/>
  <c r="AM35" i="4"/>
  <c r="AM137" i="4" s="1"/>
  <c r="AK35" i="4"/>
  <c r="AK137" i="4" s="1"/>
  <c r="AJ35" i="4"/>
  <c r="AJ137" i="4" s="1"/>
  <c r="AF35" i="4"/>
  <c r="AF137" i="4" s="1"/>
  <c r="AE35" i="4"/>
  <c r="AE137" i="4" s="1"/>
  <c r="AD35" i="4"/>
  <c r="AD137" i="4" s="1"/>
  <c r="AC35" i="4"/>
  <c r="AA35" i="4"/>
  <c r="AA137" i="4" s="1"/>
  <c r="Z35" i="4"/>
  <c r="Z137" i="4" s="1"/>
  <c r="Y35" i="4"/>
  <c r="Y137" i="4" s="1"/>
  <c r="X35" i="4"/>
  <c r="AW279" i="12" l="1"/>
  <c r="AX279" i="12" s="1"/>
  <c r="AR325" i="12"/>
  <c r="AR326" i="12" s="1"/>
  <c r="AX337" i="12"/>
  <c r="AX338" i="12" s="1"/>
  <c r="AW336" i="12"/>
  <c r="T95" i="14"/>
  <c r="T206" i="14"/>
  <c r="F30" i="18"/>
  <c r="D36" i="18"/>
  <c r="D53" i="18" s="1"/>
  <c r="BZ35" i="4"/>
  <c r="CF49" i="4"/>
  <c r="CH49" i="4"/>
  <c r="CH48" i="4" s="1"/>
  <c r="CG49" i="4"/>
  <c r="CG48" i="4" s="1"/>
  <c r="BU35" i="4"/>
  <c r="CG159" i="1"/>
  <c r="T20" i="14"/>
  <c r="T77" i="14" s="1"/>
  <c r="S56" i="14"/>
  <c r="AM41" i="14"/>
  <c r="AF129" i="4"/>
  <c r="AG129" i="4" s="1"/>
  <c r="BF129" i="4"/>
  <c r="BL109" i="4"/>
  <c r="AN97" i="12"/>
  <c r="AO97" i="12" s="1"/>
  <c r="AP97" i="12" s="1"/>
  <c r="AQ97" i="12" s="1"/>
  <c r="AR97" i="12" s="1"/>
  <c r="AS97" i="12" s="1"/>
  <c r="AT97" i="12" s="1"/>
  <c r="AU97" i="12" s="1"/>
  <c r="AV97" i="12" s="1"/>
  <c r="AW97" i="12" s="1"/>
  <c r="AX97" i="12" s="1"/>
  <c r="AY97" i="12" s="1"/>
  <c r="AZ97" i="12" s="1"/>
  <c r="BA97" i="12" s="1"/>
  <c r="AO95" i="12"/>
  <c r="AP95" i="12" s="1"/>
  <c r="AQ95" i="12" s="1"/>
  <c r="AR95" i="12" s="1"/>
  <c r="AS95" i="12" s="1"/>
  <c r="AT95" i="12" s="1"/>
  <c r="AU95" i="12" s="1"/>
  <c r="AV95" i="12" s="1"/>
  <c r="AW95" i="12" s="1"/>
  <c r="AX95" i="12" s="1"/>
  <c r="AY95" i="12" s="1"/>
  <c r="AZ95" i="12" s="1"/>
  <c r="BA95" i="12" s="1"/>
  <c r="AO96" i="12"/>
  <c r="AP96" i="12" s="1"/>
  <c r="AQ96" i="12" s="1"/>
  <c r="AR96" i="12" s="1"/>
  <c r="AS96" i="12" s="1"/>
  <c r="AT96" i="12" s="1"/>
  <c r="AU96" i="12" s="1"/>
  <c r="AV96" i="12" s="1"/>
  <c r="AW96" i="12" s="1"/>
  <c r="AX96" i="12" s="1"/>
  <c r="AY96" i="12" s="1"/>
  <c r="AZ96" i="12" s="1"/>
  <c r="BA96" i="12" s="1"/>
  <c r="AN93" i="12"/>
  <c r="AO93" i="12" s="1"/>
  <c r="AP93" i="12" s="1"/>
  <c r="AQ93" i="12" s="1"/>
  <c r="AR93" i="12" s="1"/>
  <c r="AS93" i="12" s="1"/>
  <c r="AT93" i="12" s="1"/>
  <c r="AU93" i="12" s="1"/>
  <c r="AV93" i="12" s="1"/>
  <c r="AW93" i="12" s="1"/>
  <c r="AX93" i="12" s="1"/>
  <c r="AY93" i="12" s="1"/>
  <c r="AZ93" i="12" s="1"/>
  <c r="BA93" i="12" s="1"/>
  <c r="AO92" i="12"/>
  <c r="AP92" i="12" s="1"/>
  <c r="AQ92" i="12" s="1"/>
  <c r="AR92" i="12" s="1"/>
  <c r="AS92" i="12" s="1"/>
  <c r="AT92" i="12" s="1"/>
  <c r="AU92" i="12" s="1"/>
  <c r="AV92" i="12" s="1"/>
  <c r="AW92" i="12" s="1"/>
  <c r="AX92" i="12" s="1"/>
  <c r="AY92" i="12" s="1"/>
  <c r="AZ92" i="12" s="1"/>
  <c r="BA92" i="12" s="1"/>
  <c r="AO91" i="12"/>
  <c r="AP91" i="12" s="1"/>
  <c r="AQ91" i="12" s="1"/>
  <c r="AR91" i="12" s="1"/>
  <c r="AS91" i="12" s="1"/>
  <c r="AT91" i="12" s="1"/>
  <c r="AU91" i="12" s="1"/>
  <c r="AV91" i="12" s="1"/>
  <c r="AW91" i="12" s="1"/>
  <c r="AX91" i="12" s="1"/>
  <c r="AY91" i="12" s="1"/>
  <c r="AZ91" i="12" s="1"/>
  <c r="BA91" i="12" s="1"/>
  <c r="Y129" i="4"/>
  <c r="AB129" i="4" s="1"/>
  <c r="BU129" i="4"/>
  <c r="F115" i="10"/>
  <c r="J115" i="10"/>
  <c r="N115" i="10"/>
  <c r="R115" i="10"/>
  <c r="D168" i="10"/>
  <c r="Q184" i="10"/>
  <c r="J20" i="11"/>
  <c r="J57" i="11" s="1"/>
  <c r="J60" i="11" s="1"/>
  <c r="J64" i="11" s="1"/>
  <c r="V10" i="11"/>
  <c r="Z10" i="11"/>
  <c r="AD10" i="11"/>
  <c r="F20" i="11"/>
  <c r="F52" i="10" s="1"/>
  <c r="U19" i="11"/>
  <c r="Y19" i="11"/>
  <c r="AC19" i="11"/>
  <c r="K28" i="11"/>
  <c r="K47" i="11" s="1"/>
  <c r="F28" i="11"/>
  <c r="E84" i="11"/>
  <c r="D72" i="11"/>
  <c r="M84" i="11"/>
  <c r="M125" i="11"/>
  <c r="M131" i="11"/>
  <c r="M134" i="11"/>
  <c r="M140" i="11"/>
  <c r="D45" i="14"/>
  <c r="D47" i="14" s="1"/>
  <c r="K100" i="14"/>
  <c r="AE124" i="12"/>
  <c r="S102" i="12"/>
  <c r="X102" i="12"/>
  <c r="AC102" i="12"/>
  <c r="AH102" i="12"/>
  <c r="AM102" i="12"/>
  <c r="I234" i="12"/>
  <c r="I237" i="12" s="1"/>
  <c r="AQ266" i="12"/>
  <c r="AT274" i="12"/>
  <c r="N129" i="12"/>
  <c r="N165" i="12" s="1"/>
  <c r="J91" i="18"/>
  <c r="H11" i="19"/>
  <c r="G11" i="19" s="1"/>
  <c r="F11" i="19" s="1"/>
  <c r="E11" i="19" s="1"/>
  <c r="D11" i="19" s="1"/>
  <c r="C11" i="19" s="1"/>
  <c r="E31" i="19"/>
  <c r="L84" i="19"/>
  <c r="M93" i="19"/>
  <c r="I11" i="20"/>
  <c r="J11" i="20" s="1"/>
  <c r="K11" i="20" s="1"/>
  <c r="L11" i="20" s="1"/>
  <c r="M11" i="20" s="1"/>
  <c r="N11" i="20" s="1"/>
  <c r="O11" i="20" s="1"/>
  <c r="P11" i="20" s="1"/>
  <c r="Q11" i="20" s="1"/>
  <c r="R11" i="20" s="1"/>
  <c r="S11" i="20" s="1"/>
  <c r="T11" i="20" s="1"/>
  <c r="U11" i="20" s="1"/>
  <c r="V11" i="20" s="1"/>
  <c r="W11" i="20" s="1"/>
  <c r="X11" i="20" s="1"/>
  <c r="Y11" i="20" s="1"/>
  <c r="Z11" i="20" s="1"/>
  <c r="E32" i="20"/>
  <c r="K91" i="20"/>
  <c r="W10" i="11"/>
  <c r="AA10" i="11"/>
  <c r="AE10" i="11"/>
  <c r="V19" i="11"/>
  <c r="Z19" i="11"/>
  <c r="AD19" i="11"/>
  <c r="P45" i="11"/>
  <c r="F47" i="14"/>
  <c r="N47" i="14"/>
  <c r="K82" i="19"/>
  <c r="J82" i="19" s="1"/>
  <c r="G19" i="10"/>
  <c r="E41" i="10"/>
  <c r="I41" i="10"/>
  <c r="K79" i="10"/>
  <c r="O79" i="10"/>
  <c r="D115" i="10"/>
  <c r="H115" i="10"/>
  <c r="L115" i="10"/>
  <c r="P115" i="10"/>
  <c r="N152" i="10"/>
  <c r="R152" i="10"/>
  <c r="E168" i="10"/>
  <c r="I168" i="10"/>
  <c r="N168" i="10"/>
  <c r="R168" i="10"/>
  <c r="O184" i="10"/>
  <c r="R188" i="10"/>
  <c r="R189" i="10" s="1"/>
  <c r="T10" i="11"/>
  <c r="X10" i="11"/>
  <c r="AB10" i="11"/>
  <c r="AF10" i="11"/>
  <c r="W19" i="11"/>
  <c r="AA19" i="11"/>
  <c r="AE19" i="11"/>
  <c r="C84" i="11"/>
  <c r="G84" i="11"/>
  <c r="F72" i="11"/>
  <c r="E75" i="11"/>
  <c r="E77" i="11"/>
  <c r="J163" i="11"/>
  <c r="L170" i="11"/>
  <c r="L174" i="11" s="1"/>
  <c r="N196" i="11"/>
  <c r="N200" i="11" s="1"/>
  <c r="Z72" i="1"/>
  <c r="AE72" i="1"/>
  <c r="AJ72" i="1"/>
  <c r="AO72" i="1"/>
  <c r="AT72" i="1"/>
  <c r="AY72" i="1"/>
  <c r="BD72" i="1"/>
  <c r="T34" i="14"/>
  <c r="T202" i="14" s="1"/>
  <c r="E97" i="14"/>
  <c r="L45" i="14"/>
  <c r="L47" i="14" s="1"/>
  <c r="R101" i="14"/>
  <c r="M100" i="14"/>
  <c r="O137" i="14"/>
  <c r="O151" i="14"/>
  <c r="AF19" i="12"/>
  <c r="AK19" i="12"/>
  <c r="AO100" i="12"/>
  <c r="AP100" i="12" s="1"/>
  <c r="AQ100" i="12" s="1"/>
  <c r="AR100" i="12" s="1"/>
  <c r="AS100" i="12" s="1"/>
  <c r="AT100" i="12" s="1"/>
  <c r="AU100" i="12" s="1"/>
  <c r="AV100" i="12" s="1"/>
  <c r="AW100" i="12" s="1"/>
  <c r="AX100" i="12" s="1"/>
  <c r="AY100" i="12" s="1"/>
  <c r="AZ100" i="12" s="1"/>
  <c r="BA100" i="12" s="1"/>
  <c r="AV119" i="12"/>
  <c r="R124" i="12"/>
  <c r="W124" i="12"/>
  <c r="AB124" i="12"/>
  <c r="AG124" i="12"/>
  <c r="AM118" i="12"/>
  <c r="S149" i="12"/>
  <c r="X149" i="12"/>
  <c r="AP263" i="12"/>
  <c r="AV278" i="12"/>
  <c r="AQ282" i="12"/>
  <c r="AQ324" i="12"/>
  <c r="AQ328" i="12"/>
  <c r="AS332" i="12"/>
  <c r="BU68" i="4"/>
  <c r="BO43" i="4"/>
  <c r="R89" i="10"/>
  <c r="Q19" i="10"/>
  <c r="F41" i="10"/>
  <c r="H79" i="10"/>
  <c r="L79" i="10"/>
  <c r="P79" i="10"/>
  <c r="E112" i="10"/>
  <c r="E53" i="10" s="1"/>
  <c r="P184" i="10"/>
  <c r="I20" i="11"/>
  <c r="M20" i="11"/>
  <c r="U10" i="11"/>
  <c r="Y10" i="11"/>
  <c r="AC10" i="11"/>
  <c r="T19" i="11"/>
  <c r="X19" i="11"/>
  <c r="AB19" i="11"/>
  <c r="R45" i="11"/>
  <c r="D84" i="11"/>
  <c r="F75" i="11"/>
  <c r="G91" i="11"/>
  <c r="C83" i="11"/>
  <c r="G83" i="11"/>
  <c r="P102" i="11"/>
  <c r="L149" i="11"/>
  <c r="I170" i="11"/>
  <c r="I174" i="11" s="1"/>
  <c r="M170" i="11"/>
  <c r="M174" i="11" s="1"/>
  <c r="O196" i="11"/>
  <c r="O200" i="11" s="1"/>
  <c r="O202" i="11" s="1"/>
  <c r="AF3" i="1"/>
  <c r="T37" i="14"/>
  <c r="M97" i="14"/>
  <c r="N100" i="14"/>
  <c r="AG19" i="12"/>
  <c r="AL19" i="12"/>
  <c r="AW119" i="12"/>
  <c r="T124" i="12"/>
  <c r="Y124" i="12"/>
  <c r="AD124" i="12"/>
  <c r="AI124" i="12"/>
  <c r="AM114" i="12"/>
  <c r="U167" i="12"/>
  <c r="U379" i="12" s="1"/>
  <c r="AD166" i="12"/>
  <c r="AD378" i="12" s="1"/>
  <c r="S170" i="12"/>
  <c r="AO177" i="12"/>
  <c r="AO387" i="12" s="1"/>
  <c r="AW278" i="12"/>
  <c r="AR282" i="12"/>
  <c r="AO317" i="12"/>
  <c r="AP317" i="12" s="1"/>
  <c r="AQ317" i="12" s="1"/>
  <c r="AR317" i="12" s="1"/>
  <c r="AS317" i="12" s="1"/>
  <c r="AT317" i="12" s="1"/>
  <c r="AU317" i="12" s="1"/>
  <c r="AV317" i="12" s="1"/>
  <c r="AW317" i="12" s="1"/>
  <c r="AX317" i="12" s="1"/>
  <c r="AY317" i="12" s="1"/>
  <c r="AZ317" i="12" s="1"/>
  <c r="BA317" i="12" s="1"/>
  <c r="AR324" i="12"/>
  <c r="AR328" i="12"/>
  <c r="AT332" i="12"/>
  <c r="L21" i="12"/>
  <c r="L27" i="12" s="1"/>
  <c r="E5" i="18"/>
  <c r="F5" i="18" s="1"/>
  <c r="G5" i="18" s="1"/>
  <c r="H5" i="18" s="1"/>
  <c r="I5" i="18" s="1"/>
  <c r="C13" i="19"/>
  <c r="D58" i="19"/>
  <c r="CJ44" i="4"/>
  <c r="BK48" i="4"/>
  <c r="BK57" i="4"/>
  <c r="AL128" i="4"/>
  <c r="AG115" i="4"/>
  <c r="BM109" i="4"/>
  <c r="BN109" i="4"/>
  <c r="AQ137" i="4"/>
  <c r="BZ43" i="4"/>
  <c r="BP57" i="4"/>
  <c r="T165" i="10"/>
  <c r="T17" i="10" s="1"/>
  <c r="AH3" i="1"/>
  <c r="F38" i="18"/>
  <c r="N85" i="20"/>
  <c r="N86" i="20" s="1"/>
  <c r="E36" i="18"/>
  <c r="D38" i="18"/>
  <c r="N39" i="18"/>
  <c r="N41" i="18" s="1"/>
  <c r="F36" i="18"/>
  <c r="AP132" i="1"/>
  <c r="C195" i="1"/>
  <c r="C172" i="1" s="1"/>
  <c r="AC68" i="1"/>
  <c r="AH68" i="1"/>
  <c r="AM68" i="1"/>
  <c r="AM84" i="1" s="1"/>
  <c r="AM89" i="1" s="1"/>
  <c r="AM130" i="1" s="1"/>
  <c r="AM146" i="1" s="1"/>
  <c r="AZ132" i="1"/>
  <c r="BF168" i="1"/>
  <c r="BF191" i="1" s="1"/>
  <c r="BH68" i="1"/>
  <c r="BK68" i="1" s="1"/>
  <c r="AA72" i="1"/>
  <c r="AF72" i="1"/>
  <c r="AK72" i="1"/>
  <c r="AP72" i="1"/>
  <c r="AU72" i="1"/>
  <c r="AZ72" i="1"/>
  <c r="BE72" i="1"/>
  <c r="BL123" i="1"/>
  <c r="BZ123" i="1"/>
  <c r="AW68" i="1"/>
  <c r="AW84" i="1" s="1"/>
  <c r="AW89" i="1" s="1"/>
  <c r="AW130" i="1" s="1"/>
  <c r="AW146" i="1" s="1"/>
  <c r="BB68" i="1"/>
  <c r="CF156" i="1"/>
  <c r="CG156" i="1" s="1"/>
  <c r="CH156" i="1" s="1"/>
  <c r="CI156" i="1" s="1"/>
  <c r="J130" i="1"/>
  <c r="J146" i="1" s="1"/>
  <c r="I130" i="1"/>
  <c r="I146" i="1" s="1"/>
  <c r="BD68" i="1"/>
  <c r="Y68" i="1"/>
  <c r="AI68" i="1"/>
  <c r="AN68" i="1"/>
  <c r="AN84" i="1" s="1"/>
  <c r="AN89" i="1" s="1"/>
  <c r="AN130" i="1" s="1"/>
  <c r="AN146" i="1" s="1"/>
  <c r="AS68" i="1"/>
  <c r="BF125" i="1"/>
  <c r="AX68" i="1"/>
  <c r="AX84" i="1" s="1"/>
  <c r="AX89" i="1" s="1"/>
  <c r="AX130" i="1" s="1"/>
  <c r="AX146" i="1" s="1"/>
  <c r="BC68" i="1"/>
  <c r="BC84" i="1" s="1"/>
  <c r="BC89" i="1" s="1"/>
  <c r="BC130" i="1" s="1"/>
  <c r="BC146" i="1" s="1"/>
  <c r="AW72" i="1"/>
  <c r="BB72" i="1"/>
  <c r="N136" i="14"/>
  <c r="N176" i="14" s="1"/>
  <c r="N134" i="14"/>
  <c r="N174" i="14" s="1"/>
  <c r="N125" i="14" s="1"/>
  <c r="N132" i="14"/>
  <c r="N172" i="14" s="1"/>
  <c r="BC123" i="1"/>
  <c r="O130" i="1"/>
  <c r="O146" i="1" s="1"/>
  <c r="R142" i="1"/>
  <c r="J437" i="12"/>
  <c r="K106" i="18"/>
  <c r="BR89" i="1"/>
  <c r="BR130" i="1" s="1"/>
  <c r="AF68" i="1"/>
  <c r="AK68" i="1"/>
  <c r="AP68" i="1"/>
  <c r="AP84" i="1" s="1"/>
  <c r="AP89" i="1" s="1"/>
  <c r="AP130" i="1" s="1"/>
  <c r="AU68" i="1"/>
  <c r="AU84" i="1" s="1"/>
  <c r="AU89" i="1" s="1"/>
  <c r="AU130" i="1" s="1"/>
  <c r="AZ68" i="1"/>
  <c r="BE68" i="1"/>
  <c r="BE84" i="1" s="1"/>
  <c r="BE89" i="1" s="1"/>
  <c r="BE130" i="1" s="1"/>
  <c r="Y72" i="1"/>
  <c r="AD72" i="1"/>
  <c r="AI72" i="1"/>
  <c r="AN72" i="1"/>
  <c r="AS72" i="1"/>
  <c r="AX72" i="1"/>
  <c r="BC72" i="1"/>
  <c r="AV74" i="1"/>
  <c r="BP74" i="1"/>
  <c r="AU132" i="1"/>
  <c r="N89" i="1"/>
  <c r="N130" i="1" s="1"/>
  <c r="N146" i="1" s="1"/>
  <c r="AA68" i="1"/>
  <c r="AA84" i="1" s="1"/>
  <c r="AA89" i="1" s="1"/>
  <c r="AA130" i="1" s="1"/>
  <c r="AA146" i="1" s="1"/>
  <c r="AB71" i="1"/>
  <c r="AG71" i="1"/>
  <c r="AL71" i="1"/>
  <c r="AQ71" i="1"/>
  <c r="AV71" i="1"/>
  <c r="BA71" i="1"/>
  <c r="BF71" i="1"/>
  <c r="AD68" i="1"/>
  <c r="AD84" i="1" s="1"/>
  <c r="AJ68" i="1"/>
  <c r="AJ84" i="1" s="1"/>
  <c r="AJ89" i="1" s="1"/>
  <c r="AJ130" i="1" s="1"/>
  <c r="AJ146" i="1" s="1"/>
  <c r="AO68" i="1"/>
  <c r="AO84" i="1" s="1"/>
  <c r="AO89" i="1" s="1"/>
  <c r="AO130" i="1" s="1"/>
  <c r="AO146" i="1" s="1"/>
  <c r="AT68" i="1"/>
  <c r="AT84" i="1" s="1"/>
  <c r="AT89" i="1" s="1"/>
  <c r="AT130" i="1" s="1"/>
  <c r="AT146" i="1" s="1"/>
  <c r="AY68" i="1"/>
  <c r="AY84" i="1" s="1"/>
  <c r="AY89" i="1" s="1"/>
  <c r="AY130" i="1" s="1"/>
  <c r="AY146" i="1" s="1"/>
  <c r="AH74" i="1"/>
  <c r="BP60" i="1"/>
  <c r="BP58" i="1" s="1"/>
  <c r="BP186" i="1" s="1"/>
  <c r="BZ61" i="1"/>
  <c r="BZ58" i="1" s="1"/>
  <c r="R8" i="1"/>
  <c r="BF23" i="1"/>
  <c r="BF179" i="1" s="1"/>
  <c r="BM48" i="1"/>
  <c r="AQ144" i="1"/>
  <c r="BZ51" i="1"/>
  <c r="BZ48" i="1" s="1"/>
  <c r="BZ184" i="1" s="1"/>
  <c r="M118" i="1"/>
  <c r="M192" i="1" s="1"/>
  <c r="AD13" i="1"/>
  <c r="Z68" i="1"/>
  <c r="AE68" i="1"/>
  <c r="AE84" i="1" s="1"/>
  <c r="AE89" i="1" s="1"/>
  <c r="AE130" i="1" s="1"/>
  <c r="AE146" i="1" s="1"/>
  <c r="X72" i="1"/>
  <c r="AC72" i="1"/>
  <c r="AH72" i="1"/>
  <c r="AM72" i="1"/>
  <c r="AQ72" i="1" s="1"/>
  <c r="AR72" i="1"/>
  <c r="R128" i="1"/>
  <c r="R123" i="1" s="1"/>
  <c r="C465" i="12"/>
  <c r="N15" i="1"/>
  <c r="R15" i="1" s="1"/>
  <c r="R13" i="1" s="1"/>
  <c r="R177" i="1" s="1"/>
  <c r="BP123" i="1"/>
  <c r="AG15" i="1"/>
  <c r="BU23" i="1"/>
  <c r="BU28" i="1"/>
  <c r="AG76" i="1"/>
  <c r="AG74" i="1" s="1"/>
  <c r="J106" i="18"/>
  <c r="O463" i="12"/>
  <c r="T463" i="12"/>
  <c r="Y463" i="12"/>
  <c r="AD463" i="12"/>
  <c r="AI463" i="12"/>
  <c r="BA132" i="1"/>
  <c r="BU135" i="1"/>
  <c r="BT135" i="1" s="1"/>
  <c r="BY135" i="1" s="1"/>
  <c r="CD135" i="1" s="1"/>
  <c r="BZ53" i="1"/>
  <c r="BZ185" i="1" s="1"/>
  <c r="BP126" i="1"/>
  <c r="AL8" i="1"/>
  <c r="AL176" i="1" s="1"/>
  <c r="AB13" i="1"/>
  <c r="BZ13" i="1"/>
  <c r="BP23" i="1"/>
  <c r="BZ38" i="1"/>
  <c r="BZ119" i="1"/>
  <c r="BU126" i="1"/>
  <c r="BQ171" i="1"/>
  <c r="BQ194" i="1" s="1"/>
  <c r="R206" i="11"/>
  <c r="V206" i="11"/>
  <c r="Z206" i="11"/>
  <c r="AD206" i="11"/>
  <c r="BX109" i="4"/>
  <c r="C115" i="10"/>
  <c r="M143" i="11"/>
  <c r="BT109" i="4"/>
  <c r="BQ109" i="4"/>
  <c r="BS109" i="4"/>
  <c r="O144" i="11"/>
  <c r="N143" i="11"/>
  <c r="S152" i="11"/>
  <c r="CE128" i="4"/>
  <c r="CE129" i="4" s="1"/>
  <c r="D122" i="10"/>
  <c r="E122" i="10" s="1"/>
  <c r="F122" i="10" s="1"/>
  <c r="G122" i="10" s="1"/>
  <c r="H122" i="10" s="1"/>
  <c r="I122" i="10" s="1"/>
  <c r="J122" i="10" s="1"/>
  <c r="K122" i="10" s="1"/>
  <c r="L122" i="10" s="1"/>
  <c r="M122" i="10" s="1"/>
  <c r="N122" i="10" s="1"/>
  <c r="O122" i="10" s="1"/>
  <c r="P122" i="10" s="1"/>
  <c r="Q122" i="10" s="1"/>
  <c r="R122" i="10" s="1"/>
  <c r="S122" i="10" s="1"/>
  <c r="T122" i="10" s="1"/>
  <c r="U122" i="10" s="1"/>
  <c r="V122" i="10" s="1"/>
  <c r="W122" i="10" s="1"/>
  <c r="E121" i="10"/>
  <c r="F121" i="10" s="1"/>
  <c r="G121" i="10" s="1"/>
  <c r="BC109" i="4"/>
  <c r="BG109" i="4"/>
  <c r="BP129" i="4"/>
  <c r="BZ129" i="4"/>
  <c r="R53" i="10"/>
  <c r="I115" i="10"/>
  <c r="M115" i="10"/>
  <c r="Q115" i="10"/>
  <c r="O168" i="10"/>
  <c r="Q102" i="11"/>
  <c r="I149" i="11"/>
  <c r="M128" i="11"/>
  <c r="M149" i="11" s="1"/>
  <c r="M146" i="11"/>
  <c r="S206" i="11"/>
  <c r="W206" i="11"/>
  <c r="AA206" i="11"/>
  <c r="AE206" i="11"/>
  <c r="BB109" i="4"/>
  <c r="N131" i="11"/>
  <c r="T206" i="11"/>
  <c r="AF206" i="11"/>
  <c r="BD109" i="4"/>
  <c r="X206" i="11"/>
  <c r="AB206" i="11"/>
  <c r="BV109" i="4"/>
  <c r="BZ131" i="4"/>
  <c r="BX131" i="4" s="1"/>
  <c r="P53" i="10"/>
  <c r="G115" i="10"/>
  <c r="K115" i="10"/>
  <c r="O115" i="10"/>
  <c r="Q168" i="10"/>
  <c r="CA131" i="4"/>
  <c r="R102" i="11"/>
  <c r="K149" i="11"/>
  <c r="U206" i="11"/>
  <c r="Y206" i="11"/>
  <c r="AC206" i="11"/>
  <c r="CF121" i="1"/>
  <c r="AO313" i="12"/>
  <c r="AP313" i="12" s="1"/>
  <c r="N79" i="19"/>
  <c r="N81" i="19" s="1"/>
  <c r="N80" i="19" s="1"/>
  <c r="AT53" i="12"/>
  <c r="AT54" i="12" s="1"/>
  <c r="AS54" i="12"/>
  <c r="AV56" i="12"/>
  <c r="AO111" i="12"/>
  <c r="AO48" i="12"/>
  <c r="AP50" i="12"/>
  <c r="AP48" i="12"/>
  <c r="AO50" i="12"/>
  <c r="AO44" i="12"/>
  <c r="AQ45" i="12"/>
  <c r="AP44" i="12"/>
  <c r="BU43" i="4"/>
  <c r="M115" i="4"/>
  <c r="M124" i="4" s="1"/>
  <c r="O95" i="11"/>
  <c r="O112" i="11" s="1"/>
  <c r="BK43" i="4"/>
  <c r="BZ57" i="4"/>
  <c r="BZ48" i="4"/>
  <c r="H115" i="4"/>
  <c r="H124" i="4" s="1"/>
  <c r="AB115" i="4"/>
  <c r="AB124" i="4" s="1"/>
  <c r="AV115" i="4"/>
  <c r="AV124" i="4" s="1"/>
  <c r="AQ128" i="4"/>
  <c r="BA128" i="4"/>
  <c r="BU48" i="4"/>
  <c r="BU57" i="4"/>
  <c r="R115" i="4"/>
  <c r="R124" i="4" s="1"/>
  <c r="AL115" i="4"/>
  <c r="AL124" i="4" s="1"/>
  <c r="AV128" i="4"/>
  <c r="BP48" i="4"/>
  <c r="W115" i="4"/>
  <c r="W124" i="4" s="1"/>
  <c r="AQ115" i="4"/>
  <c r="AQ124" i="4" s="1"/>
  <c r="CJ58" i="4"/>
  <c r="L109" i="4"/>
  <c r="CC18" i="4"/>
  <c r="CH105" i="4" s="1"/>
  <c r="G109" i="4"/>
  <c r="BK127" i="4"/>
  <c r="AG124" i="4"/>
  <c r="V109" i="4"/>
  <c r="H137" i="4"/>
  <c r="M137" i="4"/>
  <c r="R137" i="4"/>
  <c r="W137" i="4"/>
  <c r="BP43" i="4"/>
  <c r="Q109" i="4"/>
  <c r="AF109" i="4"/>
  <c r="H138" i="4"/>
  <c r="M138" i="4"/>
  <c r="R138" i="4"/>
  <c r="W138" i="4"/>
  <c r="AB138" i="4"/>
  <c r="AG138" i="4"/>
  <c r="CE171" i="1"/>
  <c r="CE194" i="1" s="1"/>
  <c r="BV171" i="1"/>
  <c r="BV194" i="1" s="1"/>
  <c r="BS89" i="1"/>
  <c r="BS130" i="1" s="1"/>
  <c r="BX89" i="1"/>
  <c r="BX130" i="1" s="1"/>
  <c r="M15" i="1"/>
  <c r="K105" i="19"/>
  <c r="W68" i="1"/>
  <c r="BK119" i="1"/>
  <c r="R132" i="1"/>
  <c r="P463" i="12"/>
  <c r="U463" i="12"/>
  <c r="Z463" i="12"/>
  <c r="AE463" i="12"/>
  <c r="AJ463" i="12"/>
  <c r="BT89" i="1"/>
  <c r="BT130" i="1" s="1"/>
  <c r="S440" i="12"/>
  <c r="W13" i="1"/>
  <c r="W177" i="1" s="1"/>
  <c r="BU13" i="1"/>
  <c r="BZ33" i="1"/>
  <c r="BZ181" i="1" s="1"/>
  <c r="BP48" i="1"/>
  <c r="BP184" i="1" s="1"/>
  <c r="BU58" i="1"/>
  <c r="BU186" i="1" s="1"/>
  <c r="AQ74" i="1"/>
  <c r="BK74" i="1"/>
  <c r="C130" i="1"/>
  <c r="C173" i="1" s="1"/>
  <c r="K130" i="1"/>
  <c r="K146" i="1" s="1"/>
  <c r="BZ113" i="1"/>
  <c r="BU116" i="1"/>
  <c r="BZ126" i="1"/>
  <c r="M128" i="1"/>
  <c r="M123" i="1" s="1"/>
  <c r="Q463" i="12"/>
  <c r="V463" i="12"/>
  <c r="AA463" i="12"/>
  <c r="AF463" i="12"/>
  <c r="AK463" i="12"/>
  <c r="BV89" i="1"/>
  <c r="BV130" i="1" s="1"/>
  <c r="CA89" i="1"/>
  <c r="CA130" i="1" s="1"/>
  <c r="AC440" i="12"/>
  <c r="W8" i="1"/>
  <c r="W176" i="1" s="1"/>
  <c r="AB8" i="1"/>
  <c r="AB176" i="1" s="1"/>
  <c r="AH437" i="12"/>
  <c r="BU48" i="1"/>
  <c r="BU184" i="1" s="1"/>
  <c r="BK58" i="1"/>
  <c r="BK91" i="1" s="1"/>
  <c r="BK72" i="1"/>
  <c r="BP68" i="1"/>
  <c r="D130" i="1"/>
  <c r="BZ116" i="1"/>
  <c r="BU123" i="1"/>
  <c r="BE132" i="1"/>
  <c r="BX161" i="1"/>
  <c r="BX185" i="1" s="1"/>
  <c r="R463" i="12"/>
  <c r="W463" i="12"/>
  <c r="AB463" i="12"/>
  <c r="AG463" i="12"/>
  <c r="AL463" i="12"/>
  <c r="AV3" i="1"/>
  <c r="M171" i="12"/>
  <c r="BP3" i="1"/>
  <c r="AC171" i="12"/>
  <c r="AM440" i="12"/>
  <c r="AN439" i="12"/>
  <c r="BA8" i="1"/>
  <c r="BA176" i="1" s="1"/>
  <c r="N160" i="12"/>
  <c r="X437" i="12"/>
  <c r="BU8" i="1"/>
  <c r="BU176" i="1" s="1"/>
  <c r="AH160" i="12"/>
  <c r="AQ13" i="1"/>
  <c r="L469" i="12"/>
  <c r="N477" i="12"/>
  <c r="N478" i="12" s="1"/>
  <c r="N479" i="12" s="1"/>
  <c r="N433" i="12"/>
  <c r="N460" i="12" s="1"/>
  <c r="N464" i="12" s="1"/>
  <c r="BK13" i="1"/>
  <c r="X469" i="12"/>
  <c r="AB3" i="1"/>
  <c r="AB175" i="1" s="1"/>
  <c r="I171" i="12"/>
  <c r="AQ3" i="1"/>
  <c r="L171" i="12"/>
  <c r="BK3" i="1"/>
  <c r="X171" i="12"/>
  <c r="AH440" i="12"/>
  <c r="K437" i="12"/>
  <c r="AV8" i="1"/>
  <c r="AV176" i="1" s="1"/>
  <c r="M160" i="12"/>
  <c r="S437" i="12"/>
  <c r="BP8" i="1"/>
  <c r="BP176" i="1" s="1"/>
  <c r="AC160" i="12"/>
  <c r="M433" i="12"/>
  <c r="M460" i="12" s="1"/>
  <c r="M464" i="12" s="1"/>
  <c r="M477" i="12"/>
  <c r="M478" i="12" s="1"/>
  <c r="M479" i="12" s="1"/>
  <c r="BF13" i="1"/>
  <c r="S469" i="12"/>
  <c r="AM181" i="12"/>
  <c r="BZ18" i="1"/>
  <c r="X191" i="12"/>
  <c r="BK23" i="1"/>
  <c r="BK179" i="1" s="1"/>
  <c r="AG3" i="1"/>
  <c r="AG175" i="1" s="1"/>
  <c r="J171" i="12"/>
  <c r="BF3" i="1"/>
  <c r="S171" i="12"/>
  <c r="AQ8" i="1"/>
  <c r="AQ176" i="1" s="1"/>
  <c r="L160" i="12"/>
  <c r="BK8" i="1"/>
  <c r="BK176" i="1" s="1"/>
  <c r="X160" i="12"/>
  <c r="L433" i="12"/>
  <c r="L477" i="12"/>
  <c r="L478" i="12" s="1"/>
  <c r="L479" i="12" s="1"/>
  <c r="BA13" i="1"/>
  <c r="N469" i="12"/>
  <c r="X433" i="12"/>
  <c r="AC433" i="12" s="1"/>
  <c r="AH433" i="12" s="1"/>
  <c r="X477" i="12"/>
  <c r="X478" i="12" s="1"/>
  <c r="AC478" i="12" s="1"/>
  <c r="AH478" i="12" s="1"/>
  <c r="AM478" i="12" s="1"/>
  <c r="S443" i="12"/>
  <c r="X443" i="12"/>
  <c r="AC442" i="12"/>
  <c r="AH442" i="12" s="1"/>
  <c r="AM442" i="12" s="1"/>
  <c r="AN442" i="12" s="1"/>
  <c r="AO442" i="12" s="1"/>
  <c r="AP442" i="12" s="1"/>
  <c r="AQ442" i="12" s="1"/>
  <c r="AR442" i="12" s="1"/>
  <c r="AS442" i="12" s="1"/>
  <c r="AT442" i="12" s="1"/>
  <c r="AU442" i="12" s="1"/>
  <c r="AV442" i="12" s="1"/>
  <c r="AW442" i="12" s="1"/>
  <c r="AX442" i="12" s="1"/>
  <c r="AY442" i="12" s="1"/>
  <c r="AZ442" i="12" s="1"/>
  <c r="BA442" i="12" s="1"/>
  <c r="AH181" i="12"/>
  <c r="BU18" i="1"/>
  <c r="BW89" i="1"/>
  <c r="BW130" i="1" s="1"/>
  <c r="L440" i="12"/>
  <c r="BA3" i="1"/>
  <c r="N171" i="12"/>
  <c r="X440" i="12"/>
  <c r="BU3" i="1"/>
  <c r="AH171" i="12"/>
  <c r="M437" i="12"/>
  <c r="BF8" i="1"/>
  <c r="BF176" i="1" s="1"/>
  <c r="S160" i="12"/>
  <c r="BZ8" i="1"/>
  <c r="AM160" i="12"/>
  <c r="K433" i="12"/>
  <c r="K460" i="12" s="1"/>
  <c r="K464" i="12" s="1"/>
  <c r="K477" i="12"/>
  <c r="K478" i="12" s="1"/>
  <c r="K479" i="12" s="1"/>
  <c r="AV13" i="1"/>
  <c r="M469" i="12"/>
  <c r="S477" i="12"/>
  <c r="S433" i="12"/>
  <c r="S460" i="12" s="1"/>
  <c r="S464" i="12" s="1"/>
  <c r="BP13" i="1"/>
  <c r="BA18" i="1"/>
  <c r="BA178" i="1" s="1"/>
  <c r="BF18" i="1"/>
  <c r="BF178" i="1" s="1"/>
  <c r="BK18" i="1"/>
  <c r="BP18" i="1"/>
  <c r="AC181" i="12"/>
  <c r="X446" i="12"/>
  <c r="AC445" i="12"/>
  <c r="AH445" i="12" s="1"/>
  <c r="AM445" i="12" s="1"/>
  <c r="AN445" i="12" s="1"/>
  <c r="AO445" i="12" s="1"/>
  <c r="AP445" i="12" s="1"/>
  <c r="AQ445" i="12" s="1"/>
  <c r="AR445" i="12" s="1"/>
  <c r="AS445" i="12" s="1"/>
  <c r="AT445" i="12" s="1"/>
  <c r="AU445" i="12" s="1"/>
  <c r="AV445" i="12" s="1"/>
  <c r="AW445" i="12" s="1"/>
  <c r="AX445" i="12" s="1"/>
  <c r="AY445" i="12" s="1"/>
  <c r="AZ445" i="12" s="1"/>
  <c r="BA445" i="12" s="1"/>
  <c r="BZ28" i="1"/>
  <c r="BZ180" i="1" s="1"/>
  <c r="BS91" i="1"/>
  <c r="BX91" i="1"/>
  <c r="CN91" i="1"/>
  <c r="CS91" i="1"/>
  <c r="CX91" i="1"/>
  <c r="DC91" i="1"/>
  <c r="DH91" i="1"/>
  <c r="DM91" i="1"/>
  <c r="DR91" i="1"/>
  <c r="DW91" i="1"/>
  <c r="EB91" i="1"/>
  <c r="EG91" i="1"/>
  <c r="EL91" i="1"/>
  <c r="EQ91" i="1"/>
  <c r="P84" i="1"/>
  <c r="P89" i="1" s="1"/>
  <c r="P130" i="1" s="1"/>
  <c r="P146" i="1" s="1"/>
  <c r="U84" i="1"/>
  <c r="U89" i="1" s="1"/>
  <c r="U130" i="1" s="1"/>
  <c r="U146" i="1" s="1"/>
  <c r="BI84" i="1"/>
  <c r="BI89" i="1" s="1"/>
  <c r="BI130" i="1" s="1"/>
  <c r="BM84" i="1"/>
  <c r="BU113" i="1"/>
  <c r="BP116" i="1"/>
  <c r="BU119" i="1"/>
  <c r="CH121" i="1"/>
  <c r="BK128" i="1"/>
  <c r="BK123" i="1" s="1"/>
  <c r="AC191" i="12"/>
  <c r="BT91" i="1"/>
  <c r="BY91" i="1"/>
  <c r="CK91" i="1"/>
  <c r="CP91" i="1"/>
  <c r="CU91" i="1"/>
  <c r="CZ91" i="1"/>
  <c r="DE91" i="1"/>
  <c r="DJ91" i="1"/>
  <c r="DO91" i="1"/>
  <c r="DT91" i="1"/>
  <c r="DY91" i="1"/>
  <c r="ED91" i="1"/>
  <c r="EI91" i="1"/>
  <c r="EN91" i="1"/>
  <c r="Q84" i="1"/>
  <c r="Q89" i="1" s="1"/>
  <c r="Q130" i="1" s="1"/>
  <c r="Q146" i="1" s="1"/>
  <c r="V84" i="1"/>
  <c r="V89" i="1" s="1"/>
  <c r="V130" i="1" s="1"/>
  <c r="V146" i="1" s="1"/>
  <c r="AK84" i="1"/>
  <c r="AK89" i="1" s="1"/>
  <c r="AK130" i="1" s="1"/>
  <c r="AK146" i="1" s="1"/>
  <c r="BJ84" i="1"/>
  <c r="BJ89" i="1" s="1"/>
  <c r="BJ130" i="1" s="1"/>
  <c r="AB74" i="1"/>
  <c r="BF74" i="1"/>
  <c r="BN84" i="1"/>
  <c r="BN89" i="1" s="1"/>
  <c r="BN130" i="1" s="1"/>
  <c r="BF119" i="1"/>
  <c r="CA135" i="1"/>
  <c r="BA142" i="1"/>
  <c r="BL152" i="1"/>
  <c r="BM152" i="1" s="1"/>
  <c r="BN152" i="1" s="1"/>
  <c r="BX171" i="1"/>
  <c r="BX194" i="1" s="1"/>
  <c r="BR171" i="1"/>
  <c r="BR194" i="1" s="1"/>
  <c r="AH191" i="12"/>
  <c r="BZ23" i="1"/>
  <c r="BQ91" i="1"/>
  <c r="BV91" i="1"/>
  <c r="CL91" i="1"/>
  <c r="CQ91" i="1"/>
  <c r="CV91" i="1"/>
  <c r="DA91" i="1"/>
  <c r="DF91" i="1"/>
  <c r="DK91" i="1"/>
  <c r="DP91" i="1"/>
  <c r="DU91" i="1"/>
  <c r="DZ91" i="1"/>
  <c r="EE91" i="1"/>
  <c r="EJ91" i="1"/>
  <c r="EO91" i="1"/>
  <c r="S84" i="1"/>
  <c r="S89" i="1" s="1"/>
  <c r="S130" i="1" s="1"/>
  <c r="S146" i="1" s="1"/>
  <c r="X84" i="1"/>
  <c r="AC84" i="1"/>
  <c r="AR84" i="1"/>
  <c r="AR89" i="1" s="1"/>
  <c r="AR130" i="1" s="1"/>
  <c r="AR146" i="1" s="1"/>
  <c r="BB84" i="1"/>
  <c r="BB89" i="1" s="1"/>
  <c r="BB130" i="1" s="1"/>
  <c r="BB146" i="1" s="1"/>
  <c r="BG84" i="1"/>
  <c r="BG89" i="1" s="1"/>
  <c r="BG130" i="1" s="1"/>
  <c r="W74" i="1"/>
  <c r="BA74" i="1"/>
  <c r="BO84" i="1"/>
  <c r="BO89" i="1" s="1"/>
  <c r="BO130" i="1" s="1"/>
  <c r="BP79" i="1"/>
  <c r="AV128" i="1"/>
  <c r="AV123" i="1" s="1"/>
  <c r="BA128" i="1"/>
  <c r="BA123" i="1" s="1"/>
  <c r="S191" i="12"/>
  <c r="J108" i="19"/>
  <c r="BR91" i="1"/>
  <c r="BW91" i="1"/>
  <c r="CM91" i="1"/>
  <c r="CR91" i="1"/>
  <c r="CW91" i="1"/>
  <c r="DB91" i="1"/>
  <c r="DG91" i="1"/>
  <c r="DL91" i="1"/>
  <c r="DQ91" i="1"/>
  <c r="DV91" i="1"/>
  <c r="EA91" i="1"/>
  <c r="EF91" i="1"/>
  <c r="EK91" i="1"/>
  <c r="EP91" i="1"/>
  <c r="T84" i="1"/>
  <c r="T89" i="1" s="1"/>
  <c r="T130" i="1" s="1"/>
  <c r="T146" i="1" s="1"/>
  <c r="Y84" i="1"/>
  <c r="Y89" i="1" s="1"/>
  <c r="Y130" i="1" s="1"/>
  <c r="Y146" i="1" s="1"/>
  <c r="AI84" i="1"/>
  <c r="AI89" i="1" s="1"/>
  <c r="AI130" i="1" s="1"/>
  <c r="AI146" i="1" s="1"/>
  <c r="AS84" i="1"/>
  <c r="AS89" i="1" s="1"/>
  <c r="AS130" i="1" s="1"/>
  <c r="AS146" i="1" s="1"/>
  <c r="BL84" i="1"/>
  <c r="BL89" i="1" s="1"/>
  <c r="BL130" i="1" s="1"/>
  <c r="BQ84" i="1"/>
  <c r="BU84" i="1" s="1"/>
  <c r="BP113" i="1"/>
  <c r="BP119" i="1"/>
  <c r="BL155" i="1"/>
  <c r="BM155" i="1" s="1"/>
  <c r="BN155" i="1" s="1"/>
  <c r="H9" i="20"/>
  <c r="I5" i="20"/>
  <c r="J5" i="20" s="1"/>
  <c r="K5" i="20" s="1"/>
  <c r="L5" i="20" s="1"/>
  <c r="M5" i="20" s="1"/>
  <c r="N5" i="20" s="1"/>
  <c r="O5" i="20" s="1"/>
  <c r="P5" i="20" s="1"/>
  <c r="Q5" i="20" s="1"/>
  <c r="R5" i="20" s="1"/>
  <c r="S5" i="20" s="1"/>
  <c r="T5" i="20" s="1"/>
  <c r="U5" i="20" s="1"/>
  <c r="V5" i="20" s="1"/>
  <c r="W5" i="20" s="1"/>
  <c r="X5" i="20" s="1"/>
  <c r="Y5" i="20" s="1"/>
  <c r="Z5" i="20" s="1"/>
  <c r="I12" i="20"/>
  <c r="J12" i="20" s="1"/>
  <c r="K12" i="20" s="1"/>
  <c r="L12" i="20" s="1"/>
  <c r="M12" i="20" s="1"/>
  <c r="N12" i="20" s="1"/>
  <c r="O12" i="20" s="1"/>
  <c r="P12" i="20" s="1"/>
  <c r="Q12" i="20" s="1"/>
  <c r="R12" i="20" s="1"/>
  <c r="S12" i="20" s="1"/>
  <c r="T12" i="20" s="1"/>
  <c r="U12" i="20" s="1"/>
  <c r="V12" i="20" s="1"/>
  <c r="W12" i="20" s="1"/>
  <c r="X12" i="20" s="1"/>
  <c r="Y12" i="20" s="1"/>
  <c r="Z12" i="20" s="1"/>
  <c r="J16" i="20"/>
  <c r="G16" i="20"/>
  <c r="E28" i="20"/>
  <c r="E36" i="20" s="1"/>
  <c r="E29" i="20"/>
  <c r="E37" i="20" s="1"/>
  <c r="F39" i="20"/>
  <c r="G40" i="20"/>
  <c r="O40" i="20"/>
  <c r="Z97" i="20"/>
  <c r="X97" i="20"/>
  <c r="V97" i="20"/>
  <c r="T97" i="20"/>
  <c r="R97" i="20"/>
  <c r="P97" i="20"/>
  <c r="N97" i="20"/>
  <c r="L97" i="20"/>
  <c r="J97" i="20"/>
  <c r="Y97" i="20"/>
  <c r="U97" i="20"/>
  <c r="Q97" i="20"/>
  <c r="M97" i="20"/>
  <c r="W97" i="20"/>
  <c r="S97" i="20"/>
  <c r="O97" i="20"/>
  <c r="K97" i="20"/>
  <c r="Z58" i="20"/>
  <c r="X58" i="20"/>
  <c r="V58" i="20"/>
  <c r="T58" i="20"/>
  <c r="R58" i="20"/>
  <c r="P58" i="20"/>
  <c r="N58" i="20"/>
  <c r="L58" i="20"/>
  <c r="Y58" i="20"/>
  <c r="W58" i="20"/>
  <c r="U58" i="20"/>
  <c r="S58" i="20"/>
  <c r="Q58" i="20"/>
  <c r="O58" i="20"/>
  <c r="M58" i="20"/>
  <c r="K58" i="20"/>
  <c r="Y48" i="20"/>
  <c r="W48" i="20"/>
  <c r="U48" i="20"/>
  <c r="S48" i="20"/>
  <c r="Q48" i="20"/>
  <c r="O48" i="20"/>
  <c r="M48" i="20"/>
  <c r="K48" i="20"/>
  <c r="Z48" i="20"/>
  <c r="V48" i="20"/>
  <c r="R48" i="20"/>
  <c r="N48" i="20"/>
  <c r="X48" i="20"/>
  <c r="T48" i="20"/>
  <c r="P48" i="20"/>
  <c r="L48" i="20"/>
  <c r="K25" i="20"/>
  <c r="L25" i="20" s="1"/>
  <c r="K31" i="20"/>
  <c r="L31" i="20" s="1"/>
  <c r="M31" i="20" s="1"/>
  <c r="N31" i="20" s="1"/>
  <c r="O31" i="20" s="1"/>
  <c r="P31" i="20" s="1"/>
  <c r="Q31" i="20" s="1"/>
  <c r="R31" i="20" s="1"/>
  <c r="S31" i="20" s="1"/>
  <c r="T31" i="20" s="1"/>
  <c r="U31" i="20" s="1"/>
  <c r="V31" i="20" s="1"/>
  <c r="W31" i="20" s="1"/>
  <c r="X31" i="20" s="1"/>
  <c r="Y31" i="20" s="1"/>
  <c r="Z31" i="20" s="1"/>
  <c r="J28" i="20"/>
  <c r="J36" i="20" s="1"/>
  <c r="E33" i="20"/>
  <c r="E30" i="20" s="1"/>
  <c r="E38" i="20" s="1"/>
  <c r="F32" i="20"/>
  <c r="N39" i="20"/>
  <c r="N63" i="20"/>
  <c r="P78" i="20"/>
  <c r="K76" i="20"/>
  <c r="K80" i="20" s="1"/>
  <c r="L75" i="20"/>
  <c r="K82" i="20"/>
  <c r="J83" i="20"/>
  <c r="J87" i="20" s="1"/>
  <c r="J93" i="20" s="1"/>
  <c r="O89" i="20"/>
  <c r="F5" i="19"/>
  <c r="G5" i="19" s="1"/>
  <c r="H5" i="19" s="1"/>
  <c r="I5" i="19" s="1"/>
  <c r="J5" i="19" s="1"/>
  <c r="K5" i="19" s="1"/>
  <c r="L5" i="19" s="1"/>
  <c r="M5" i="19" s="1"/>
  <c r="N5" i="19" s="1"/>
  <c r="O5" i="19" s="1"/>
  <c r="P5" i="19" s="1"/>
  <c r="Q5" i="19" s="1"/>
  <c r="R5" i="19" s="1"/>
  <c r="S5" i="19" s="1"/>
  <c r="T5" i="19" s="1"/>
  <c r="U5" i="19" s="1"/>
  <c r="V5" i="19" s="1"/>
  <c r="W5" i="19" s="1"/>
  <c r="X5" i="19" s="1"/>
  <c r="Y5" i="19" s="1"/>
  <c r="Z5" i="19" s="1"/>
  <c r="N99" i="19"/>
  <c r="L99" i="19"/>
  <c r="J99" i="19"/>
  <c r="O99" i="19"/>
  <c r="K99" i="19"/>
  <c r="M99" i="19"/>
  <c r="Z58" i="19"/>
  <c r="X58" i="19"/>
  <c r="V58" i="19"/>
  <c r="T58" i="19"/>
  <c r="R58" i="19"/>
  <c r="P58" i="19"/>
  <c r="N58" i="19"/>
  <c r="L58" i="19"/>
  <c r="Z48" i="19"/>
  <c r="X48" i="19"/>
  <c r="V48" i="19"/>
  <c r="T48" i="19"/>
  <c r="R48" i="19"/>
  <c r="P48" i="19"/>
  <c r="N48" i="19"/>
  <c r="L48" i="19"/>
  <c r="Y58" i="19"/>
  <c r="W58" i="19"/>
  <c r="U58" i="19"/>
  <c r="S58" i="19"/>
  <c r="Q58" i="19"/>
  <c r="O58" i="19"/>
  <c r="M58" i="19"/>
  <c r="K58" i="19"/>
  <c r="Y48" i="19"/>
  <c r="W48" i="19"/>
  <c r="U48" i="19"/>
  <c r="S48" i="19"/>
  <c r="Q48" i="19"/>
  <c r="O48" i="19"/>
  <c r="M48" i="19"/>
  <c r="K48" i="19"/>
  <c r="I16" i="19"/>
  <c r="F31" i="19"/>
  <c r="E28" i="19"/>
  <c r="E36" i="19" s="1"/>
  <c r="C54" i="19"/>
  <c r="O40" i="19"/>
  <c r="F41" i="19"/>
  <c r="D33" i="19"/>
  <c r="D30" i="19" s="1"/>
  <c r="E32" i="19"/>
  <c r="D29" i="19"/>
  <c r="D37" i="19" s="1"/>
  <c r="F39" i="19"/>
  <c r="G40" i="19"/>
  <c r="R63" i="19"/>
  <c r="D36" i="19"/>
  <c r="D38" i="19"/>
  <c r="N39" i="19"/>
  <c r="F58" i="19"/>
  <c r="D63" i="19"/>
  <c r="E62" i="19"/>
  <c r="M84" i="19"/>
  <c r="L85" i="19"/>
  <c r="L86" i="19"/>
  <c r="M75" i="19"/>
  <c r="L76" i="19"/>
  <c r="L82" i="19" s="1"/>
  <c r="O88" i="19"/>
  <c r="P87" i="19"/>
  <c r="J89" i="19"/>
  <c r="K95" i="19"/>
  <c r="L92" i="19"/>
  <c r="L90" i="20" s="1"/>
  <c r="M81" i="19"/>
  <c r="M80" i="19" s="1"/>
  <c r="N91" i="19"/>
  <c r="P97" i="19"/>
  <c r="Q97" i="19" s="1"/>
  <c r="R97" i="19" s="1"/>
  <c r="S97" i="19" s="1"/>
  <c r="T97" i="19" s="1"/>
  <c r="U97" i="19" s="1"/>
  <c r="V97" i="19" s="1"/>
  <c r="W97" i="19" s="1"/>
  <c r="X97" i="19" s="1"/>
  <c r="Y97" i="19" s="1"/>
  <c r="Z97" i="19" s="1"/>
  <c r="Z99" i="19" s="1"/>
  <c r="P96" i="19"/>
  <c r="Q96" i="19" s="1"/>
  <c r="R96" i="19" s="1"/>
  <c r="S96" i="19" s="1"/>
  <c r="T96" i="19" s="1"/>
  <c r="U96" i="19" s="1"/>
  <c r="V96" i="19" s="1"/>
  <c r="W96" i="19" s="1"/>
  <c r="X96" i="19" s="1"/>
  <c r="Y96" i="19" s="1"/>
  <c r="Z96" i="19" s="1"/>
  <c r="L105" i="19"/>
  <c r="L116" i="19" s="1"/>
  <c r="J12" i="18"/>
  <c r="K12" i="18" s="1"/>
  <c r="L12" i="18" s="1"/>
  <c r="M12" i="18" s="1"/>
  <c r="N12" i="18" s="1"/>
  <c r="O12" i="18" s="1"/>
  <c r="P12" i="18" s="1"/>
  <c r="Q12" i="18" s="1"/>
  <c r="R12" i="18" s="1"/>
  <c r="S12" i="18" s="1"/>
  <c r="T12" i="18" s="1"/>
  <c r="U12" i="18" s="1"/>
  <c r="V12" i="18" s="1"/>
  <c r="W12" i="18" s="1"/>
  <c r="X12" i="18" s="1"/>
  <c r="Y12" i="18" s="1"/>
  <c r="Z12" i="18" s="1"/>
  <c r="C53" i="18"/>
  <c r="P40" i="18"/>
  <c r="K16" i="18"/>
  <c r="F40" i="18"/>
  <c r="E37" i="18"/>
  <c r="H11" i="18"/>
  <c r="H16" i="18"/>
  <c r="F18" i="18"/>
  <c r="F23" i="18"/>
  <c r="M31" i="18"/>
  <c r="N31" i="18" s="1"/>
  <c r="O31" i="18" s="1"/>
  <c r="P31" i="18" s="1"/>
  <c r="Q31" i="18" s="1"/>
  <c r="R31" i="18" s="1"/>
  <c r="S31" i="18" s="1"/>
  <c r="T31" i="18" s="1"/>
  <c r="U31" i="18" s="1"/>
  <c r="V31" i="18" s="1"/>
  <c r="W31" i="18" s="1"/>
  <c r="X31" i="18" s="1"/>
  <c r="Y31" i="18" s="1"/>
  <c r="Z31" i="18" s="1"/>
  <c r="N32" i="18"/>
  <c r="E38" i="18"/>
  <c r="F62" i="18"/>
  <c r="F61" i="18" s="1"/>
  <c r="Y100" i="18"/>
  <c r="W100" i="18"/>
  <c r="U100" i="18"/>
  <c r="S100" i="18"/>
  <c r="Q100" i="18"/>
  <c r="O100" i="18"/>
  <c r="M100" i="18"/>
  <c r="Z100" i="18"/>
  <c r="V100" i="18"/>
  <c r="R100" i="18"/>
  <c r="N100" i="18"/>
  <c r="X100" i="18"/>
  <c r="T100" i="18"/>
  <c r="P100" i="18"/>
  <c r="L100" i="18"/>
  <c r="M76" i="18"/>
  <c r="K76" i="18"/>
  <c r="K86" i="18" s="1"/>
  <c r="Z76" i="18"/>
  <c r="X76" i="18"/>
  <c r="V76" i="18"/>
  <c r="T76" i="18"/>
  <c r="R76" i="18"/>
  <c r="P76" i="18"/>
  <c r="N76" i="18"/>
  <c r="L76" i="18"/>
  <c r="L77" i="18" s="1"/>
  <c r="W76" i="18"/>
  <c r="S76" i="18"/>
  <c r="O76" i="18"/>
  <c r="Z57" i="18"/>
  <c r="X57" i="18"/>
  <c r="V57" i="18"/>
  <c r="T57" i="18"/>
  <c r="R57" i="18"/>
  <c r="P57" i="18"/>
  <c r="N57" i="18"/>
  <c r="L57" i="18"/>
  <c r="Y48" i="18"/>
  <c r="W48" i="18"/>
  <c r="U48" i="18"/>
  <c r="S48" i="18"/>
  <c r="Q48" i="18"/>
  <c r="O48" i="18"/>
  <c r="M48" i="18"/>
  <c r="Y76" i="18"/>
  <c r="U76" i="18"/>
  <c r="Q76" i="18"/>
  <c r="Y57" i="18"/>
  <c r="W57" i="18"/>
  <c r="U57" i="18"/>
  <c r="S57" i="18"/>
  <c r="Q57" i="18"/>
  <c r="O57" i="18"/>
  <c r="M57" i="18"/>
  <c r="Z48" i="18"/>
  <c r="X48" i="18"/>
  <c r="V48" i="18"/>
  <c r="T48" i="18"/>
  <c r="R48" i="18"/>
  <c r="P48" i="18"/>
  <c r="N48" i="18"/>
  <c r="L48" i="18"/>
  <c r="F29" i="18"/>
  <c r="O62" i="18"/>
  <c r="E57" i="18"/>
  <c r="K69" i="18"/>
  <c r="K80" i="18"/>
  <c r="K78" i="18"/>
  <c r="N82" i="18"/>
  <c r="O81" i="18"/>
  <c r="O79" i="19" s="1"/>
  <c r="O81" i="19" s="1"/>
  <c r="O80" i="19" s="1"/>
  <c r="O89" i="18"/>
  <c r="O85" i="20" s="1"/>
  <c r="O86" i="20" s="1"/>
  <c r="N93" i="18"/>
  <c r="M94" i="18"/>
  <c r="N94" i="18" s="1"/>
  <c r="O94" i="18" s="1"/>
  <c r="P94" i="18" s="1"/>
  <c r="Q94" i="18" s="1"/>
  <c r="R94" i="18" s="1"/>
  <c r="S94" i="18" s="1"/>
  <c r="T94" i="18" s="1"/>
  <c r="U94" i="18" s="1"/>
  <c r="V94" i="18" s="1"/>
  <c r="W94" i="18" s="1"/>
  <c r="X94" i="18" s="1"/>
  <c r="Y94" i="18" s="1"/>
  <c r="Z94" i="18" s="1"/>
  <c r="O120" i="18"/>
  <c r="O117" i="18" s="1"/>
  <c r="AC149" i="12"/>
  <c r="AH149" i="12" s="1"/>
  <c r="AM149" i="12" s="1"/>
  <c r="AN149" i="12" s="1"/>
  <c r="AO149" i="12" s="1"/>
  <c r="AP149" i="12" s="1"/>
  <c r="AQ149" i="12" s="1"/>
  <c r="AR149" i="12" s="1"/>
  <c r="AS149" i="12" s="1"/>
  <c r="AT149" i="12" s="1"/>
  <c r="AU149" i="12" s="1"/>
  <c r="AV149" i="12" s="1"/>
  <c r="AW149" i="12" s="1"/>
  <c r="AX149" i="12" s="1"/>
  <c r="AY149" i="12" s="1"/>
  <c r="AZ149" i="12" s="1"/>
  <c r="BA149" i="12" s="1"/>
  <c r="M65" i="12"/>
  <c r="AX339" i="12"/>
  <c r="AV339" i="12"/>
  <c r="AT339" i="12"/>
  <c r="AR339" i="12"/>
  <c r="AP339" i="12"/>
  <c r="AN339" i="12"/>
  <c r="AT335" i="12"/>
  <c r="AR335" i="12"/>
  <c r="AP335" i="12"/>
  <c r="AN335" i="12"/>
  <c r="AQ331" i="12"/>
  <c r="AO331" i="12"/>
  <c r="AM331" i="12"/>
  <c r="AP327" i="12"/>
  <c r="AN327" i="12"/>
  <c r="AP323" i="12"/>
  <c r="AP319" i="12"/>
  <c r="AN323" i="12"/>
  <c r="AM319" i="12"/>
  <c r="AZ323" i="12"/>
  <c r="AX323" i="12"/>
  <c r="AZ319" i="12"/>
  <c r="AX319" i="12"/>
  <c r="AV323" i="12"/>
  <c r="AT323" i="12"/>
  <c r="AV319" i="12"/>
  <c r="AT319" i="12"/>
  <c r="AR327" i="12"/>
  <c r="AR323" i="12"/>
  <c r="AR319" i="12"/>
  <c r="AO319" i="12"/>
  <c r="AO315" i="12"/>
  <c r="AS285" i="12"/>
  <c r="AQ285" i="12"/>
  <c r="AO285" i="12"/>
  <c r="AM285" i="12"/>
  <c r="AW281" i="12"/>
  <c r="AU281" i="12"/>
  <c r="AS281" i="12"/>
  <c r="AQ281" i="12"/>
  <c r="AP281" i="12"/>
  <c r="AN281" i="12"/>
  <c r="AT277" i="12"/>
  <c r="AR277" i="12"/>
  <c r="AP277" i="12"/>
  <c r="AN277" i="12"/>
  <c r="AO273" i="12"/>
  <c r="AM273" i="12"/>
  <c r="AS269" i="12"/>
  <c r="AQ269" i="12"/>
  <c r="AN269" i="12"/>
  <c r="AO265" i="12"/>
  <c r="AM265" i="12"/>
  <c r="AW339" i="12"/>
  <c r="AU339" i="12"/>
  <c r="AS339" i="12"/>
  <c r="AQ339" i="12"/>
  <c r="AO339" i="12"/>
  <c r="AM339" i="12"/>
  <c r="AS335" i="12"/>
  <c r="AQ335" i="12"/>
  <c r="AO335" i="12"/>
  <c r="AM335" i="12"/>
  <c r="AR331" i="12"/>
  <c r="AP331" i="12"/>
  <c r="AN331" i="12"/>
  <c r="AO327" i="12"/>
  <c r="AM327" i="12"/>
  <c r="AO323" i="12"/>
  <c r="AM323" i="12"/>
  <c r="AM315" i="12"/>
  <c r="BA323" i="12"/>
  <c r="AY323" i="12"/>
  <c r="AW323" i="12"/>
  <c r="BA319" i="12"/>
  <c r="AY319" i="12"/>
  <c r="AW319" i="12"/>
  <c r="AU323" i="12"/>
  <c r="AS323" i="12"/>
  <c r="AU319" i="12"/>
  <c r="AS319" i="12"/>
  <c r="AQ327" i="12"/>
  <c r="AQ323" i="12"/>
  <c r="AQ319" i="12"/>
  <c r="AN319" i="12"/>
  <c r="AN315" i="12"/>
  <c r="AR285" i="12"/>
  <c r="AP285" i="12"/>
  <c r="AN285" i="12"/>
  <c r="AX281" i="12"/>
  <c r="AV281" i="12"/>
  <c r="AT281" i="12"/>
  <c r="AR281" i="12"/>
  <c r="AO281" i="12"/>
  <c r="AM281" i="12"/>
  <c r="AS277" i="12"/>
  <c r="AQ277" i="12"/>
  <c r="AO277" i="12"/>
  <c r="AM277" i="12"/>
  <c r="AP273" i="12"/>
  <c r="AN273" i="12"/>
  <c r="AR269" i="12"/>
  <c r="AP269" i="12"/>
  <c r="AO269" i="12"/>
  <c r="AM269" i="12"/>
  <c r="AP265" i="12"/>
  <c r="AN265" i="12"/>
  <c r="BA241" i="12"/>
  <c r="AY241" i="12"/>
  <c r="AW241" i="12"/>
  <c r="AU241" i="12"/>
  <c r="AS241" i="12"/>
  <c r="AQ241" i="12"/>
  <c r="AO241" i="12"/>
  <c r="AM241" i="12"/>
  <c r="AZ241" i="12"/>
  <c r="AX241" i="12"/>
  <c r="AV241" i="12"/>
  <c r="AT241" i="12"/>
  <c r="AR241" i="12"/>
  <c r="AP241" i="12"/>
  <c r="AN241" i="12"/>
  <c r="AW122" i="12"/>
  <c r="AU122" i="12"/>
  <c r="AS122" i="12"/>
  <c r="AQ122" i="12"/>
  <c r="AO122" i="12"/>
  <c r="AQ118" i="12"/>
  <c r="AO118" i="12"/>
  <c r="AO114" i="12"/>
  <c r="AN102" i="12"/>
  <c r="AN98" i="12"/>
  <c r="AN94" i="12"/>
  <c r="BA102" i="12"/>
  <c r="AY102" i="12"/>
  <c r="AW102" i="12"/>
  <c r="BA98" i="12"/>
  <c r="AY98" i="12"/>
  <c r="AW98" i="12"/>
  <c r="BA94" i="12"/>
  <c r="AY94" i="12"/>
  <c r="AW94" i="12"/>
  <c r="AU102" i="12"/>
  <c r="AS102" i="12"/>
  <c r="AQ102" i="12"/>
  <c r="AU98" i="12"/>
  <c r="AS98" i="12"/>
  <c r="AQ98" i="12"/>
  <c r="AU94" i="12"/>
  <c r="AS94" i="12"/>
  <c r="AQ94" i="12"/>
  <c r="AO102" i="12"/>
  <c r="AO98" i="12"/>
  <c r="AO94" i="12"/>
  <c r="AV122" i="12"/>
  <c r="AT122" i="12"/>
  <c r="AR122" i="12"/>
  <c r="AP122" i="12"/>
  <c r="AN122" i="12"/>
  <c r="AP118" i="12"/>
  <c r="AN118" i="12"/>
  <c r="AN114" i="12"/>
  <c r="AZ102" i="12"/>
  <c r="AX102" i="12"/>
  <c r="AV102" i="12"/>
  <c r="AZ98" i="12"/>
  <c r="AX98" i="12"/>
  <c r="AV98" i="12"/>
  <c r="AZ94" i="12"/>
  <c r="AX94" i="12"/>
  <c r="AV94" i="12"/>
  <c r="AT102" i="12"/>
  <c r="AR102" i="12"/>
  <c r="AT98" i="12"/>
  <c r="AR98" i="12"/>
  <c r="AT94" i="12"/>
  <c r="AR94" i="12"/>
  <c r="AP102" i="12"/>
  <c r="AP98" i="12"/>
  <c r="AP94" i="12"/>
  <c r="AR63" i="12"/>
  <c r="AP63" i="12"/>
  <c r="AN63" i="12"/>
  <c r="AU59" i="12"/>
  <c r="AS59" i="12"/>
  <c r="AQ59" i="12"/>
  <c r="AO59" i="12"/>
  <c r="AT55" i="12"/>
  <c r="AR55" i="12"/>
  <c r="AP55" i="12"/>
  <c r="AN55" i="12"/>
  <c r="AO51" i="12"/>
  <c r="AN47" i="12"/>
  <c r="AT59" i="12"/>
  <c r="AN59" i="12"/>
  <c r="AS55" i="12"/>
  <c r="AO55" i="12"/>
  <c r="AN51" i="12"/>
  <c r="AP47" i="12"/>
  <c r="AQ63" i="12"/>
  <c r="AO63" i="12"/>
  <c r="AV59" i="12"/>
  <c r="AR59" i="12"/>
  <c r="AP59" i="12"/>
  <c r="AQ55" i="12"/>
  <c r="AP51" i="12"/>
  <c r="AQ47" i="12"/>
  <c r="AO47" i="12"/>
  <c r="N13" i="12"/>
  <c r="M9" i="12"/>
  <c r="M19" i="12" s="1"/>
  <c r="L82" i="12"/>
  <c r="L75" i="12"/>
  <c r="L164" i="12" s="1"/>
  <c r="L73" i="12"/>
  <c r="L74" i="12"/>
  <c r="L153" i="12" s="1"/>
  <c r="D83" i="12"/>
  <c r="D145" i="12"/>
  <c r="V13" i="12"/>
  <c r="AP31" i="12"/>
  <c r="AR45" i="12"/>
  <c r="AQ44" i="12"/>
  <c r="E6" i="12"/>
  <c r="N6" i="12"/>
  <c r="AC18" i="12"/>
  <c r="AM18" i="12"/>
  <c r="M21" i="12"/>
  <c r="M27" i="12" s="1"/>
  <c r="C21" i="12"/>
  <c r="C27" i="12" s="1"/>
  <c r="D22" i="12"/>
  <c r="D86" i="12" s="1"/>
  <c r="D127" i="12" s="1"/>
  <c r="D146" i="12" s="1"/>
  <c r="L22" i="12"/>
  <c r="L86" i="12" s="1"/>
  <c r="F23" i="12"/>
  <c r="N24" i="12"/>
  <c r="E24" i="12"/>
  <c r="AQ49" i="12"/>
  <c r="AT52" i="12"/>
  <c r="AU53" i="12"/>
  <c r="AW57" i="12"/>
  <c r="AR62" i="12"/>
  <c r="AS61" i="12"/>
  <c r="AS63" i="12" s="1"/>
  <c r="M128" i="12"/>
  <c r="M154" i="12" s="1"/>
  <c r="S180" i="12"/>
  <c r="X18" i="12"/>
  <c r="AH18" i="12"/>
  <c r="L19" i="12"/>
  <c r="L65" i="12"/>
  <c r="N65" i="12"/>
  <c r="B133" i="12"/>
  <c r="B114" i="12"/>
  <c r="M129" i="12"/>
  <c r="M165" i="12" s="1"/>
  <c r="AS159" i="12"/>
  <c r="AR157" i="12"/>
  <c r="AU180" i="12"/>
  <c r="AT178" i="12"/>
  <c r="AC90" i="12"/>
  <c r="AP112" i="12"/>
  <c r="AP114" i="12" s="1"/>
  <c r="AQ115" i="12"/>
  <c r="AX120" i="12"/>
  <c r="X94" i="12"/>
  <c r="AH94" i="12"/>
  <c r="X98" i="12"/>
  <c r="AH98" i="12"/>
  <c r="S106" i="12"/>
  <c r="AC106" i="12"/>
  <c r="AM106" i="12"/>
  <c r="AM110" i="12"/>
  <c r="AN91" i="12"/>
  <c r="AN95" i="12"/>
  <c r="B118" i="12"/>
  <c r="N124" i="12"/>
  <c r="P124" i="12"/>
  <c r="AJ124" i="12"/>
  <c r="AL124" i="12"/>
  <c r="N127" i="12"/>
  <c r="P155" i="12"/>
  <c r="P156" i="12"/>
  <c r="U155" i="12"/>
  <c r="U156" i="12"/>
  <c r="Z155" i="12"/>
  <c r="Z156" i="12"/>
  <c r="AE155" i="12"/>
  <c r="AE156" i="12"/>
  <c r="AJ155" i="12"/>
  <c r="AJ156" i="12"/>
  <c r="V166" i="12"/>
  <c r="V167" i="12"/>
  <c r="AA166" i="12"/>
  <c r="AE166" i="12"/>
  <c r="AI166" i="12"/>
  <c r="AI378" i="12" s="1"/>
  <c r="Z167" i="12"/>
  <c r="AD167" i="12"/>
  <c r="AD379" i="12" s="1"/>
  <c r="AR386" i="12"/>
  <c r="AT176" i="12"/>
  <c r="AN386" i="12"/>
  <c r="AP177" i="12"/>
  <c r="AO394" i="12"/>
  <c r="AP186" i="12"/>
  <c r="AM200" i="12"/>
  <c r="AN190" i="12"/>
  <c r="M244" i="12"/>
  <c r="M243" i="12"/>
  <c r="C244" i="12"/>
  <c r="C303" i="12" s="1"/>
  <c r="E250" i="12"/>
  <c r="D249" i="12"/>
  <c r="AT267" i="12"/>
  <c r="AS266" i="12"/>
  <c r="S98" i="12"/>
  <c r="AC98" i="12"/>
  <c r="AM98" i="12"/>
  <c r="X106" i="12"/>
  <c r="AH106" i="12"/>
  <c r="AN108" i="12"/>
  <c r="AN110" i="12" s="1"/>
  <c r="M124" i="12"/>
  <c r="O124" i="12"/>
  <c r="N128" i="12"/>
  <c r="N154" i="12" s="1"/>
  <c r="AI167" i="12"/>
  <c r="AI379" i="12" s="1"/>
  <c r="AZ219" i="12"/>
  <c r="BA219" i="12"/>
  <c r="BA229" i="12"/>
  <c r="AZ229" i="12"/>
  <c r="L243" i="12"/>
  <c r="L244" i="12"/>
  <c r="D244" i="12"/>
  <c r="D303" i="12" s="1"/>
  <c r="R190" i="12"/>
  <c r="S190" i="12" s="1"/>
  <c r="T190" i="12" s="1"/>
  <c r="U190" i="12" s="1"/>
  <c r="V190" i="12" s="1"/>
  <c r="W190" i="12" s="1"/>
  <c r="X190" i="12" s="1"/>
  <c r="AE462" i="12"/>
  <c r="AG462" i="12"/>
  <c r="AI462" i="12"/>
  <c r="AK462" i="12"/>
  <c r="AS196" i="12"/>
  <c r="AS206" i="12"/>
  <c r="AT216" i="12"/>
  <c r="AU226" i="12"/>
  <c r="H234" i="12"/>
  <c r="H237" i="12" s="1"/>
  <c r="N234" i="12"/>
  <c r="T241" i="12"/>
  <c r="U241" i="12" s="1"/>
  <c r="V241" i="12" s="1"/>
  <c r="W241" i="12" s="1"/>
  <c r="C243" i="12"/>
  <c r="C249" i="12" s="1"/>
  <c r="E243" i="12"/>
  <c r="AR266" i="12"/>
  <c r="AU275" i="12"/>
  <c r="F304" i="12"/>
  <c r="AD462" i="12"/>
  <c r="AF462" i="12"/>
  <c r="AJ462" i="12"/>
  <c r="AL462" i="12"/>
  <c r="AX280" i="12"/>
  <c r="AX278" i="12"/>
  <c r="AY279" i="12"/>
  <c r="AS284" i="12"/>
  <c r="AT283" i="12"/>
  <c r="AT285" i="12" s="1"/>
  <c r="AS282" i="12"/>
  <c r="Q307" i="12"/>
  <c r="AW280" i="12"/>
  <c r="AR284" i="12"/>
  <c r="AS325" i="12"/>
  <c r="AS327" i="12" s="1"/>
  <c r="AS329" i="12"/>
  <c r="AU333" i="12"/>
  <c r="AX336" i="12"/>
  <c r="AY337" i="12"/>
  <c r="AY339" i="12" s="1"/>
  <c r="X311" i="12"/>
  <c r="AH311" i="12"/>
  <c r="P341" i="12"/>
  <c r="X315" i="12"/>
  <c r="AH315" i="12"/>
  <c r="AC319" i="12"/>
  <c r="Z341" i="12"/>
  <c r="AB341" i="12"/>
  <c r="AH323" i="12"/>
  <c r="AP324" i="12"/>
  <c r="AQ271" i="12"/>
  <c r="M286" i="12"/>
  <c r="S311" i="12"/>
  <c r="AC311" i="12"/>
  <c r="AM307" i="12"/>
  <c r="O341" i="12"/>
  <c r="S315" i="12"/>
  <c r="AC315" i="12"/>
  <c r="X319" i="12"/>
  <c r="AH319" i="12"/>
  <c r="Y341" i="12"/>
  <c r="AA341" i="12"/>
  <c r="AC323" i="12"/>
  <c r="AN340" i="12"/>
  <c r="I460" i="12"/>
  <c r="I464" i="12" s="1"/>
  <c r="L437" i="12"/>
  <c r="AC437" i="12"/>
  <c r="AM437" i="12"/>
  <c r="AN437" i="12" s="1"/>
  <c r="AN436" i="12" s="1"/>
  <c r="K440" i="12"/>
  <c r="M440" i="12"/>
  <c r="N437" i="12"/>
  <c r="N440" i="12"/>
  <c r="Q1" i="14"/>
  <c r="P55" i="14"/>
  <c r="P57" i="14" s="1"/>
  <c r="P54" i="14"/>
  <c r="P56" i="14" s="1"/>
  <c r="S5" i="14"/>
  <c r="R169" i="11"/>
  <c r="R45" i="14"/>
  <c r="R47" i="14" s="1"/>
  <c r="S7" i="14"/>
  <c r="S9" i="14"/>
  <c r="J172" i="14"/>
  <c r="I112" i="14"/>
  <c r="J115" i="14" s="1"/>
  <c r="S182" i="14"/>
  <c r="S72" i="14"/>
  <c r="T15" i="14"/>
  <c r="T81" i="14"/>
  <c r="U24" i="14"/>
  <c r="T82" i="14"/>
  <c r="U25" i="14"/>
  <c r="T192" i="14"/>
  <c r="T91" i="14"/>
  <c r="U34" i="14"/>
  <c r="U202" i="14" s="1"/>
  <c r="U35" i="14"/>
  <c r="U203" i="14" s="1"/>
  <c r="T92" i="14"/>
  <c r="R195" i="11"/>
  <c r="J171" i="14"/>
  <c r="I106" i="14"/>
  <c r="J109" i="14" s="1"/>
  <c r="J61" i="14"/>
  <c r="H4" i="14"/>
  <c r="I42" i="14"/>
  <c r="T4" i="14"/>
  <c r="T6" i="14"/>
  <c r="T8" i="14"/>
  <c r="T21" i="14"/>
  <c r="S78" i="14"/>
  <c r="U22" i="14"/>
  <c r="T189" i="14"/>
  <c r="T79" i="14"/>
  <c r="S93" i="14"/>
  <c r="T36" i="14"/>
  <c r="T204" i="14" s="1"/>
  <c r="N99" i="14"/>
  <c r="P207" i="14"/>
  <c r="Q168" i="14"/>
  <c r="H207" i="14"/>
  <c r="G97" i="14"/>
  <c r="G99" i="14" s="1"/>
  <c r="G101" i="14" s="1"/>
  <c r="L207" i="14"/>
  <c r="L210" i="14" s="1"/>
  <c r="E99" i="14"/>
  <c r="E101" i="14" s="1"/>
  <c r="M99" i="14"/>
  <c r="T94" i="14"/>
  <c r="F97" i="14"/>
  <c r="F99" i="14" s="1"/>
  <c r="F101" i="14" s="1"/>
  <c r="N97" i="14"/>
  <c r="O187" i="14"/>
  <c r="P137" i="14"/>
  <c r="O178" i="14"/>
  <c r="P139" i="14"/>
  <c r="O191" i="14"/>
  <c r="P151" i="14"/>
  <c r="N208" i="14"/>
  <c r="O169" i="14"/>
  <c r="N207" i="14"/>
  <c r="K172" i="14"/>
  <c r="J112" i="14"/>
  <c r="K115" i="14" s="1"/>
  <c r="K62" i="14"/>
  <c r="S77" i="14"/>
  <c r="S189" i="14"/>
  <c r="S79" i="14"/>
  <c r="S81" i="14"/>
  <c r="U38" i="14"/>
  <c r="U206" i="14" s="1"/>
  <c r="J42" i="14"/>
  <c r="O207" i="14"/>
  <c r="T42" i="14"/>
  <c r="C45" i="14"/>
  <c r="C47" i="14" s="1"/>
  <c r="E45" i="14"/>
  <c r="E47" i="14" s="1"/>
  <c r="G45" i="14"/>
  <c r="G47" i="14" s="1"/>
  <c r="K45" i="14"/>
  <c r="K47" i="14" s="1"/>
  <c r="M45" i="14"/>
  <c r="M47" i="14" s="1"/>
  <c r="Q45" i="14"/>
  <c r="J62" i="14"/>
  <c r="S82" i="14"/>
  <c r="D97" i="14"/>
  <c r="D99" i="14" s="1"/>
  <c r="D101" i="14" s="1"/>
  <c r="L97" i="14"/>
  <c r="L99" i="14" s="1"/>
  <c r="L101" i="14" s="1"/>
  <c r="M125" i="14"/>
  <c r="M126" i="14" s="1"/>
  <c r="N177" i="14"/>
  <c r="O138" i="14"/>
  <c r="M171" i="14"/>
  <c r="N131" i="14"/>
  <c r="M173" i="14"/>
  <c r="N133" i="14"/>
  <c r="M175" i="14"/>
  <c r="N135" i="14"/>
  <c r="N188" i="14"/>
  <c r="O148" i="14"/>
  <c r="R154" i="14"/>
  <c r="S154" i="14" s="1"/>
  <c r="T154" i="14" s="1"/>
  <c r="U154" i="14" s="1"/>
  <c r="V154" i="14" s="1"/>
  <c r="W154" i="14" s="1"/>
  <c r="X154" i="14" s="1"/>
  <c r="Y154" i="14" s="1"/>
  <c r="Z154" i="14" s="1"/>
  <c r="AA154" i="14" s="1"/>
  <c r="AB154" i="14" s="1"/>
  <c r="AC154" i="14" s="1"/>
  <c r="AD154" i="14" s="1"/>
  <c r="AE154" i="14" s="1"/>
  <c r="AF154" i="14" s="1"/>
  <c r="D210" i="14"/>
  <c r="H210" i="14"/>
  <c r="F207" i="14"/>
  <c r="F210" i="14" s="1"/>
  <c r="E210" i="14"/>
  <c r="G210" i="14"/>
  <c r="AL3" i="1"/>
  <c r="AL175" i="1" s="1"/>
  <c r="AX175" i="1"/>
  <c r="AX195" i="1" s="1"/>
  <c r="AZ175" i="1"/>
  <c r="AZ195" i="1" s="1"/>
  <c r="AG10" i="1"/>
  <c r="J373" i="12" s="1"/>
  <c r="AC8" i="1"/>
  <c r="AC89" i="1" s="1"/>
  <c r="AC130" i="1" s="1"/>
  <c r="AC146" i="1" s="1"/>
  <c r="G89" i="1"/>
  <c r="G130" i="1" s="1"/>
  <c r="G146" i="1" s="1"/>
  <c r="G15" i="1"/>
  <c r="H15" i="1" s="1"/>
  <c r="H13" i="1"/>
  <c r="AL15" i="1"/>
  <c r="K473" i="12" s="1"/>
  <c r="AH13" i="1"/>
  <c r="AG14" i="1"/>
  <c r="AW175" i="1"/>
  <c r="AW195" i="1" s="1"/>
  <c r="AY175" i="1"/>
  <c r="AY195" i="1" s="1"/>
  <c r="BZ92" i="1"/>
  <c r="BZ3" i="1"/>
  <c r="R176" i="1"/>
  <c r="L89" i="1"/>
  <c r="L130" i="1" s="1"/>
  <c r="L146" i="1" s="1"/>
  <c r="M13" i="1"/>
  <c r="M177" i="1" s="1"/>
  <c r="AG16" i="1"/>
  <c r="J433" i="12" s="1"/>
  <c r="X89" i="1"/>
  <c r="X130" i="1" s="1"/>
  <c r="X146" i="1" s="1"/>
  <c r="AL74" i="1"/>
  <c r="BK126" i="1"/>
  <c r="BF126" i="1"/>
  <c r="BF128" i="1"/>
  <c r="BF123" i="1" s="1"/>
  <c r="CJ84" i="1"/>
  <c r="CT121" i="1"/>
  <c r="CN121" i="1"/>
  <c r="CL121" i="1"/>
  <c r="CM121" i="1"/>
  <c r="CK121" i="1"/>
  <c r="AB70" i="1"/>
  <c r="AL70" i="1"/>
  <c r="AV70" i="1"/>
  <c r="BF70" i="1"/>
  <c r="BK70" i="1"/>
  <c r="M74" i="1"/>
  <c r="M84" i="1" s="1"/>
  <c r="R74" i="1"/>
  <c r="BM91" i="1"/>
  <c r="BO91" i="1"/>
  <c r="CG121" i="1"/>
  <c r="CI121" i="1"/>
  <c r="D146" i="1"/>
  <c r="F146" i="1"/>
  <c r="I142" i="1"/>
  <c r="M142" i="1" s="1"/>
  <c r="M134" i="1"/>
  <c r="M132" i="1" s="1"/>
  <c r="AB134" i="1"/>
  <c r="AA142" i="1"/>
  <c r="AL134" i="1"/>
  <c r="AK142" i="1"/>
  <c r="BF134" i="1"/>
  <c r="BF132" i="1" s="1"/>
  <c r="BE142" i="1"/>
  <c r="BF142" i="1" s="1"/>
  <c r="BW142" i="1"/>
  <c r="BW134" i="1" s="1"/>
  <c r="AQ175" i="1"/>
  <c r="AV151" i="1"/>
  <c r="BZ152" i="1"/>
  <c r="BQ152" i="1"/>
  <c r="BQ176" i="1" s="1"/>
  <c r="BU179" i="1"/>
  <c r="BZ155" i="1"/>
  <c r="BQ155" i="1"/>
  <c r="BI179" i="1"/>
  <c r="BJ155" i="1"/>
  <c r="BJ179" i="1" s="1"/>
  <c r="CC180" i="1"/>
  <c r="CD156" i="1"/>
  <c r="CC181" i="1"/>
  <c r="CD157" i="1"/>
  <c r="CI157" i="1"/>
  <c r="CI158" i="1"/>
  <c r="AG70" i="1"/>
  <c r="AQ70" i="1"/>
  <c r="BA70" i="1"/>
  <c r="O72" i="1"/>
  <c r="R72" i="1" s="1"/>
  <c r="R68" i="1" s="1"/>
  <c r="BL91" i="1"/>
  <c r="BN91" i="1"/>
  <c r="E146" i="1"/>
  <c r="V142" i="1"/>
  <c r="W134" i="1"/>
  <c r="AF142" i="1"/>
  <c r="AG134" i="1"/>
  <c r="AN142" i="1"/>
  <c r="AQ134" i="1"/>
  <c r="AV134" i="1"/>
  <c r="AS142" i="1"/>
  <c r="EO135" i="1"/>
  <c r="BM179" i="1"/>
  <c r="BI176" i="1"/>
  <c r="BJ152" i="1"/>
  <c r="BJ176" i="1" s="1"/>
  <c r="AB153" i="1"/>
  <c r="BG178" i="1"/>
  <c r="BH154" i="1"/>
  <c r="BV180" i="1"/>
  <c r="BJ144" i="1"/>
  <c r="BN144" i="1"/>
  <c r="BN142" i="1" s="1"/>
  <c r="BN134" i="1" s="1"/>
  <c r="BX180" i="1"/>
  <c r="BX181" i="1"/>
  <c r="CA180" i="1"/>
  <c r="CA181" i="1"/>
  <c r="CU156" i="1"/>
  <c r="CW156" i="1"/>
  <c r="CU157" i="1"/>
  <c r="CW157" i="1"/>
  <c r="CU158" i="1"/>
  <c r="CW158" i="1"/>
  <c r="CU159" i="1"/>
  <c r="CW159" i="1"/>
  <c r="CC182" i="1"/>
  <c r="CD158" i="1"/>
  <c r="CC183" i="1"/>
  <c r="CD159" i="1"/>
  <c r="BR184" i="1"/>
  <c r="BS160" i="1"/>
  <c r="BR186" i="1"/>
  <c r="BS162" i="1"/>
  <c r="CT156" i="1"/>
  <c r="CT158" i="1"/>
  <c r="BP179" i="1"/>
  <c r="BH176" i="1"/>
  <c r="BH179" i="1"/>
  <c r="BW180" i="1"/>
  <c r="BY180" i="1"/>
  <c r="BW181" i="1"/>
  <c r="BY181" i="1"/>
  <c r="CB180" i="1"/>
  <c r="CB181" i="1"/>
  <c r="CV156" i="1"/>
  <c r="CX156" i="1"/>
  <c r="CV157" i="1"/>
  <c r="CX157" i="1"/>
  <c r="CV158" i="1"/>
  <c r="CX158" i="1"/>
  <c r="CV159" i="1"/>
  <c r="CX159" i="1"/>
  <c r="CC184" i="1"/>
  <c r="CD160" i="1"/>
  <c r="CJ161" i="1"/>
  <c r="CA161" i="1"/>
  <c r="BG193" i="1"/>
  <c r="BH170" i="1"/>
  <c r="R169" i="1"/>
  <c r="CA182" i="1"/>
  <c r="CA183" i="1"/>
  <c r="BN184" i="1"/>
  <c r="BV184" i="1"/>
  <c r="BX184" i="1"/>
  <c r="CA184" i="1"/>
  <c r="BW161" i="1"/>
  <c r="BW185" i="1" s="1"/>
  <c r="BY161" i="1"/>
  <c r="BY185" i="1" s="1"/>
  <c r="BW171" i="1"/>
  <c r="BW194" i="1" s="1"/>
  <c r="BY171" i="1"/>
  <c r="BY194" i="1" s="1"/>
  <c r="AQ167" i="1"/>
  <c r="BG168" i="1"/>
  <c r="BU194" i="1"/>
  <c r="BM171" i="1"/>
  <c r="CB182" i="1"/>
  <c r="CB183" i="1"/>
  <c r="BO184" i="1"/>
  <c r="BQ184" i="1"/>
  <c r="BW184" i="1"/>
  <c r="BY184" i="1"/>
  <c r="CB184" i="1"/>
  <c r="BZ162" i="1"/>
  <c r="BZ194" i="1"/>
  <c r="BQ186" i="1"/>
  <c r="BF193" i="1"/>
  <c r="H192" i="1"/>
  <c r="BA193" i="1"/>
  <c r="CJ160" i="1"/>
  <c r="CO157" i="1"/>
  <c r="CO159" i="1"/>
  <c r="CT172" i="1"/>
  <c r="CY151" i="1"/>
  <c r="H57" i="11"/>
  <c r="H60" i="11" s="1"/>
  <c r="H52" i="10"/>
  <c r="J52" i="10"/>
  <c r="J105" i="10" s="1"/>
  <c r="L57" i="11"/>
  <c r="L60" i="11" s="1"/>
  <c r="L64" i="11" s="1"/>
  <c r="L52" i="10"/>
  <c r="D57" i="11"/>
  <c r="D60" i="11" s="1"/>
  <c r="D52" i="10"/>
  <c r="D103" i="10" s="1"/>
  <c r="D47" i="11"/>
  <c r="H47" i="11"/>
  <c r="I52" i="10"/>
  <c r="I105" i="10" s="1"/>
  <c r="I57" i="11"/>
  <c r="I60" i="11" s="1"/>
  <c r="K57" i="11"/>
  <c r="K60" i="11" s="1"/>
  <c r="K64" i="11" s="1"/>
  <c r="K52" i="10"/>
  <c r="K105" i="10" s="1"/>
  <c r="M57" i="11"/>
  <c r="M60" i="11" s="1"/>
  <c r="M52" i="10"/>
  <c r="C52" i="10"/>
  <c r="C57" i="11"/>
  <c r="C60" i="11" s="1"/>
  <c r="E52" i="10"/>
  <c r="E105" i="10" s="1"/>
  <c r="E57" i="11"/>
  <c r="E60" i="11" s="1"/>
  <c r="G52" i="10"/>
  <c r="G57" i="11"/>
  <c r="G60" i="11" s="1"/>
  <c r="M47" i="11"/>
  <c r="C47" i="11"/>
  <c r="C49" i="11" s="1"/>
  <c r="G47" i="11"/>
  <c r="I47" i="11"/>
  <c r="L47" i="11"/>
  <c r="BI109" i="4"/>
  <c r="N20" i="11"/>
  <c r="P20" i="11"/>
  <c r="R20" i="11"/>
  <c r="BW109" i="4"/>
  <c r="O20" i="11"/>
  <c r="Q20" i="11"/>
  <c r="Q47" i="11" s="1"/>
  <c r="V22" i="11"/>
  <c r="E28" i="11"/>
  <c r="E47" i="11" s="1"/>
  <c r="H152" i="11"/>
  <c r="H140" i="11"/>
  <c r="H128" i="11"/>
  <c r="H137" i="11"/>
  <c r="H125" i="11"/>
  <c r="C72" i="11"/>
  <c r="E72" i="11"/>
  <c r="G72" i="11"/>
  <c r="K75" i="11"/>
  <c r="M75" i="11"/>
  <c r="D77" i="11"/>
  <c r="F77" i="11"/>
  <c r="D83" i="11"/>
  <c r="F83" i="11"/>
  <c r="L84" i="11"/>
  <c r="O91" i="11"/>
  <c r="Q91" i="11"/>
  <c r="J91" i="11"/>
  <c r="H91" i="11"/>
  <c r="L91" i="11"/>
  <c r="AA101" i="11"/>
  <c r="R152" i="11"/>
  <c r="R86" i="11"/>
  <c r="R91" i="11" s="1"/>
  <c r="T69" i="11"/>
  <c r="R72" i="11"/>
  <c r="U72" i="11" s="1"/>
  <c r="V72" i="11" s="1"/>
  <c r="W72" i="11" s="1"/>
  <c r="X72" i="11" s="1"/>
  <c r="Y72" i="11" s="1"/>
  <c r="Z72" i="11" s="1"/>
  <c r="AA72" i="11" s="1"/>
  <c r="AB72" i="11" s="1"/>
  <c r="AC72" i="11" s="1"/>
  <c r="AD72" i="11" s="1"/>
  <c r="AE72" i="11" s="1"/>
  <c r="AF72" i="11" s="1"/>
  <c r="J75" i="11"/>
  <c r="N75" i="11"/>
  <c r="P75" i="11"/>
  <c r="R75" i="11"/>
  <c r="S80" i="11"/>
  <c r="N91" i="11"/>
  <c r="P91" i="11"/>
  <c r="AC87" i="11"/>
  <c r="I91" i="11"/>
  <c r="K91" i="11"/>
  <c r="F91" i="11"/>
  <c r="Q101" i="11"/>
  <c r="O131" i="11"/>
  <c r="P132" i="11"/>
  <c r="P131" i="11" s="1"/>
  <c r="N146" i="11"/>
  <c r="O147" i="11"/>
  <c r="N134" i="11"/>
  <c r="O135" i="11"/>
  <c r="O143" i="11"/>
  <c r="P144" i="11"/>
  <c r="P143" i="11" s="1"/>
  <c r="I176" i="11"/>
  <c r="I163" i="11"/>
  <c r="I172" i="11"/>
  <c r="K176" i="11"/>
  <c r="K163" i="11"/>
  <c r="K172" i="11"/>
  <c r="M202" i="11"/>
  <c r="M198" i="11"/>
  <c r="M189" i="11"/>
  <c r="M176" i="11"/>
  <c r="M185" i="11"/>
  <c r="O189" i="11"/>
  <c r="O185" i="11"/>
  <c r="Q202" i="11"/>
  <c r="Q198" i="11"/>
  <c r="K159" i="11"/>
  <c r="N128" i="11"/>
  <c r="N140" i="11"/>
  <c r="J172" i="11"/>
  <c r="J159" i="11"/>
  <c r="J176" i="11"/>
  <c r="L185" i="11"/>
  <c r="L159" i="11"/>
  <c r="L202" i="11"/>
  <c r="L198" i="11"/>
  <c r="L189" i="11"/>
  <c r="L176" i="11"/>
  <c r="N185" i="11"/>
  <c r="N172" i="11"/>
  <c r="N202" i="11"/>
  <c r="N189" i="11"/>
  <c r="N176" i="11"/>
  <c r="P185" i="11"/>
  <c r="P191" i="11" s="1"/>
  <c r="P202" i="11"/>
  <c r="P198" i="11"/>
  <c r="I159" i="11"/>
  <c r="L163" i="11"/>
  <c r="F106" i="10"/>
  <c r="F102" i="10"/>
  <c r="H106" i="10"/>
  <c r="H102" i="10"/>
  <c r="J106" i="10"/>
  <c r="J102" i="10"/>
  <c r="E106" i="10"/>
  <c r="E102" i="10"/>
  <c r="G106" i="10"/>
  <c r="G102" i="10"/>
  <c r="I106" i="10"/>
  <c r="I102" i="10"/>
  <c r="K106" i="10"/>
  <c r="K102" i="10"/>
  <c r="U37" i="10"/>
  <c r="M180" i="10"/>
  <c r="M62" i="10"/>
  <c r="D10" i="10"/>
  <c r="H10" i="10"/>
  <c r="J10" i="10"/>
  <c r="L10" i="10"/>
  <c r="K183" i="10"/>
  <c r="K166" i="10"/>
  <c r="E19" i="10"/>
  <c r="C83" i="10"/>
  <c r="E83" i="10"/>
  <c r="G83" i="10"/>
  <c r="J186" i="10"/>
  <c r="J188" i="10" s="1"/>
  <c r="J71" i="10"/>
  <c r="N186" i="10"/>
  <c r="N71" i="10"/>
  <c r="P186" i="10"/>
  <c r="P188" i="10" s="1"/>
  <c r="P189" i="10" s="1"/>
  <c r="P71" i="10"/>
  <c r="L186" i="10"/>
  <c r="L71" i="10"/>
  <c r="L106" i="10"/>
  <c r="F27" i="10"/>
  <c r="H27" i="10"/>
  <c r="J27" i="10"/>
  <c r="J103" i="10" s="1"/>
  <c r="L27" i="10"/>
  <c r="L33" i="10" s="1"/>
  <c r="L42" i="10" s="1"/>
  <c r="N27" i="10"/>
  <c r="P27" i="10"/>
  <c r="R90" i="10"/>
  <c r="R85" i="10"/>
  <c r="O187" i="10"/>
  <c r="O106" i="10"/>
  <c r="O102" i="10"/>
  <c r="Q187" i="10"/>
  <c r="Q188" i="10" s="1"/>
  <c r="Q189" i="10" s="1"/>
  <c r="Q106" i="10"/>
  <c r="Q102" i="10"/>
  <c r="D33" i="10"/>
  <c r="D42" i="10" s="1"/>
  <c r="R33" i="10"/>
  <c r="R42" i="10" s="1"/>
  <c r="M106" i="10"/>
  <c r="M102" i="10"/>
  <c r="C61" i="10"/>
  <c r="C59" i="10"/>
  <c r="C57" i="10"/>
  <c r="C105" i="10"/>
  <c r="C104" i="10"/>
  <c r="C103" i="10"/>
  <c r="G105" i="10"/>
  <c r="M105" i="10"/>
  <c r="D73" i="10"/>
  <c r="C76" i="10"/>
  <c r="E76" i="10"/>
  <c r="G76" i="10"/>
  <c r="R76" i="10"/>
  <c r="T79" i="10"/>
  <c r="L90" i="10"/>
  <c r="N76" i="10"/>
  <c r="P76" i="10"/>
  <c r="I10" i="10"/>
  <c r="I76" i="10" s="1"/>
  <c r="K10" i="10"/>
  <c r="M10" i="10"/>
  <c r="M76" i="10" s="1"/>
  <c r="O10" i="10"/>
  <c r="J183" i="10"/>
  <c r="J166" i="10"/>
  <c r="J168" i="10" s="1"/>
  <c r="L183" i="10"/>
  <c r="L184" i="10" s="1"/>
  <c r="L166" i="10"/>
  <c r="L168" i="10" s="1"/>
  <c r="G82" i="10"/>
  <c r="F19" i="10"/>
  <c r="N19" i="10"/>
  <c r="P19" i="10"/>
  <c r="R19" i="10"/>
  <c r="R98" i="10" s="1"/>
  <c r="D83" i="10"/>
  <c r="D85" i="10"/>
  <c r="F85" i="10"/>
  <c r="F83" i="10"/>
  <c r="H83" i="10"/>
  <c r="H85" i="10"/>
  <c r="K186" i="10"/>
  <c r="K188" i="10" s="1"/>
  <c r="K71" i="10"/>
  <c r="O186" i="10"/>
  <c r="O71" i="10"/>
  <c r="M186" i="10"/>
  <c r="M71" i="10"/>
  <c r="L83" i="10"/>
  <c r="L85" i="10"/>
  <c r="C27" i="10"/>
  <c r="E27" i="10"/>
  <c r="E89" i="10" s="1"/>
  <c r="G27" i="10"/>
  <c r="I27" i="10"/>
  <c r="I73" i="10" s="1"/>
  <c r="K27" i="10"/>
  <c r="M27" i="10"/>
  <c r="O27" i="10"/>
  <c r="Q90" i="10"/>
  <c r="Q85" i="10"/>
  <c r="Q73" i="10"/>
  <c r="D106" i="10"/>
  <c r="D102" i="10"/>
  <c r="C106" i="10"/>
  <c r="C102" i="10"/>
  <c r="L102" i="10"/>
  <c r="P187" i="10"/>
  <c r="P106" i="10"/>
  <c r="P102" i="10"/>
  <c r="Q33" i="10"/>
  <c r="Q42" i="10" s="1"/>
  <c r="Q43" i="10" s="1"/>
  <c r="N106" i="10"/>
  <c r="N102" i="10"/>
  <c r="R106" i="10"/>
  <c r="R102" i="10"/>
  <c r="D105" i="10"/>
  <c r="H105" i="10"/>
  <c r="H103" i="10"/>
  <c r="L105" i="10"/>
  <c r="L103" i="10"/>
  <c r="C56" i="10"/>
  <c r="V63" i="10"/>
  <c r="W72" i="10"/>
  <c r="R73" i="10"/>
  <c r="D76" i="10"/>
  <c r="F76" i="10"/>
  <c r="Q76" i="10"/>
  <c r="C79" i="10"/>
  <c r="E79" i="10"/>
  <c r="G79" i="10"/>
  <c r="C82" i="10"/>
  <c r="F82" i="10"/>
  <c r="Q82" i="10"/>
  <c r="X122" i="10"/>
  <c r="H121" i="10"/>
  <c r="E123" i="10"/>
  <c r="F123" i="10" s="1"/>
  <c r="G123" i="10" s="1"/>
  <c r="H123" i="10" s="1"/>
  <c r="I123" i="10" s="1"/>
  <c r="J123" i="10" s="1"/>
  <c r="K123" i="10" s="1"/>
  <c r="L123" i="10" s="1"/>
  <c r="M123" i="10" s="1"/>
  <c r="N123" i="10" s="1"/>
  <c r="O123" i="10" s="1"/>
  <c r="P123" i="10" s="1"/>
  <c r="Q123" i="10" s="1"/>
  <c r="R123" i="10" s="1"/>
  <c r="S123" i="10" s="1"/>
  <c r="T123" i="10" s="1"/>
  <c r="U123" i="10" s="1"/>
  <c r="V123" i="10" s="1"/>
  <c r="W123" i="10" s="1"/>
  <c r="X123" i="10" s="1"/>
  <c r="Y123" i="10" s="1"/>
  <c r="Z123" i="10" s="1"/>
  <c r="AA123" i="10" s="1"/>
  <c r="AB123" i="10" s="1"/>
  <c r="AC123" i="10" s="1"/>
  <c r="AD123" i="10" s="1"/>
  <c r="AE123" i="10" s="1"/>
  <c r="AF123" i="10" s="1"/>
  <c r="L152" i="10"/>
  <c r="P152" i="10"/>
  <c r="M168" i="10"/>
  <c r="F168" i="10"/>
  <c r="H168" i="10"/>
  <c r="P168" i="10"/>
  <c r="K184" i="10"/>
  <c r="M184" i="10"/>
  <c r="C152" i="10"/>
  <c r="E152" i="10"/>
  <c r="G152" i="10"/>
  <c r="I152" i="10"/>
  <c r="K152" i="10"/>
  <c r="M152" i="10"/>
  <c r="O152" i="10"/>
  <c r="Q152" i="10"/>
  <c r="L188" i="10"/>
  <c r="N188" i="10"/>
  <c r="N189" i="10" s="1"/>
  <c r="M188" i="10"/>
  <c r="O188" i="10"/>
  <c r="O189" i="10" s="1"/>
  <c r="J184" i="10"/>
  <c r="J189" i="10" s="1"/>
  <c r="AZ137" i="4"/>
  <c r="AZ37" i="4"/>
  <c r="BD137" i="4"/>
  <c r="BD37" i="4"/>
  <c r="BH137" i="4"/>
  <c r="BH37" i="4"/>
  <c r="BP35" i="4"/>
  <c r="X137" i="4"/>
  <c r="AB137" i="4" s="1"/>
  <c r="AB35" i="4"/>
  <c r="H109" i="11" s="1"/>
  <c r="AC137" i="4"/>
  <c r="AG137" i="4" s="1"/>
  <c r="AG35" i="4"/>
  <c r="I109" i="11" s="1"/>
  <c r="AL35" i="4"/>
  <c r="AV137" i="4"/>
  <c r="AV35" i="4"/>
  <c r="AY137" i="4"/>
  <c r="BA35" i="4"/>
  <c r="BC137" i="4"/>
  <c r="BE137" i="4"/>
  <c r="BG137" i="4"/>
  <c r="BG36" i="4"/>
  <c r="BK35" i="4"/>
  <c r="BY37" i="4"/>
  <c r="AY37" i="4"/>
  <c r="BC37" i="4"/>
  <c r="BG37" i="4"/>
  <c r="AQ35" i="4"/>
  <c r="BB137" i="4"/>
  <c r="BB37" i="4"/>
  <c r="BF35" i="4"/>
  <c r="BE138" i="4"/>
  <c r="BE79" i="4"/>
  <c r="CO44" i="4"/>
  <c r="CO49" i="4"/>
  <c r="CJ48" i="4"/>
  <c r="AL137" i="4"/>
  <c r="AL37" i="4"/>
  <c r="AQ37" i="4"/>
  <c r="AV37" i="4"/>
  <c r="CD12" i="4"/>
  <c r="AP79" i="4"/>
  <c r="AQ79" i="4" s="1"/>
  <c r="AT79" i="4"/>
  <c r="AS79" i="4"/>
  <c r="AU79" i="4"/>
  <c r="AP109" i="4"/>
  <c r="Z109" i="4"/>
  <c r="AA109" i="4" s="1"/>
  <c r="AJ109" i="4"/>
  <c r="AK109" i="4" s="1"/>
  <c r="AT109" i="4"/>
  <c r="AU109" i="4" s="1"/>
  <c r="AX109" i="4"/>
  <c r="AY109" i="4" s="1"/>
  <c r="BH109" i="4"/>
  <c r="BR109" i="4"/>
  <c r="BK129" i="4"/>
  <c r="BA130" i="4"/>
  <c r="BB130" i="4"/>
  <c r="BC130" i="4" s="1"/>
  <c r="BD130" i="4" s="1"/>
  <c r="BE130" i="4" s="1"/>
  <c r="BG130" i="4" s="1"/>
  <c r="BH130" i="4" s="1"/>
  <c r="BI130" i="4" s="1"/>
  <c r="BJ130" i="4" s="1"/>
  <c r="BK130" i="4" s="1"/>
  <c r="AB127" i="4"/>
  <c r="AS128" i="4"/>
  <c r="AG127" i="4"/>
  <c r="BY131" i="4"/>
  <c r="AV138" i="4"/>
  <c r="AL138" i="4"/>
  <c r="AQ138" i="4"/>
  <c r="X124" i="12" l="1"/>
  <c r="U37" i="14"/>
  <c r="T205" i="14"/>
  <c r="M172" i="11"/>
  <c r="M178" i="11" s="1"/>
  <c r="U20" i="14"/>
  <c r="F105" i="10"/>
  <c r="F103" i="10"/>
  <c r="F47" i="11"/>
  <c r="F57" i="11"/>
  <c r="F60" i="11" s="1"/>
  <c r="E115" i="10"/>
  <c r="J47" i="11"/>
  <c r="F124" i="10"/>
  <c r="G124" i="10" s="1"/>
  <c r="H124" i="10" s="1"/>
  <c r="I124" i="10" s="1"/>
  <c r="J124" i="10" s="1"/>
  <c r="K124" i="10" s="1"/>
  <c r="L124" i="10" s="1"/>
  <c r="M124" i="10" s="1"/>
  <c r="N124" i="10" s="1"/>
  <c r="O124" i="10" s="1"/>
  <c r="P124" i="10" s="1"/>
  <c r="Q124" i="10" s="1"/>
  <c r="R124" i="10" s="1"/>
  <c r="S124" i="10" s="1"/>
  <c r="T124" i="10" s="1"/>
  <c r="U124" i="10" s="1"/>
  <c r="V124" i="10" s="1"/>
  <c r="W124" i="10" s="1"/>
  <c r="X124" i="10" s="1"/>
  <c r="Y124" i="10" s="1"/>
  <c r="Z124" i="10" s="1"/>
  <c r="AA124" i="10" s="1"/>
  <c r="AB124" i="10" s="1"/>
  <c r="AC124" i="10" s="1"/>
  <c r="AD124" i="10" s="1"/>
  <c r="AE124" i="10" s="1"/>
  <c r="AF124" i="10" s="1"/>
  <c r="O39" i="18"/>
  <c r="CO58" i="4"/>
  <c r="CT58" i="4" s="1"/>
  <c r="CH58" i="4"/>
  <c r="CG58" i="4"/>
  <c r="CG57" i="4" s="1"/>
  <c r="CF58" i="4"/>
  <c r="CF57" i="4" s="1"/>
  <c r="CI49" i="4"/>
  <c r="CI48" i="4" s="1"/>
  <c r="CH44" i="4"/>
  <c r="CH43" i="4" s="1"/>
  <c r="CF44" i="4"/>
  <c r="CF43" i="4" s="1"/>
  <c r="CG44" i="4"/>
  <c r="CF48" i="4"/>
  <c r="AG72" i="1"/>
  <c r="BM89" i="1"/>
  <c r="BM130" i="1" s="1"/>
  <c r="BM146" i="1" s="1"/>
  <c r="AV72" i="1"/>
  <c r="AB72" i="1"/>
  <c r="AP146" i="1"/>
  <c r="CH160" i="1"/>
  <c r="CG160" i="1"/>
  <c r="CF160" i="1"/>
  <c r="CI160" i="1"/>
  <c r="CH161" i="1"/>
  <c r="CG161" i="1"/>
  <c r="CF161" i="1"/>
  <c r="CI161" i="1"/>
  <c r="CJ195" i="1"/>
  <c r="CH84" i="1"/>
  <c r="CH195" i="1" s="1"/>
  <c r="CG84" i="1"/>
  <c r="CG195" i="1" s="1"/>
  <c r="CF84" i="1"/>
  <c r="CF195" i="1" s="1"/>
  <c r="CH159" i="1"/>
  <c r="N198" i="11"/>
  <c r="O132" i="14"/>
  <c r="O172" i="14" s="1"/>
  <c r="M101" i="14"/>
  <c r="T56" i="14"/>
  <c r="J165" i="11"/>
  <c r="O136" i="14"/>
  <c r="O176" i="14" s="1"/>
  <c r="N126" i="14"/>
  <c r="O134" i="14"/>
  <c r="P134" i="14" s="1"/>
  <c r="N101" i="14"/>
  <c r="L172" i="11"/>
  <c r="L178" i="11" s="1"/>
  <c r="O198" i="11"/>
  <c r="O204" i="11" s="1"/>
  <c r="AB128" i="4"/>
  <c r="BP130" i="4"/>
  <c r="BU130" i="4" s="1"/>
  <c r="CJ57" i="4"/>
  <c r="J5" i="18"/>
  <c r="K5" i="18" s="1"/>
  <c r="L5" i="18" s="1"/>
  <c r="M5" i="18" s="1"/>
  <c r="N5" i="18" s="1"/>
  <c r="O5" i="18" s="1"/>
  <c r="P5" i="18" s="1"/>
  <c r="Q5" i="18" s="1"/>
  <c r="R5" i="18" s="1"/>
  <c r="S5" i="18" s="1"/>
  <c r="T5" i="18" s="1"/>
  <c r="U5" i="18" s="1"/>
  <c r="V5" i="18" s="1"/>
  <c r="W5" i="18" s="1"/>
  <c r="X5" i="18" s="1"/>
  <c r="Y5" i="18" s="1"/>
  <c r="Z5" i="18" s="1"/>
  <c r="I9" i="18"/>
  <c r="CJ35" i="4"/>
  <c r="N149" i="11"/>
  <c r="L89" i="19"/>
  <c r="F98" i="10"/>
  <c r="BK137" i="4"/>
  <c r="BA137" i="4"/>
  <c r="K165" i="11"/>
  <c r="I9" i="19"/>
  <c r="AQ263" i="12"/>
  <c r="AP262" i="12"/>
  <c r="N93" i="19"/>
  <c r="M91" i="20"/>
  <c r="BF137" i="4"/>
  <c r="CJ43" i="4"/>
  <c r="CE35" i="4"/>
  <c r="CD9" i="4"/>
  <c r="CD196" i="1" s="1"/>
  <c r="P115" i="19"/>
  <c r="O118" i="19"/>
  <c r="BZ130" i="4"/>
  <c r="CE130" i="4" s="1"/>
  <c r="U165" i="10"/>
  <c r="V165" i="10" s="1"/>
  <c r="AU146" i="1"/>
  <c r="BV90" i="1"/>
  <c r="BT90" i="1"/>
  <c r="AD89" i="1"/>
  <c r="AD130" i="1" s="1"/>
  <c r="AD146" i="1" s="1"/>
  <c r="BK84" i="1"/>
  <c r="BR152" i="1"/>
  <c r="BR176" i="1" s="1"/>
  <c r="BH84" i="1"/>
  <c r="BH89" i="1" s="1"/>
  <c r="BH130" i="1" s="1"/>
  <c r="BH146" i="1" s="1"/>
  <c r="BR90" i="1"/>
  <c r="J110" i="19"/>
  <c r="BS135" i="1"/>
  <c r="BX135" i="1" s="1"/>
  <c r="BX90" i="1"/>
  <c r="AH84" i="1"/>
  <c r="AH89" i="1" s="1"/>
  <c r="AH130" i="1" s="1"/>
  <c r="AH146" i="1" s="1"/>
  <c r="K84" i="18"/>
  <c r="E53" i="18"/>
  <c r="AL72" i="1"/>
  <c r="BA72" i="1"/>
  <c r="AV68" i="1"/>
  <c r="AV84" i="1" s="1"/>
  <c r="AV89" i="1" s="1"/>
  <c r="AV130" i="1" s="1"/>
  <c r="BF68" i="1"/>
  <c r="BF84" i="1" s="1"/>
  <c r="BF89" i="1" s="1"/>
  <c r="BF130" i="1" s="1"/>
  <c r="BF146" i="1" s="1"/>
  <c r="N47" i="10" s="1"/>
  <c r="CA90" i="1"/>
  <c r="K480" i="12"/>
  <c r="N480" i="12"/>
  <c r="BD84" i="1"/>
  <c r="BD89" i="1" s="1"/>
  <c r="BD130" i="1" s="1"/>
  <c r="BD146" i="1" s="1"/>
  <c r="BP91" i="1"/>
  <c r="BL179" i="1"/>
  <c r="C146" i="1"/>
  <c r="C47" i="10" s="1"/>
  <c r="C97" i="10" s="1"/>
  <c r="BP84" i="1"/>
  <c r="BP89" i="1" s="1"/>
  <c r="BP130" i="1" s="1"/>
  <c r="AB68" i="1"/>
  <c r="AB84" i="1" s="1"/>
  <c r="AB89" i="1" s="1"/>
  <c r="AB130" i="1" s="1"/>
  <c r="BF72" i="1"/>
  <c r="AQ68" i="1"/>
  <c r="AQ84" i="1" s="1"/>
  <c r="AQ89" i="1" s="1"/>
  <c r="AQ130" i="1" s="1"/>
  <c r="BA68" i="1"/>
  <c r="BA84" i="1" s="1"/>
  <c r="BA89" i="1" s="1"/>
  <c r="BA130" i="1" s="1"/>
  <c r="BA146" i="1" s="1"/>
  <c r="M47" i="10" s="1"/>
  <c r="M63" i="10" s="1"/>
  <c r="AG68" i="1"/>
  <c r="AG84" i="1" s="1"/>
  <c r="AE465" i="12"/>
  <c r="S99" i="14"/>
  <c r="L434" i="12"/>
  <c r="AG465" i="12"/>
  <c r="BM176" i="1"/>
  <c r="M434" i="12"/>
  <c r="AZ84" i="1"/>
  <c r="AZ89" i="1" s="1"/>
  <c r="AZ130" i="1" s="1"/>
  <c r="AZ146" i="1" s="1"/>
  <c r="AF84" i="1"/>
  <c r="AF89" i="1" s="1"/>
  <c r="AF130" i="1" s="1"/>
  <c r="AF146" i="1" s="1"/>
  <c r="BL176" i="1"/>
  <c r="L460" i="12"/>
  <c r="L464" i="12" s="1"/>
  <c r="CA171" i="1"/>
  <c r="CB171" i="1" s="1"/>
  <c r="K434" i="12"/>
  <c r="Z84" i="1"/>
  <c r="Z89" i="1" s="1"/>
  <c r="Z130" i="1" s="1"/>
  <c r="Z146" i="1" s="1"/>
  <c r="N434" i="12"/>
  <c r="X460" i="12"/>
  <c r="X464" i="12" s="1"/>
  <c r="S434" i="12"/>
  <c r="AL465" i="12"/>
  <c r="AC460" i="12"/>
  <c r="AC464" i="12" s="1"/>
  <c r="K115" i="19"/>
  <c r="J105" i="19"/>
  <c r="AI465" i="12"/>
  <c r="K116" i="19"/>
  <c r="X434" i="12"/>
  <c r="X480" i="12"/>
  <c r="L480" i="12"/>
  <c r="AF465" i="12"/>
  <c r="BE146" i="1"/>
  <c r="AL68" i="1"/>
  <c r="AL84" i="1" s="1"/>
  <c r="BU91" i="1"/>
  <c r="BK89" i="1"/>
  <c r="BK130" i="1" s="1"/>
  <c r="AJ465" i="12"/>
  <c r="W84" i="1"/>
  <c r="W89" i="1" s="1"/>
  <c r="W130" i="1" s="1"/>
  <c r="BS90" i="1"/>
  <c r="AD465" i="12"/>
  <c r="M480" i="12"/>
  <c r="AO439" i="12"/>
  <c r="AP439" i="12" s="1"/>
  <c r="AQ439" i="12" s="1"/>
  <c r="AR439" i="12" s="1"/>
  <c r="AS439" i="12" s="1"/>
  <c r="AT439" i="12" s="1"/>
  <c r="AU439" i="12" s="1"/>
  <c r="AV439" i="12" s="1"/>
  <c r="AW439" i="12" s="1"/>
  <c r="AX439" i="12" s="1"/>
  <c r="AY439" i="12" s="1"/>
  <c r="AZ439" i="12" s="1"/>
  <c r="BA439" i="12" s="1"/>
  <c r="AK465" i="12"/>
  <c r="AL13" i="1"/>
  <c r="AO436" i="12"/>
  <c r="AP436" i="12" s="1"/>
  <c r="AQ436" i="12" s="1"/>
  <c r="AR436" i="12" s="1"/>
  <c r="AS436" i="12" s="1"/>
  <c r="AT436" i="12" s="1"/>
  <c r="AU436" i="12" s="1"/>
  <c r="AV436" i="12" s="1"/>
  <c r="AW436" i="12" s="1"/>
  <c r="AX436" i="12" s="1"/>
  <c r="AY436" i="12" s="1"/>
  <c r="AZ436" i="12" s="1"/>
  <c r="BA436" i="12" s="1"/>
  <c r="T100" i="11"/>
  <c r="U100" i="11" s="1"/>
  <c r="BW131" i="4"/>
  <c r="P204" i="11"/>
  <c r="P206" i="11" s="1"/>
  <c r="M191" i="11"/>
  <c r="I178" i="11"/>
  <c r="T92" i="11"/>
  <c r="K178" i="11"/>
  <c r="AQ313" i="12"/>
  <c r="AP315" i="12"/>
  <c r="AP70" i="12"/>
  <c r="J109" i="11"/>
  <c r="CD18" i="4"/>
  <c r="AV79" i="4"/>
  <c r="K109" i="11"/>
  <c r="T7" i="11"/>
  <c r="T90" i="11" s="1"/>
  <c r="L109" i="11"/>
  <c r="CJ171" i="1"/>
  <c r="BS171" i="1"/>
  <c r="BS194" i="1" s="1"/>
  <c r="BW90" i="1"/>
  <c r="BK186" i="1"/>
  <c r="AG8" i="1"/>
  <c r="AG176" i="1" s="1"/>
  <c r="BI146" i="1"/>
  <c r="BG173" i="1"/>
  <c r="BG146" i="1"/>
  <c r="BJ146" i="1"/>
  <c r="CJ118" i="1"/>
  <c r="S480" i="12"/>
  <c r="S478" i="12"/>
  <c r="S479" i="12" s="1"/>
  <c r="J434" i="12"/>
  <c r="BN90" i="1"/>
  <c r="AC479" i="12"/>
  <c r="J460" i="12"/>
  <c r="J464" i="12" s="1"/>
  <c r="BQ89" i="1"/>
  <c r="BL90" i="1"/>
  <c r="BO90" i="1"/>
  <c r="AM479" i="12"/>
  <c r="AN479" i="12" s="1"/>
  <c r="AP479" i="12" s="1"/>
  <c r="AQ479" i="12" s="1"/>
  <c r="AR479" i="12" s="1"/>
  <c r="AS479" i="12" s="1"/>
  <c r="AT479" i="12" s="1"/>
  <c r="AU479" i="12" s="1"/>
  <c r="AV479" i="12" s="1"/>
  <c r="AW479" i="12" s="1"/>
  <c r="AX479" i="12" s="1"/>
  <c r="AY479" i="12" s="1"/>
  <c r="AZ479" i="12" s="1"/>
  <c r="BA479" i="12" s="1"/>
  <c r="BU89" i="1"/>
  <c r="BU130" i="1" s="1"/>
  <c r="BU146" i="1" s="1"/>
  <c r="Q47" i="10" s="1"/>
  <c r="Q97" i="10" s="1"/>
  <c r="L65" i="20"/>
  <c r="L28" i="20"/>
  <c r="L36" i="20" s="1"/>
  <c r="M25" i="20"/>
  <c r="P69" i="20"/>
  <c r="P49" i="20"/>
  <c r="X69" i="20"/>
  <c r="X49" i="20"/>
  <c r="R69" i="20"/>
  <c r="R49" i="20"/>
  <c r="Z69" i="20"/>
  <c r="Z49" i="20"/>
  <c r="M69" i="20"/>
  <c r="M49" i="20"/>
  <c r="Q69" i="20"/>
  <c r="Q49" i="20"/>
  <c r="U69" i="20"/>
  <c r="U49" i="20"/>
  <c r="Y69" i="20"/>
  <c r="Y49" i="20"/>
  <c r="E13" i="20"/>
  <c r="E54" i="20"/>
  <c r="K16" i="20"/>
  <c r="P89" i="20"/>
  <c r="K83" i="20"/>
  <c r="L82" i="20"/>
  <c r="K84" i="20"/>
  <c r="L77" i="20"/>
  <c r="L76" i="20"/>
  <c r="M75" i="20"/>
  <c r="P79" i="20"/>
  <c r="Q78" i="20"/>
  <c r="O63" i="20"/>
  <c r="N41" i="20"/>
  <c r="O39" i="20"/>
  <c r="G32" i="20"/>
  <c r="F33" i="20"/>
  <c r="K65" i="20"/>
  <c r="K28" i="20"/>
  <c r="K36" i="20" s="1"/>
  <c r="L69" i="20"/>
  <c r="L49" i="20"/>
  <c r="T69" i="20"/>
  <c r="T49" i="20"/>
  <c r="N69" i="20"/>
  <c r="N49" i="20"/>
  <c r="V69" i="20"/>
  <c r="V49" i="20"/>
  <c r="K69" i="20"/>
  <c r="K49" i="20"/>
  <c r="O69" i="20"/>
  <c r="O49" i="20"/>
  <c r="S69" i="20"/>
  <c r="S49" i="20"/>
  <c r="W69" i="20"/>
  <c r="W49" i="20"/>
  <c r="J99" i="20"/>
  <c r="P40" i="20"/>
  <c r="H40" i="20"/>
  <c r="F41" i="20"/>
  <c r="F16" i="20"/>
  <c r="L115" i="19"/>
  <c r="L118" i="19" s="1"/>
  <c r="O91" i="19"/>
  <c r="M92" i="19"/>
  <c r="M90" i="20" s="1"/>
  <c r="L95" i="19"/>
  <c r="L101" i="19" s="1"/>
  <c r="M77" i="19"/>
  <c r="M78" i="19" s="1"/>
  <c r="M76" i="19"/>
  <c r="N75" i="19"/>
  <c r="J95" i="19"/>
  <c r="M86" i="19"/>
  <c r="M85" i="19"/>
  <c r="N84" i="19"/>
  <c r="C63" i="19"/>
  <c r="C62" i="19" s="1"/>
  <c r="D62" i="19"/>
  <c r="N41" i="19"/>
  <c r="O39" i="19"/>
  <c r="D54" i="19"/>
  <c r="D13" i="19"/>
  <c r="S63" i="19"/>
  <c r="H40" i="19"/>
  <c r="K65" i="19"/>
  <c r="G31" i="19"/>
  <c r="F28" i="19"/>
  <c r="F36" i="19" s="1"/>
  <c r="K69" i="19"/>
  <c r="K49" i="19"/>
  <c r="O69" i="19"/>
  <c r="O49" i="19"/>
  <c r="S69" i="19"/>
  <c r="S49" i="19"/>
  <c r="W69" i="19"/>
  <c r="W49" i="19"/>
  <c r="L49" i="19"/>
  <c r="L69" i="19"/>
  <c r="P49" i="19"/>
  <c r="P69" i="19"/>
  <c r="T49" i="19"/>
  <c r="T69" i="19"/>
  <c r="X69" i="19"/>
  <c r="X49" i="19"/>
  <c r="U99" i="19"/>
  <c r="K101" i="19"/>
  <c r="S99" i="19"/>
  <c r="J101" i="19"/>
  <c r="R99" i="19"/>
  <c r="V99" i="19"/>
  <c r="P88" i="19"/>
  <c r="Q87" i="19"/>
  <c r="E33" i="19"/>
  <c r="E30" i="19" s="1"/>
  <c r="E38" i="19" s="1"/>
  <c r="F32" i="19"/>
  <c r="E29" i="19"/>
  <c r="E37" i="19" s="1"/>
  <c r="E54" i="19" s="1"/>
  <c r="P40" i="19"/>
  <c r="J16" i="19"/>
  <c r="H16" i="19"/>
  <c r="M69" i="19"/>
  <c r="M49" i="19"/>
  <c r="Q69" i="19"/>
  <c r="Q49" i="19"/>
  <c r="U69" i="19"/>
  <c r="U49" i="19"/>
  <c r="Y69" i="19"/>
  <c r="Y49" i="19"/>
  <c r="N69" i="19"/>
  <c r="N49" i="19"/>
  <c r="R69" i="19"/>
  <c r="R49" i="19"/>
  <c r="V69" i="19"/>
  <c r="V49" i="19"/>
  <c r="Z69" i="19"/>
  <c r="Z49" i="19"/>
  <c r="Q99" i="19"/>
  <c r="Y99" i="19"/>
  <c r="W99" i="19"/>
  <c r="P99" i="19"/>
  <c r="T99" i="19"/>
  <c r="X99" i="19"/>
  <c r="O93" i="18"/>
  <c r="L79" i="18"/>
  <c r="L80" i="18"/>
  <c r="M77" i="18"/>
  <c r="L78" i="18"/>
  <c r="P62" i="18"/>
  <c r="L68" i="18"/>
  <c r="L49" i="18"/>
  <c r="P68" i="18"/>
  <c r="P49" i="18"/>
  <c r="T68" i="18"/>
  <c r="T49" i="18"/>
  <c r="X68" i="18"/>
  <c r="X49" i="18"/>
  <c r="M49" i="18"/>
  <c r="M68" i="18"/>
  <c r="Q49" i="18"/>
  <c r="Q68" i="18"/>
  <c r="U49" i="18"/>
  <c r="U68" i="18"/>
  <c r="Y49" i="18"/>
  <c r="Y68" i="18"/>
  <c r="K88" i="18"/>
  <c r="K87" i="18"/>
  <c r="L86" i="18"/>
  <c r="N33" i="18"/>
  <c r="O32" i="18"/>
  <c r="G11" i="18"/>
  <c r="F11" i="18" s="1"/>
  <c r="E11" i="18" s="1"/>
  <c r="D11" i="18" s="1"/>
  <c r="C11" i="18" s="1"/>
  <c r="G40" i="18"/>
  <c r="F37" i="18"/>
  <c r="P120" i="18"/>
  <c r="P117" i="18" s="1"/>
  <c r="O90" i="18"/>
  <c r="P89" i="18"/>
  <c r="P85" i="20" s="1"/>
  <c r="P86" i="20" s="1"/>
  <c r="O83" i="18"/>
  <c r="O82" i="18" s="1"/>
  <c r="P81" i="18"/>
  <c r="P79" i="19" s="1"/>
  <c r="J84" i="18"/>
  <c r="N68" i="18"/>
  <c r="N49" i="18"/>
  <c r="R68" i="18"/>
  <c r="R49" i="18"/>
  <c r="V68" i="18"/>
  <c r="V49" i="18"/>
  <c r="Z68" i="18"/>
  <c r="Z49" i="18"/>
  <c r="O49" i="18"/>
  <c r="O68" i="18"/>
  <c r="S49" i="18"/>
  <c r="S68" i="18"/>
  <c r="W49" i="18"/>
  <c r="W68" i="18"/>
  <c r="O41" i="18"/>
  <c r="P39" i="18"/>
  <c r="G16" i="18"/>
  <c r="M33" i="18"/>
  <c r="L16" i="18"/>
  <c r="Q40" i="18"/>
  <c r="M82" i="12"/>
  <c r="M74" i="12"/>
  <c r="M153" i="12" s="1"/>
  <c r="M157" i="12" s="1"/>
  <c r="M158" i="12" s="1"/>
  <c r="M75" i="12"/>
  <c r="M164" i="12" s="1"/>
  <c r="M168" i="12" s="1"/>
  <c r="M169" i="12" s="1"/>
  <c r="M73" i="12"/>
  <c r="AH460" i="12"/>
  <c r="AH464" i="12" s="1"/>
  <c r="AM433" i="12"/>
  <c r="AO340" i="12"/>
  <c r="AC341" i="12"/>
  <c r="AN307" i="12"/>
  <c r="AO307" i="12" s="1"/>
  <c r="AQ270" i="12"/>
  <c r="AQ272" i="12"/>
  <c r="AR271" i="12"/>
  <c r="AH341" i="12"/>
  <c r="AT329" i="12"/>
  <c r="AS330" i="12"/>
  <c r="AS328" i="12"/>
  <c r="R307" i="12"/>
  <c r="AU276" i="12"/>
  <c r="AV275" i="12"/>
  <c r="AU274" i="12"/>
  <c r="H244" i="12"/>
  <c r="AU216" i="12"/>
  <c r="AT196" i="12"/>
  <c r="D344" i="12"/>
  <c r="D345" i="12"/>
  <c r="AT266" i="12"/>
  <c r="AU267" i="12"/>
  <c r="F250" i="12"/>
  <c r="E249" i="12"/>
  <c r="AI200" i="12"/>
  <c r="AJ200" i="12" s="1"/>
  <c r="AK200" i="12" s="1"/>
  <c r="AL200" i="12" s="1"/>
  <c r="AM210" i="12"/>
  <c r="AP387" i="12"/>
  <c r="AQ177" i="12"/>
  <c r="AA378" i="12"/>
  <c r="AF166" i="12"/>
  <c r="AB166" i="12"/>
  <c r="V378" i="12"/>
  <c r="W166" i="12"/>
  <c r="W378" i="12" s="1"/>
  <c r="AJ370" i="12"/>
  <c r="AK155" i="12"/>
  <c r="AE370" i="12"/>
  <c r="AF155" i="12"/>
  <c r="Z370" i="12"/>
  <c r="AA155" i="12"/>
  <c r="U370" i="12"/>
  <c r="V155" i="12"/>
  <c r="P370" i="12"/>
  <c r="Q155" i="12"/>
  <c r="AY120" i="12"/>
  <c r="AX121" i="12"/>
  <c r="AX119" i="12"/>
  <c r="AC124" i="12"/>
  <c r="AH90" i="12"/>
  <c r="AV180" i="12"/>
  <c r="AU178" i="12"/>
  <c r="AT159" i="12"/>
  <c r="AS157" i="12"/>
  <c r="S124" i="12"/>
  <c r="AV53" i="12"/>
  <c r="AU52" i="12"/>
  <c r="AU54" i="12"/>
  <c r="AR49" i="12"/>
  <c r="AQ50" i="12"/>
  <c r="AQ48" i="12"/>
  <c r="N246" i="12"/>
  <c r="S24" i="12"/>
  <c r="N23" i="12"/>
  <c r="L128" i="12"/>
  <c r="L154" i="12" s="1"/>
  <c r="L157" i="12" s="1"/>
  <c r="L158" i="12" s="1"/>
  <c r="L129" i="12"/>
  <c r="L165" i="12" s="1"/>
  <c r="L127" i="12"/>
  <c r="L146" i="12" s="1"/>
  <c r="E18" i="12"/>
  <c r="E21" i="12" s="1"/>
  <c r="E27" i="12" s="1"/>
  <c r="E73" i="12" s="1"/>
  <c r="F6" i="12"/>
  <c r="AR44" i="12"/>
  <c r="AS45" i="12"/>
  <c r="AQ31" i="12"/>
  <c r="W13" i="12"/>
  <c r="L168" i="12"/>
  <c r="L169" i="12" s="1"/>
  <c r="M15" i="12"/>
  <c r="M16" i="12" s="1"/>
  <c r="AU55" i="12"/>
  <c r="AQ51" i="12"/>
  <c r="AQ70" i="12" s="1"/>
  <c r="AX122" i="12"/>
  <c r="AT269" i="12"/>
  <c r="AS331" i="12"/>
  <c r="AH479" i="12"/>
  <c r="X479" i="12"/>
  <c r="Q341" i="12"/>
  <c r="S307" i="12"/>
  <c r="M287" i="12"/>
  <c r="N286" i="12"/>
  <c r="AM314" i="12"/>
  <c r="AN314" i="12" s="1"/>
  <c r="AO314" i="12" s="1"/>
  <c r="AP314" i="12" s="1"/>
  <c r="AQ314" i="12" s="1"/>
  <c r="AR314" i="12" s="1"/>
  <c r="AS314" i="12" s="1"/>
  <c r="AT314" i="12" s="1"/>
  <c r="AU314" i="12" s="1"/>
  <c r="AV314" i="12" s="1"/>
  <c r="AW314" i="12" s="1"/>
  <c r="AX314" i="12" s="1"/>
  <c r="AY314" i="12" s="1"/>
  <c r="AZ314" i="12" s="1"/>
  <c r="BA314" i="12" s="1"/>
  <c r="AM312" i="12"/>
  <c r="AN312" i="12" s="1"/>
  <c r="AO312" i="12" s="1"/>
  <c r="AP312" i="12" s="1"/>
  <c r="AQ312" i="12" s="1"/>
  <c r="AR312" i="12" s="1"/>
  <c r="AS312" i="12" s="1"/>
  <c r="AT312" i="12" s="1"/>
  <c r="AU312" i="12" s="1"/>
  <c r="AV312" i="12" s="1"/>
  <c r="AW312" i="12" s="1"/>
  <c r="AX312" i="12" s="1"/>
  <c r="AY312" i="12" s="1"/>
  <c r="AZ312" i="12" s="1"/>
  <c r="BA312" i="12" s="1"/>
  <c r="AM309" i="12"/>
  <c r="AM320" i="12" s="1"/>
  <c r="AM310" i="12"/>
  <c r="AN310" i="12" s="1"/>
  <c r="AO310" i="12" s="1"/>
  <c r="AP310" i="12" s="1"/>
  <c r="AQ310" i="12" s="1"/>
  <c r="AR310" i="12" s="1"/>
  <c r="AS310" i="12" s="1"/>
  <c r="AT310" i="12" s="1"/>
  <c r="AU310" i="12" s="1"/>
  <c r="AV310" i="12" s="1"/>
  <c r="AW310" i="12" s="1"/>
  <c r="AX310" i="12" s="1"/>
  <c r="AY310" i="12" s="1"/>
  <c r="AZ310" i="12" s="1"/>
  <c r="BA310" i="12" s="1"/>
  <c r="AM308" i="12"/>
  <c r="AN308" i="12" s="1"/>
  <c r="AO308" i="12" s="1"/>
  <c r="AP308" i="12" s="1"/>
  <c r="AQ308" i="12" s="1"/>
  <c r="AR308" i="12" s="1"/>
  <c r="AS308" i="12" s="1"/>
  <c r="AT308" i="12" s="1"/>
  <c r="AU308" i="12" s="1"/>
  <c r="AV308" i="12" s="1"/>
  <c r="AW308" i="12" s="1"/>
  <c r="AX308" i="12" s="1"/>
  <c r="AY308" i="12" s="1"/>
  <c r="AZ308" i="12" s="1"/>
  <c r="BA308" i="12" s="1"/>
  <c r="AY338" i="12"/>
  <c r="AZ337" i="12"/>
  <c r="AY336" i="12"/>
  <c r="AV333" i="12"/>
  <c r="AU334" i="12"/>
  <c r="AU332" i="12"/>
  <c r="AT325" i="12"/>
  <c r="AS326" i="12"/>
  <c r="AS324" i="12"/>
  <c r="AU283" i="12"/>
  <c r="AT282" i="12"/>
  <c r="AT284" i="12"/>
  <c r="AZ279" i="12"/>
  <c r="AY280" i="12"/>
  <c r="AY278" i="12"/>
  <c r="G304" i="12"/>
  <c r="S234" i="12"/>
  <c r="N237" i="12"/>
  <c r="AV226" i="12"/>
  <c r="AT206" i="12"/>
  <c r="AO108" i="12"/>
  <c r="AN109" i="12"/>
  <c r="AN107" i="12"/>
  <c r="AO190" i="12"/>
  <c r="AN200" i="12"/>
  <c r="AP394" i="12"/>
  <c r="AQ186" i="12"/>
  <c r="AT386" i="12"/>
  <c r="AU176" i="12"/>
  <c r="Z379" i="12"/>
  <c r="AA167" i="12"/>
  <c r="AE378" i="12"/>
  <c r="AJ166" i="12"/>
  <c r="AJ378" i="12" s="1"/>
  <c r="V379" i="12"/>
  <c r="W167" i="12"/>
  <c r="W379" i="12" s="1"/>
  <c r="AJ371" i="12"/>
  <c r="AK156" i="12"/>
  <c r="AJ167" i="12"/>
  <c r="AJ379" i="12" s="1"/>
  <c r="AE371" i="12"/>
  <c r="AE167" i="12"/>
  <c r="AE379" i="12" s="1"/>
  <c r="AF156" i="12"/>
  <c r="Z371" i="12"/>
  <c r="AA156" i="12"/>
  <c r="U371" i="12"/>
  <c r="V156" i="12"/>
  <c r="P371" i="12"/>
  <c r="Q156" i="12"/>
  <c r="N146" i="12"/>
  <c r="N137" i="12"/>
  <c r="AN104" i="12"/>
  <c r="AR115" i="12"/>
  <c r="AR117" i="12"/>
  <c r="AP113" i="12"/>
  <c r="AQ112" i="12"/>
  <c r="AP111" i="12"/>
  <c r="AS60" i="12"/>
  <c r="AS62" i="12"/>
  <c r="AT61" i="12"/>
  <c r="AW58" i="12"/>
  <c r="AX57" i="12"/>
  <c r="AW56" i="12"/>
  <c r="E246" i="12"/>
  <c r="E244" i="12" s="1"/>
  <c r="E303" i="12" s="1"/>
  <c r="E22" i="12"/>
  <c r="E86" i="12" s="1"/>
  <c r="E127" i="12" s="1"/>
  <c r="E146" i="12" s="1"/>
  <c r="F245" i="12"/>
  <c r="F243" i="12" s="1"/>
  <c r="F24" i="12"/>
  <c r="G23" i="12"/>
  <c r="S6" i="12"/>
  <c r="D150" i="12"/>
  <c r="D462" i="12" s="1"/>
  <c r="L83" i="12"/>
  <c r="L145" i="12"/>
  <c r="N9" i="12"/>
  <c r="N19" i="12" s="1"/>
  <c r="O13" i="12"/>
  <c r="AR47" i="12"/>
  <c r="AN70" i="12"/>
  <c r="AO70" i="12"/>
  <c r="AW59" i="12"/>
  <c r="AR118" i="12"/>
  <c r="AU277" i="12"/>
  <c r="AU335" i="12"/>
  <c r="AQ273" i="12"/>
  <c r="AY281" i="12"/>
  <c r="L212" i="14"/>
  <c r="E212" i="14"/>
  <c r="H212" i="14"/>
  <c r="M210" i="14"/>
  <c r="T43" i="14"/>
  <c r="K207" i="14"/>
  <c r="K210" i="14" s="1"/>
  <c r="J97" i="14"/>
  <c r="J45" i="14"/>
  <c r="J47" i="14" s="1"/>
  <c r="F212" i="14"/>
  <c r="P169" i="14"/>
  <c r="O208" i="14"/>
  <c r="P191" i="14"/>
  <c r="Q151" i="14"/>
  <c r="P178" i="14"/>
  <c r="Q139" i="14"/>
  <c r="P187" i="14"/>
  <c r="Q137" i="14"/>
  <c r="U77" i="14"/>
  <c r="V20" i="14"/>
  <c r="U8" i="14"/>
  <c r="T182" i="11"/>
  <c r="U6" i="14"/>
  <c r="T156" i="11"/>
  <c r="U4" i="14"/>
  <c r="I171" i="14"/>
  <c r="H61" i="14"/>
  <c r="H106" i="14"/>
  <c r="I109" i="14" s="1"/>
  <c r="H5" i="14"/>
  <c r="H42" i="14" s="1"/>
  <c r="H156" i="11"/>
  <c r="H157" i="11" s="1"/>
  <c r="H161" i="11" s="1"/>
  <c r="I61" i="14"/>
  <c r="U91" i="14"/>
  <c r="V34" i="14"/>
  <c r="V202" i="14" s="1"/>
  <c r="T182" i="14"/>
  <c r="T72" i="14"/>
  <c r="U72" i="14"/>
  <c r="T9" i="14"/>
  <c r="S195" i="11"/>
  <c r="T7" i="14"/>
  <c r="T5" i="14"/>
  <c r="S169" i="11"/>
  <c r="Q55" i="14"/>
  <c r="Q57" i="14" s="1"/>
  <c r="Q54" i="14"/>
  <c r="Q56" i="14" s="1"/>
  <c r="R1" i="14"/>
  <c r="I165" i="11"/>
  <c r="G212" i="14"/>
  <c r="D214" i="14"/>
  <c r="D212" i="14"/>
  <c r="O188" i="14"/>
  <c r="P148" i="14"/>
  <c r="N175" i="14"/>
  <c r="O135" i="14"/>
  <c r="N173" i="14"/>
  <c r="O133" i="14"/>
  <c r="N171" i="14"/>
  <c r="O131" i="14"/>
  <c r="O177" i="14"/>
  <c r="P138" i="14"/>
  <c r="U42" i="14"/>
  <c r="U95" i="14"/>
  <c r="V38" i="14"/>
  <c r="V206" i="14" s="1"/>
  <c r="K97" i="14"/>
  <c r="K99" i="14" s="1"/>
  <c r="K101" i="14" s="1"/>
  <c r="Q207" i="14"/>
  <c r="R168" i="14"/>
  <c r="T93" i="14"/>
  <c r="U36" i="14"/>
  <c r="U204" i="14" s="1"/>
  <c r="U189" i="14"/>
  <c r="U79" i="14"/>
  <c r="V22" i="14"/>
  <c r="T78" i="14"/>
  <c r="U21" i="14"/>
  <c r="U56" i="14" s="1"/>
  <c r="S45" i="14"/>
  <c r="J207" i="14"/>
  <c r="I45" i="14"/>
  <c r="I47" i="14" s="1"/>
  <c r="J99" i="14"/>
  <c r="J101" i="14" s="1"/>
  <c r="J210" i="14"/>
  <c r="Q47" i="14"/>
  <c r="U92" i="14"/>
  <c r="V35" i="14"/>
  <c r="V203" i="14" s="1"/>
  <c r="U192" i="14"/>
  <c r="U82" i="14"/>
  <c r="V25" i="14"/>
  <c r="U81" i="14"/>
  <c r="V24" i="14"/>
  <c r="DD151" i="1"/>
  <c r="CT159" i="1"/>
  <c r="CO160" i="1"/>
  <c r="BM194" i="1"/>
  <c r="BN171" i="1"/>
  <c r="BT171" i="1"/>
  <c r="BT194" i="1" s="1"/>
  <c r="AQ190" i="1"/>
  <c r="AV167" i="1"/>
  <c r="CO161" i="1"/>
  <c r="DC159" i="1"/>
  <c r="DC158" i="1"/>
  <c r="DC157" i="1"/>
  <c r="DC156" i="1"/>
  <c r="CY158" i="1"/>
  <c r="CY156" i="1"/>
  <c r="BS186" i="1"/>
  <c r="BT162" i="1"/>
  <c r="BT186" i="1" s="1"/>
  <c r="CA194" i="1"/>
  <c r="CZ159" i="1"/>
  <c r="CZ158" i="1"/>
  <c r="CZ157" i="1"/>
  <c r="CZ156" i="1"/>
  <c r="BO144" i="1"/>
  <c r="BT144" i="1" s="1"/>
  <c r="BY144" i="1" s="1"/>
  <c r="BJ142" i="1"/>
  <c r="BK144" i="1"/>
  <c r="BP144" i="1" s="1"/>
  <c r="AQ142" i="1"/>
  <c r="AQ132" i="1"/>
  <c r="AG142" i="1"/>
  <c r="AG132" i="1"/>
  <c r="W142" i="1"/>
  <c r="W132" i="1"/>
  <c r="BQ179" i="1"/>
  <c r="BR155" i="1"/>
  <c r="BZ176" i="1"/>
  <c r="BZ159" i="1"/>
  <c r="BZ158" i="1"/>
  <c r="BX152" i="1"/>
  <c r="BX176" i="1" s="1"/>
  <c r="BV152" i="1"/>
  <c r="BV176" i="1" s="1"/>
  <c r="CE152" i="1"/>
  <c r="BY152" i="1"/>
  <c r="BY176" i="1" s="1"/>
  <c r="BW152" i="1"/>
  <c r="BW176" i="1" s="1"/>
  <c r="AV175" i="1"/>
  <c r="BA151" i="1"/>
  <c r="AL142" i="1"/>
  <c r="AL132" i="1"/>
  <c r="AB142" i="1"/>
  <c r="AB132" i="1"/>
  <c r="CJ112" i="1"/>
  <c r="CI112" i="1" s="1"/>
  <c r="R84" i="1"/>
  <c r="R89" i="1" s="1"/>
  <c r="R130" i="1" s="1"/>
  <c r="BZ91" i="1"/>
  <c r="M89" i="1"/>
  <c r="M130" i="1" s="1"/>
  <c r="M146" i="1" s="1"/>
  <c r="E47" i="10" s="1"/>
  <c r="AG13" i="1"/>
  <c r="BW146" i="1"/>
  <c r="BT146" i="1"/>
  <c r="BR146" i="1"/>
  <c r="BO146" i="1"/>
  <c r="CY172" i="1"/>
  <c r="CT157" i="1"/>
  <c r="BZ186" i="1"/>
  <c r="BX162" i="1"/>
  <c r="BX186" i="1" s="1"/>
  <c r="BV162" i="1"/>
  <c r="BV186" i="1" s="1"/>
  <c r="CE162" i="1"/>
  <c r="BY162" i="1"/>
  <c r="BY186" i="1" s="1"/>
  <c r="BW162" i="1"/>
  <c r="BW186" i="1" s="1"/>
  <c r="BG191" i="1"/>
  <c r="BH168" i="1"/>
  <c r="R192" i="1"/>
  <c r="W169" i="1"/>
  <c r="BH193" i="1"/>
  <c r="BI170" i="1"/>
  <c r="CA185" i="1"/>
  <c r="CB161" i="1"/>
  <c r="DA159" i="1"/>
  <c r="DA158" i="1"/>
  <c r="DA157" i="1"/>
  <c r="DA156" i="1"/>
  <c r="BS184" i="1"/>
  <c r="BT160" i="1"/>
  <c r="BT184" i="1" s="1"/>
  <c r="DB159" i="1"/>
  <c r="DB158" i="1"/>
  <c r="DB157" i="1"/>
  <c r="DB156" i="1"/>
  <c r="BH178" i="1"/>
  <c r="BI154" i="1"/>
  <c r="AB177" i="1"/>
  <c r="AG153" i="1"/>
  <c r="BN179" i="1"/>
  <c r="BO155" i="1"/>
  <c r="BO179" i="1" s="1"/>
  <c r="BN176" i="1"/>
  <c r="BS152" i="1"/>
  <c r="BS176" i="1" s="1"/>
  <c r="BO152" i="1"/>
  <c r="AV142" i="1"/>
  <c r="AV132" i="1"/>
  <c r="BZ179" i="1"/>
  <c r="BX155" i="1"/>
  <c r="BX179" i="1" s="1"/>
  <c r="BV155" i="1"/>
  <c r="BV179" i="1" s="1"/>
  <c r="CE155" i="1"/>
  <c r="BY155" i="1"/>
  <c r="BY179" i="1" s="1"/>
  <c r="BW155" i="1"/>
  <c r="BW179" i="1" s="1"/>
  <c r="CJ115" i="1"/>
  <c r="CR121" i="1"/>
  <c r="CP121" i="1"/>
  <c r="CY121" i="1"/>
  <c r="CS121" i="1"/>
  <c r="CQ121" i="1"/>
  <c r="CO84" i="1"/>
  <c r="CO195" i="1" s="1"/>
  <c r="CS135" i="1"/>
  <c r="CA146" i="1"/>
  <c r="BX146" i="1"/>
  <c r="BV146" i="1"/>
  <c r="BS146" i="1"/>
  <c r="BN146" i="1"/>
  <c r="BL146" i="1"/>
  <c r="H177" i="1"/>
  <c r="H89" i="1"/>
  <c r="H130" i="1" s="1"/>
  <c r="N191" i="11"/>
  <c r="J178" i="11"/>
  <c r="J206" i="11" s="1"/>
  <c r="AD87" i="11"/>
  <c r="EC127" i="4"/>
  <c r="T152" i="11"/>
  <c r="T88" i="11"/>
  <c r="T86" i="11"/>
  <c r="U69" i="11"/>
  <c r="CJ128" i="4"/>
  <c r="CJ129" i="4" s="1"/>
  <c r="U83" i="11"/>
  <c r="O57" i="11"/>
  <c r="O60" i="11" s="1"/>
  <c r="O52" i="10"/>
  <c r="O105" i="10" s="1"/>
  <c r="R57" i="11"/>
  <c r="R60" i="11" s="1"/>
  <c r="R52" i="10"/>
  <c r="N57" i="11"/>
  <c r="N60" i="11" s="1"/>
  <c r="N52" i="10"/>
  <c r="R47" i="11"/>
  <c r="C53" i="11"/>
  <c r="D48" i="11"/>
  <c r="D49" i="11" s="1"/>
  <c r="N47" i="11"/>
  <c r="N204" i="11"/>
  <c r="N178" i="11"/>
  <c r="L204" i="11"/>
  <c r="L165" i="11"/>
  <c r="L191" i="11"/>
  <c r="Q204" i="11"/>
  <c r="Q206" i="11" s="1"/>
  <c r="O191" i="11"/>
  <c r="M204" i="11"/>
  <c r="P135" i="11"/>
  <c r="O134" i="11"/>
  <c r="P147" i="11"/>
  <c r="O146" i="11"/>
  <c r="S99" i="11"/>
  <c r="S102" i="11" s="1"/>
  <c r="AB101" i="11"/>
  <c r="H149" i="11"/>
  <c r="H172" i="11"/>
  <c r="H159" i="11"/>
  <c r="H176" i="11"/>
  <c r="H163" i="11"/>
  <c r="W22" i="11"/>
  <c r="Q57" i="11"/>
  <c r="Q60" i="11" s="1"/>
  <c r="Q52" i="10"/>
  <c r="P57" i="11"/>
  <c r="P60" i="11" s="1"/>
  <c r="P52" i="10"/>
  <c r="P47" i="11"/>
  <c r="P49" i="11" s="1"/>
  <c r="M65" i="11"/>
  <c r="M64" i="11"/>
  <c r="O47" i="11"/>
  <c r="L189" i="10"/>
  <c r="K189" i="10"/>
  <c r="I121" i="10"/>
  <c r="O90" i="10"/>
  <c r="O85" i="10"/>
  <c r="O33" i="10"/>
  <c r="K90" i="10"/>
  <c r="K85" i="10"/>
  <c r="K33" i="10"/>
  <c r="G90" i="10"/>
  <c r="G33" i="10"/>
  <c r="C90" i="10"/>
  <c r="C73" i="10"/>
  <c r="C33" i="10"/>
  <c r="G73" i="10"/>
  <c r="M89" i="10"/>
  <c r="M19" i="10"/>
  <c r="N98" i="10" s="1"/>
  <c r="I89" i="10"/>
  <c r="I19" i="10"/>
  <c r="P82" i="10"/>
  <c r="F79" i="10"/>
  <c r="K103" i="10"/>
  <c r="G103" i="10"/>
  <c r="N90" i="10"/>
  <c r="N85" i="10"/>
  <c r="N33" i="10"/>
  <c r="J90" i="10"/>
  <c r="J85" i="10"/>
  <c r="J33" i="10"/>
  <c r="F90" i="10"/>
  <c r="F33" i="10"/>
  <c r="L73" i="10"/>
  <c r="P73" i="10"/>
  <c r="N73" i="10"/>
  <c r="J73" i="10"/>
  <c r="Q98" i="10"/>
  <c r="E82" i="10"/>
  <c r="N89" i="10"/>
  <c r="J89" i="10"/>
  <c r="J19" i="10"/>
  <c r="F89" i="10"/>
  <c r="V37" i="10"/>
  <c r="M189" i="10"/>
  <c r="S168" i="10"/>
  <c r="T167" i="10"/>
  <c r="T5" i="11" s="1"/>
  <c r="G125" i="10"/>
  <c r="H125" i="10" s="1"/>
  <c r="I125" i="10" s="1"/>
  <c r="J125" i="10" s="1"/>
  <c r="K125" i="10" s="1"/>
  <c r="L125" i="10" s="1"/>
  <c r="M125" i="10" s="1"/>
  <c r="N125" i="10" s="1"/>
  <c r="O125" i="10" s="1"/>
  <c r="P125" i="10" s="1"/>
  <c r="Q125" i="10" s="1"/>
  <c r="R125" i="10" s="1"/>
  <c r="S125" i="10" s="1"/>
  <c r="T125" i="10" s="1"/>
  <c r="U125" i="10" s="1"/>
  <c r="V125" i="10" s="1"/>
  <c r="W125" i="10" s="1"/>
  <c r="X125" i="10" s="1"/>
  <c r="Y125" i="10" s="1"/>
  <c r="Z125" i="10" s="1"/>
  <c r="AA125" i="10" s="1"/>
  <c r="AB125" i="10" s="1"/>
  <c r="AC125" i="10" s="1"/>
  <c r="AD125" i="10" s="1"/>
  <c r="AE125" i="10" s="1"/>
  <c r="AF125" i="10" s="1"/>
  <c r="Y122" i="10"/>
  <c r="X72" i="10"/>
  <c r="W63" i="10"/>
  <c r="M90" i="10"/>
  <c r="M85" i="10"/>
  <c r="M33" i="10"/>
  <c r="I90" i="10"/>
  <c r="I85" i="10"/>
  <c r="I33" i="10"/>
  <c r="E90" i="10"/>
  <c r="E73" i="10"/>
  <c r="E33" i="10"/>
  <c r="M73" i="10"/>
  <c r="O73" i="10"/>
  <c r="K73" i="10"/>
  <c r="O89" i="10"/>
  <c r="O19" i="10"/>
  <c r="K89" i="10"/>
  <c r="K19" i="10"/>
  <c r="G89" i="10"/>
  <c r="C89" i="10"/>
  <c r="K76" i="10"/>
  <c r="R82" i="10"/>
  <c r="N82" i="10"/>
  <c r="T77" i="10"/>
  <c r="U79" i="10"/>
  <c r="M103" i="10"/>
  <c r="I103" i="10"/>
  <c r="E103" i="10"/>
  <c r="R43" i="10"/>
  <c r="P90" i="10"/>
  <c r="P85" i="10"/>
  <c r="P33" i="10"/>
  <c r="H90" i="10"/>
  <c r="H33" i="10"/>
  <c r="H73" i="10"/>
  <c r="F73" i="10"/>
  <c r="G85" i="10"/>
  <c r="E85" i="10"/>
  <c r="C85" i="10"/>
  <c r="G98" i="10"/>
  <c r="K168" i="10"/>
  <c r="P89" i="10"/>
  <c r="L89" i="10"/>
  <c r="L19" i="10"/>
  <c r="H89" i="10"/>
  <c r="H19" i="10"/>
  <c r="D89" i="10"/>
  <c r="D19" i="10"/>
  <c r="D43" i="10" s="1"/>
  <c r="O76" i="10"/>
  <c r="L76" i="10"/>
  <c r="J76" i="10"/>
  <c r="H76" i="10"/>
  <c r="AZ109" i="4"/>
  <c r="CT49" i="4"/>
  <c r="CO48" i="4"/>
  <c r="AG128" i="4"/>
  <c r="CC9" i="4"/>
  <c r="CC196" i="1" s="1"/>
  <c r="CC35" i="4"/>
  <c r="CO43" i="4"/>
  <c r="CT44" i="4"/>
  <c r="BB138" i="4"/>
  <c r="BB79" i="4"/>
  <c r="BF37" i="4"/>
  <c r="N109" i="11" s="1"/>
  <c r="BC138" i="4"/>
  <c r="BC79" i="4"/>
  <c r="BG138" i="4"/>
  <c r="BG79" i="4"/>
  <c r="AY138" i="4"/>
  <c r="AY79" i="4"/>
  <c r="BA37" i="4"/>
  <c r="M109" i="11" s="1"/>
  <c r="BH138" i="4"/>
  <c r="BH79" i="4"/>
  <c r="BD138" i="4"/>
  <c r="BD79" i="4"/>
  <c r="AZ138" i="4"/>
  <c r="AZ79" i="4"/>
  <c r="CO35" i="4" l="1"/>
  <c r="U7" i="11" s="1"/>
  <c r="U90" i="11" s="1"/>
  <c r="CO57" i="4"/>
  <c r="P132" i="14"/>
  <c r="U205" i="14"/>
  <c r="U94" i="14"/>
  <c r="V37" i="14"/>
  <c r="O103" i="10"/>
  <c r="CC173" i="1"/>
  <c r="CF35" i="4"/>
  <c r="CI44" i="4"/>
  <c r="CH35" i="4"/>
  <c r="CH57" i="4"/>
  <c r="CG43" i="4"/>
  <c r="CG35" i="4"/>
  <c r="CG36" i="4" s="1"/>
  <c r="CI58" i="4"/>
  <c r="CI57" i="4" s="1"/>
  <c r="BP90" i="1"/>
  <c r="BM90" i="1"/>
  <c r="CI84" i="1"/>
  <c r="CI195" i="1" s="1"/>
  <c r="CI159" i="1"/>
  <c r="CJ194" i="1"/>
  <c r="CH171" i="1"/>
  <c r="CH194" i="1" s="1"/>
  <c r="CG171" i="1"/>
  <c r="CG194" i="1" s="1"/>
  <c r="CF171" i="1"/>
  <c r="CF194" i="1" s="1"/>
  <c r="CI171" i="1"/>
  <c r="CI194" i="1" s="1"/>
  <c r="P136" i="14"/>
  <c r="Q136" i="14" s="1"/>
  <c r="O174" i="14"/>
  <c r="O125" i="14" s="1"/>
  <c r="O64" i="14" s="1"/>
  <c r="O99" i="14" s="1"/>
  <c r="O101" i="14" s="1"/>
  <c r="K206" i="11"/>
  <c r="K118" i="19"/>
  <c r="AQ262" i="12"/>
  <c r="AQ265" i="12"/>
  <c r="AR263" i="12"/>
  <c r="S183" i="10"/>
  <c r="O93" i="19"/>
  <c r="N91" i="20"/>
  <c r="CD35" i="4"/>
  <c r="CJ130" i="4"/>
  <c r="Q115" i="19"/>
  <c r="P118" i="19"/>
  <c r="BA138" i="4"/>
  <c r="U17" i="10"/>
  <c r="W165" i="10"/>
  <c r="V17" i="10"/>
  <c r="CC135" i="1"/>
  <c r="BZ135" i="1"/>
  <c r="C84" i="10"/>
  <c r="CP135" i="1"/>
  <c r="C68" i="10"/>
  <c r="W146" i="1"/>
  <c r="G47" i="10" s="1"/>
  <c r="G84" i="10" s="1"/>
  <c r="AQ146" i="1"/>
  <c r="K47" i="10" s="1"/>
  <c r="K63" i="10" s="1"/>
  <c r="C94" i="10"/>
  <c r="C66" i="10"/>
  <c r="AB146" i="1"/>
  <c r="H47" i="10" s="1"/>
  <c r="H84" i="10" s="1"/>
  <c r="C78" i="10"/>
  <c r="C81" i="10"/>
  <c r="CO171" i="1"/>
  <c r="CO194" i="1" s="1"/>
  <c r="C58" i="10"/>
  <c r="C96" i="10"/>
  <c r="C55" i="10"/>
  <c r="C60" i="10" s="1"/>
  <c r="C75" i="10"/>
  <c r="C63" i="10"/>
  <c r="C113" i="10"/>
  <c r="AG89" i="1"/>
  <c r="AG130" i="1" s="1"/>
  <c r="AG146" i="1" s="1"/>
  <c r="I47" i="10" s="1"/>
  <c r="I97" i="10" s="1"/>
  <c r="BK90" i="1"/>
  <c r="J115" i="19"/>
  <c r="N210" i="14"/>
  <c r="N212" i="14" s="1"/>
  <c r="M206" i="11"/>
  <c r="I206" i="11"/>
  <c r="AL89" i="1"/>
  <c r="AL130" i="1" s="1"/>
  <c r="AL146" i="1" s="1"/>
  <c r="J47" i="10" s="1"/>
  <c r="J97" i="10" s="1"/>
  <c r="J116" i="19"/>
  <c r="J118" i="19" s="1"/>
  <c r="AN477" i="12"/>
  <c r="AV146" i="1"/>
  <c r="L47" i="10" s="1"/>
  <c r="L117" i="10" s="1"/>
  <c r="O149" i="11"/>
  <c r="N206" i="11"/>
  <c r="AR313" i="12"/>
  <c r="AQ315" i="12"/>
  <c r="P81" i="19"/>
  <c r="P80" i="19" s="1"/>
  <c r="BK138" i="4"/>
  <c r="BQ90" i="1"/>
  <c r="BQ130" i="1"/>
  <c r="BU90" i="1"/>
  <c r="CH118" i="1"/>
  <c r="CO118" i="1"/>
  <c r="CF118" i="1"/>
  <c r="CI118" i="1"/>
  <c r="CG118" i="1"/>
  <c r="I40" i="20"/>
  <c r="Q40" i="20"/>
  <c r="W70" i="20"/>
  <c r="S70" i="20"/>
  <c r="O70" i="20"/>
  <c r="K70" i="20"/>
  <c r="V70" i="20"/>
  <c r="N70" i="20"/>
  <c r="T70" i="20"/>
  <c r="L70" i="20"/>
  <c r="G33" i="20"/>
  <c r="H32" i="20"/>
  <c r="O41" i="20"/>
  <c r="P39" i="20"/>
  <c r="R78" i="20"/>
  <c r="Q79" i="20"/>
  <c r="L80" i="20"/>
  <c r="K87" i="20"/>
  <c r="K93" i="20" s="1"/>
  <c r="K99" i="20" s="1"/>
  <c r="Y70" i="20"/>
  <c r="U70" i="20"/>
  <c r="Q70" i="20"/>
  <c r="M70" i="20"/>
  <c r="Z70" i="20"/>
  <c r="R70" i="20"/>
  <c r="X70" i="20"/>
  <c r="P70" i="20"/>
  <c r="E16" i="20"/>
  <c r="P63" i="20"/>
  <c r="M76" i="20"/>
  <c r="N75" i="20"/>
  <c r="M77" i="20"/>
  <c r="L84" i="20"/>
  <c r="L83" i="20"/>
  <c r="L87" i="20" s="1"/>
  <c r="M82" i="20"/>
  <c r="Q89" i="20"/>
  <c r="L16" i="20"/>
  <c r="F53" i="20"/>
  <c r="D53" i="20"/>
  <c r="M65" i="20"/>
  <c r="M28" i="20"/>
  <c r="M36" i="20" s="1"/>
  <c r="N25" i="20"/>
  <c r="G16" i="19"/>
  <c r="Q40" i="19"/>
  <c r="F33" i="19"/>
  <c r="F30" i="19" s="1"/>
  <c r="F38" i="19" s="1"/>
  <c r="G32" i="19"/>
  <c r="F29" i="19"/>
  <c r="F37" i="19" s="1"/>
  <c r="E13" i="19"/>
  <c r="Q88" i="19"/>
  <c r="R87" i="19"/>
  <c r="T70" i="19"/>
  <c r="P70" i="19"/>
  <c r="L70" i="19"/>
  <c r="L65" i="19"/>
  <c r="M25" i="19"/>
  <c r="H31" i="19"/>
  <c r="I31" i="19" s="1"/>
  <c r="J31" i="19" s="1"/>
  <c r="G28" i="19"/>
  <c r="G36" i="19" s="1"/>
  <c r="I40" i="19"/>
  <c r="T63" i="19"/>
  <c r="M89" i="19"/>
  <c r="M82" i="19"/>
  <c r="N92" i="19"/>
  <c r="N90" i="20" s="1"/>
  <c r="Z70" i="19"/>
  <c r="V70" i="19"/>
  <c r="R70" i="19"/>
  <c r="N70" i="19"/>
  <c r="Y70" i="19"/>
  <c r="U70" i="19"/>
  <c r="Q70" i="19"/>
  <c r="M70" i="19"/>
  <c r="K16" i="19"/>
  <c r="X70" i="19"/>
  <c r="W70" i="19"/>
  <c r="S70" i="19"/>
  <c r="O70" i="19"/>
  <c r="K70" i="19"/>
  <c r="O41" i="19"/>
  <c r="P39" i="19"/>
  <c r="N85" i="19"/>
  <c r="O84" i="19"/>
  <c r="N86" i="19"/>
  <c r="N77" i="19"/>
  <c r="N78" i="19" s="1"/>
  <c r="N76" i="19"/>
  <c r="O75" i="19"/>
  <c r="P91" i="19"/>
  <c r="R40" i="18"/>
  <c r="M16" i="18"/>
  <c r="F16" i="18"/>
  <c r="P41" i="18"/>
  <c r="Q39" i="18"/>
  <c r="Q81" i="18"/>
  <c r="Q79" i="19" s="1"/>
  <c r="Q81" i="19" s="1"/>
  <c r="Q80" i="19" s="1"/>
  <c r="P83" i="18"/>
  <c r="P82" i="18" s="1"/>
  <c r="P90" i="18"/>
  <c r="Q89" i="18"/>
  <c r="Q85" i="20" s="1"/>
  <c r="Q86" i="20" s="1"/>
  <c r="Q120" i="18"/>
  <c r="Q117" i="18" s="1"/>
  <c r="F13" i="18"/>
  <c r="F53" i="18"/>
  <c r="K91" i="18"/>
  <c r="K96" i="18" s="1"/>
  <c r="Y69" i="18"/>
  <c r="U69" i="18"/>
  <c r="Q69" i="18"/>
  <c r="M69" i="18"/>
  <c r="Q62" i="18"/>
  <c r="L84" i="18"/>
  <c r="P93" i="18"/>
  <c r="W69" i="18"/>
  <c r="S69" i="18"/>
  <c r="O69" i="18"/>
  <c r="Z69" i="18"/>
  <c r="V69" i="18"/>
  <c r="R69" i="18"/>
  <c r="N69" i="18"/>
  <c r="J96" i="18"/>
  <c r="H40" i="18"/>
  <c r="O33" i="18"/>
  <c r="P32" i="18"/>
  <c r="M86" i="18"/>
  <c r="L88" i="18"/>
  <c r="L87" i="18"/>
  <c r="X69" i="18"/>
  <c r="T69" i="18"/>
  <c r="P69" i="18"/>
  <c r="L69" i="18"/>
  <c r="M80" i="18"/>
  <c r="M78" i="18"/>
  <c r="N77" i="18"/>
  <c r="M79" i="18"/>
  <c r="L150" i="12"/>
  <c r="L462" i="12" s="1"/>
  <c r="R6" i="12"/>
  <c r="P6" i="12"/>
  <c r="X6" i="12"/>
  <c r="Q6" i="12"/>
  <c r="O6" i="12"/>
  <c r="O9" i="12" s="1"/>
  <c r="O19" i="12" s="1"/>
  <c r="G245" i="12"/>
  <c r="G243" i="12" s="1"/>
  <c r="G24" i="12"/>
  <c r="H23" i="12"/>
  <c r="E353" i="12"/>
  <c r="E345" i="12"/>
  <c r="E344" i="12"/>
  <c r="AX56" i="12"/>
  <c r="AX58" i="12"/>
  <c r="AY57" i="12"/>
  <c r="AX59" i="12"/>
  <c r="AO104" i="12"/>
  <c r="AN105" i="12"/>
  <c r="AO105" i="12" s="1"/>
  <c r="AP105" i="12" s="1"/>
  <c r="AQ105" i="12" s="1"/>
  <c r="AR105" i="12" s="1"/>
  <c r="AS105" i="12" s="1"/>
  <c r="AT105" i="12" s="1"/>
  <c r="AU105" i="12" s="1"/>
  <c r="AV105" i="12" s="1"/>
  <c r="AW105" i="12" s="1"/>
  <c r="AX105" i="12" s="1"/>
  <c r="AY105" i="12" s="1"/>
  <c r="AZ105" i="12" s="1"/>
  <c r="BA105" i="12" s="1"/>
  <c r="AN106" i="12"/>
  <c r="AU386" i="12"/>
  <c r="AV176" i="12"/>
  <c r="P13" i="12"/>
  <c r="L470" i="12"/>
  <c r="L471" i="12" s="1"/>
  <c r="N15" i="12"/>
  <c r="N16" i="12" s="1"/>
  <c r="F246" i="12"/>
  <c r="F244" i="12" s="1"/>
  <c r="F303" i="12" s="1"/>
  <c r="AQ113" i="12"/>
  <c r="AR112" i="12"/>
  <c r="AQ111" i="12"/>
  <c r="AQ114" i="12"/>
  <c r="AS117" i="12"/>
  <c r="AS115" i="12"/>
  <c r="AS118" i="12"/>
  <c r="Q371" i="12"/>
  <c r="R156" i="12"/>
  <c r="R371" i="12" s="1"/>
  <c r="V371" i="12"/>
  <c r="W156" i="12"/>
  <c r="W371" i="12" s="1"/>
  <c r="AA371" i="12"/>
  <c r="AB156" i="12"/>
  <c r="AB371" i="12" s="1"/>
  <c r="AF371" i="12"/>
  <c r="AF167" i="12"/>
  <c r="AF379" i="12" s="1"/>
  <c r="AG156" i="12"/>
  <c r="AK371" i="12"/>
  <c r="AK167" i="12"/>
  <c r="AK379" i="12" s="1"/>
  <c r="AL156" i="12"/>
  <c r="AA379" i="12"/>
  <c r="AB167" i="12"/>
  <c r="AB379" i="12" s="1"/>
  <c r="AN210" i="12"/>
  <c r="AO109" i="12"/>
  <c r="AO107" i="12"/>
  <c r="AP108" i="12"/>
  <c r="AO110" i="12"/>
  <c r="S237" i="12"/>
  <c r="O234" i="12"/>
  <c r="O237" i="12" s="1"/>
  <c r="X234" i="12"/>
  <c r="P234" i="12"/>
  <c r="P237" i="12" s="1"/>
  <c r="H304" i="12"/>
  <c r="AU284" i="12"/>
  <c r="AV283" i="12"/>
  <c r="AU282" i="12"/>
  <c r="AU285" i="12"/>
  <c r="AT326" i="12"/>
  <c r="AT324" i="12"/>
  <c r="AU325" i="12"/>
  <c r="AT327" i="12"/>
  <c r="AP478" i="12"/>
  <c r="AO477" i="12"/>
  <c r="AR31" i="12"/>
  <c r="AT45" i="12"/>
  <c r="AS44" i="12"/>
  <c r="AS47" i="12"/>
  <c r="F18" i="12"/>
  <c r="F21" i="12" s="1"/>
  <c r="F27" i="12" s="1"/>
  <c r="G6" i="12"/>
  <c r="N245" i="12"/>
  <c r="N243" i="12" s="1"/>
  <c r="N21" i="12"/>
  <c r="N27" i="12" s="1"/>
  <c r="AV54" i="12"/>
  <c r="AV52" i="12"/>
  <c r="AW53" i="12"/>
  <c r="AV55" i="12"/>
  <c r="AU159" i="12"/>
  <c r="AT157" i="12"/>
  <c r="AW180" i="12"/>
  <c r="AV178" i="12"/>
  <c r="AH124" i="12"/>
  <c r="AM90" i="12"/>
  <c r="AY121" i="12"/>
  <c r="AY119" i="12"/>
  <c r="AZ120" i="12"/>
  <c r="AY122" i="12"/>
  <c r="Q370" i="12"/>
  <c r="R155" i="12"/>
  <c r="R370" i="12" s="1"/>
  <c r="V370" i="12"/>
  <c r="W155" i="12"/>
  <c r="W370" i="12" s="1"/>
  <c r="AA370" i="12"/>
  <c r="AB155" i="12"/>
  <c r="AB370" i="12" s="1"/>
  <c r="AF370" i="12"/>
  <c r="AG155" i="12"/>
  <c r="AG370" i="12" s="1"/>
  <c r="AK370" i="12"/>
  <c r="AL155" i="12"/>
  <c r="AL370" i="12" s="1"/>
  <c r="AB378" i="12"/>
  <c r="AG166" i="12"/>
  <c r="AQ387" i="12"/>
  <c r="AR177" i="12"/>
  <c r="AM220" i="12"/>
  <c r="AM208" i="12"/>
  <c r="E291" i="12"/>
  <c r="E290" i="12"/>
  <c r="AV267" i="12"/>
  <c r="AU266" i="12"/>
  <c r="AU269" i="12"/>
  <c r="D359" i="12"/>
  <c r="D364" i="12" s="1"/>
  <c r="D463" i="12" s="1"/>
  <c r="D465" i="12" s="1"/>
  <c r="D354" i="12"/>
  <c r="AU196" i="12"/>
  <c r="AV276" i="12"/>
  <c r="AV274" i="12"/>
  <c r="AW275" i="12"/>
  <c r="AV277" i="12"/>
  <c r="R341" i="12"/>
  <c r="AT330" i="12"/>
  <c r="AT328" i="12"/>
  <c r="AU329" i="12"/>
  <c r="AT331" i="12"/>
  <c r="M145" i="12"/>
  <c r="M150" i="12" s="1"/>
  <c r="M83" i="12"/>
  <c r="AT62" i="12"/>
  <c r="AU61" i="12"/>
  <c r="AT60" i="12"/>
  <c r="AT63" i="12"/>
  <c r="AQ394" i="12"/>
  <c r="AR186" i="12"/>
  <c r="AO200" i="12"/>
  <c r="AP190" i="12"/>
  <c r="AU206" i="12"/>
  <c r="AW226" i="12"/>
  <c r="N244" i="12"/>
  <c r="AZ280" i="12"/>
  <c r="AZ278" i="12"/>
  <c r="BA279" i="12"/>
  <c r="AZ281" i="12"/>
  <c r="AV334" i="12"/>
  <c r="AV332" i="12"/>
  <c r="AW333" i="12"/>
  <c r="AV335" i="12"/>
  <c r="AZ338" i="12"/>
  <c r="BA337" i="12"/>
  <c r="AZ336" i="12"/>
  <c r="AZ339" i="12"/>
  <c r="AN309" i="12"/>
  <c r="AO309" i="12" s="1"/>
  <c r="AM311" i="12"/>
  <c r="N287" i="12"/>
  <c r="O286" i="12"/>
  <c r="P286" i="12" s="1"/>
  <c r="Q286" i="12" s="1"/>
  <c r="R286" i="12" s="1"/>
  <c r="S286" i="12" s="1"/>
  <c r="T286" i="12" s="1"/>
  <c r="U286" i="12" s="1"/>
  <c r="V286" i="12" s="1"/>
  <c r="W286" i="12" s="1"/>
  <c r="X286" i="12" s="1"/>
  <c r="Y286" i="12" s="1"/>
  <c r="Z286" i="12" s="1"/>
  <c r="AA286" i="12" s="1"/>
  <c r="AB286" i="12" s="1"/>
  <c r="AC286" i="12" s="1"/>
  <c r="AD286" i="12" s="1"/>
  <c r="AE286" i="12" s="1"/>
  <c r="AF286" i="12" s="1"/>
  <c r="AG286" i="12" s="1"/>
  <c r="T307" i="12"/>
  <c r="AM316" i="12"/>
  <c r="AN316" i="12" s="1"/>
  <c r="AO316" i="12" s="1"/>
  <c r="AP316" i="12" s="1"/>
  <c r="AQ316" i="12" s="1"/>
  <c r="AR316" i="12" s="1"/>
  <c r="AS316" i="12" s="1"/>
  <c r="AT316" i="12" s="1"/>
  <c r="AU316" i="12" s="1"/>
  <c r="AV316" i="12" s="1"/>
  <c r="AW316" i="12" s="1"/>
  <c r="AX316" i="12" s="1"/>
  <c r="AY316" i="12" s="1"/>
  <c r="AZ316" i="12" s="1"/>
  <c r="BA316" i="12" s="1"/>
  <c r="E145" i="12"/>
  <c r="E150" i="12" s="1"/>
  <c r="E462" i="12" s="1"/>
  <c r="E83" i="12"/>
  <c r="S246" i="12"/>
  <c r="Q24" i="12"/>
  <c r="O24" i="12"/>
  <c r="S23" i="12"/>
  <c r="X24" i="12"/>
  <c r="R24" i="12"/>
  <c r="P24" i="12"/>
  <c r="AR50" i="12"/>
  <c r="AR48" i="12"/>
  <c r="AS49" i="12"/>
  <c r="AR51" i="12"/>
  <c r="AR70" i="12" s="1"/>
  <c r="AF378" i="12"/>
  <c r="AK166" i="12"/>
  <c r="AK378" i="12" s="1"/>
  <c r="G250" i="12"/>
  <c r="F249" i="12"/>
  <c r="AV216" i="12"/>
  <c r="S341" i="12"/>
  <c r="AR272" i="12"/>
  <c r="AS271" i="12"/>
  <c r="AR270" i="12"/>
  <c r="AR273" i="12"/>
  <c r="AP340" i="12"/>
  <c r="AM460" i="12"/>
  <c r="AM464" i="12" s="1"/>
  <c r="AN433" i="12"/>
  <c r="K212" i="14"/>
  <c r="S100" i="14"/>
  <c r="S101" i="14" s="1"/>
  <c r="V192" i="14"/>
  <c r="V82" i="14"/>
  <c r="W25" i="14"/>
  <c r="J212" i="14"/>
  <c r="U78" i="14"/>
  <c r="V21" i="14"/>
  <c r="V36" i="14"/>
  <c r="V204" i="14" s="1"/>
  <c r="U93" i="14"/>
  <c r="S168" i="14"/>
  <c r="R207" i="14"/>
  <c r="S1" i="14"/>
  <c r="R55" i="14"/>
  <c r="R57" i="14" s="1"/>
  <c r="R54" i="14"/>
  <c r="R56" i="14" s="1"/>
  <c r="U5" i="14"/>
  <c r="T169" i="11"/>
  <c r="U7" i="14"/>
  <c r="T195" i="11"/>
  <c r="T99" i="14"/>
  <c r="T39" i="11"/>
  <c r="V91" i="14"/>
  <c r="W34" i="14"/>
  <c r="W202" i="14" s="1"/>
  <c r="I207" i="14"/>
  <c r="H97" i="14"/>
  <c r="V4" i="14"/>
  <c r="U156" i="11"/>
  <c r="V6" i="14"/>
  <c r="U182" i="11"/>
  <c r="Q187" i="14"/>
  <c r="R137" i="14"/>
  <c r="Q178" i="14"/>
  <c r="R139" i="14"/>
  <c r="Q191" i="14"/>
  <c r="R151" i="14"/>
  <c r="M214" i="14"/>
  <c r="M212" i="14"/>
  <c r="W24" i="14"/>
  <c r="V81" i="14"/>
  <c r="V92" i="14"/>
  <c r="W35" i="14"/>
  <c r="W203" i="14" s="1"/>
  <c r="I97" i="14"/>
  <c r="V189" i="14"/>
  <c r="V79" i="14"/>
  <c r="W22" i="14"/>
  <c r="V95" i="14"/>
  <c r="W38" i="14"/>
  <c r="W206" i="14" s="1"/>
  <c r="V42" i="14"/>
  <c r="P172" i="14"/>
  <c r="Q132" i="14"/>
  <c r="P177" i="14"/>
  <c r="Q138" i="14"/>
  <c r="O171" i="14"/>
  <c r="P131" i="14"/>
  <c r="O173" i="14"/>
  <c r="P133" i="14"/>
  <c r="O175" i="14"/>
  <c r="P135" i="14"/>
  <c r="P188" i="14"/>
  <c r="Q148" i="14"/>
  <c r="U9" i="14"/>
  <c r="U182" i="14"/>
  <c r="V72" i="14"/>
  <c r="H45" i="14"/>
  <c r="H47" i="14" s="1"/>
  <c r="I172" i="14"/>
  <c r="H112" i="14"/>
  <c r="I115" i="14" s="1"/>
  <c r="H169" i="11"/>
  <c r="H170" i="11" s="1"/>
  <c r="H174" i="11" s="1"/>
  <c r="H62" i="14"/>
  <c r="H99" i="14" s="1"/>
  <c r="H101" i="14" s="1"/>
  <c r="I62" i="14"/>
  <c r="I99" i="14" s="1"/>
  <c r="I101" i="14" s="1"/>
  <c r="T45" i="14"/>
  <c r="V8" i="14"/>
  <c r="V77" i="14"/>
  <c r="P174" i="14"/>
  <c r="P125" i="14" s="1"/>
  <c r="P64" i="14" s="1"/>
  <c r="P99" i="14" s="1"/>
  <c r="P101" i="14" s="1"/>
  <c r="Q134" i="14"/>
  <c r="P208" i="14"/>
  <c r="Q169" i="14"/>
  <c r="U43" i="14"/>
  <c r="Q172" i="10"/>
  <c r="Q190" i="10" s="1"/>
  <c r="Q96" i="10"/>
  <c r="Q58" i="10"/>
  <c r="Q66" i="10"/>
  <c r="Q84" i="10"/>
  <c r="Q117" i="10"/>
  <c r="Q113" i="10"/>
  <c r="Q68" i="10"/>
  <c r="Q63" i="10"/>
  <c r="Q55" i="10"/>
  <c r="Q60" i="10" s="1"/>
  <c r="Q75" i="10"/>
  <c r="Q78" i="10"/>
  <c r="Q81" i="10"/>
  <c r="H146" i="1"/>
  <c r="D47" i="10" s="1"/>
  <c r="D97" i="10" s="1"/>
  <c r="CX135" i="1"/>
  <c r="E81" i="10"/>
  <c r="E117" i="10"/>
  <c r="E113" i="10"/>
  <c r="E68" i="10"/>
  <c r="E63" i="10"/>
  <c r="E55" i="10"/>
  <c r="E60" i="10" s="1"/>
  <c r="E96" i="10"/>
  <c r="E58" i="10"/>
  <c r="E66" i="10"/>
  <c r="E75" i="10"/>
  <c r="E78" i="10"/>
  <c r="CJ155" i="1"/>
  <c r="CA155" i="1"/>
  <c r="AG177" i="1"/>
  <c r="AL153" i="1"/>
  <c r="BI178" i="1"/>
  <c r="BJ154" i="1"/>
  <c r="DG156" i="1"/>
  <c r="DG157" i="1"/>
  <c r="DG158" i="1"/>
  <c r="DG159" i="1"/>
  <c r="DF156" i="1"/>
  <c r="DF157" i="1"/>
  <c r="DF158" i="1"/>
  <c r="DF159" i="1"/>
  <c r="CB185" i="1"/>
  <c r="CC161" i="1"/>
  <c r="BI193" i="1"/>
  <c r="BJ170" i="1"/>
  <c r="W192" i="1"/>
  <c r="AB169" i="1"/>
  <c r="BH191" i="1"/>
  <c r="BI168" i="1"/>
  <c r="CJ162" i="1"/>
  <c r="CA162" i="1"/>
  <c r="CY157" i="1"/>
  <c r="DD172" i="1"/>
  <c r="CO112" i="1"/>
  <c r="BZ182" i="1"/>
  <c r="BX158" i="1"/>
  <c r="BY158" i="1"/>
  <c r="BY182" i="1" s="1"/>
  <c r="BY142" i="1"/>
  <c r="BY134" i="1" s="1"/>
  <c r="AV190" i="1"/>
  <c r="BA167" i="1"/>
  <c r="BN194" i="1"/>
  <c r="BO171" i="1"/>
  <c r="BO194" i="1" s="1"/>
  <c r="BP146" i="1"/>
  <c r="P47" i="10" s="1"/>
  <c r="P97" i="10" s="1"/>
  <c r="CT84" i="1"/>
  <c r="CT195" i="1" s="1"/>
  <c r="DD121" i="1"/>
  <c r="CX121" i="1"/>
  <c r="CV121" i="1"/>
  <c r="CW121" i="1"/>
  <c r="CU121" i="1"/>
  <c r="CO115" i="1"/>
  <c r="CH115" i="1"/>
  <c r="CF115" i="1"/>
  <c r="CI115" i="1"/>
  <c r="CG115" i="1"/>
  <c r="BO176" i="1"/>
  <c r="BT152" i="1"/>
  <c r="BT176" i="1" s="1"/>
  <c r="R146" i="1"/>
  <c r="F47" i="10" s="1"/>
  <c r="H113" i="10"/>
  <c r="N66" i="10"/>
  <c r="N68" i="10"/>
  <c r="N172" i="10"/>
  <c r="N190" i="10" s="1"/>
  <c r="N96" i="10"/>
  <c r="N84" i="10"/>
  <c r="N63" i="10"/>
  <c r="N75" i="10"/>
  <c r="N117" i="10"/>
  <c r="N55" i="10"/>
  <c r="N60" i="10" s="1"/>
  <c r="N58" i="10"/>
  <c r="N78" i="10"/>
  <c r="N81" i="10"/>
  <c r="N113" i="10"/>
  <c r="BA175" i="1"/>
  <c r="BF151" i="1"/>
  <c r="CA152" i="1"/>
  <c r="BX159" i="1"/>
  <c r="BY159" i="1"/>
  <c r="BR179" i="1"/>
  <c r="BS155" i="1"/>
  <c r="G117" i="10"/>
  <c r="BJ134" i="1"/>
  <c r="BK134" i="1" s="1"/>
  <c r="BK132" i="1" s="1"/>
  <c r="BK146" i="1" s="1"/>
  <c r="O47" i="10" s="1"/>
  <c r="O97" i="10" s="1"/>
  <c r="BK142" i="1"/>
  <c r="BO142" i="1" s="1"/>
  <c r="DE156" i="1"/>
  <c r="DE157" i="1"/>
  <c r="DE158" i="1"/>
  <c r="DE159" i="1"/>
  <c r="CB194" i="1"/>
  <c r="CC171" i="1"/>
  <c r="DD156" i="1"/>
  <c r="DD158" i="1"/>
  <c r="DH156" i="1"/>
  <c r="DH157" i="1"/>
  <c r="DH158" i="1"/>
  <c r="DH159" i="1"/>
  <c r="CT161" i="1"/>
  <c r="CT160" i="1"/>
  <c r="CY159" i="1"/>
  <c r="DI151" i="1"/>
  <c r="E84" i="10"/>
  <c r="M117" i="10"/>
  <c r="M113" i="10"/>
  <c r="M68" i="10"/>
  <c r="M55" i="10"/>
  <c r="M60" i="10" s="1"/>
  <c r="M84" i="10"/>
  <c r="M172" i="10"/>
  <c r="M190" i="10" s="1"/>
  <c r="M96" i="10"/>
  <c r="M58" i="10"/>
  <c r="M66" i="10"/>
  <c r="M75" i="10"/>
  <c r="M78" i="10"/>
  <c r="M81" i="10"/>
  <c r="P53" i="11"/>
  <c r="Q48" i="11"/>
  <c r="Q49" i="11" s="1"/>
  <c r="P103" i="11"/>
  <c r="P104" i="11" s="1"/>
  <c r="P65" i="11"/>
  <c r="P64" i="11"/>
  <c r="Q103" i="11"/>
  <c r="Q104" i="11" s="1"/>
  <c r="Q65" i="11"/>
  <c r="Q64" i="11"/>
  <c r="H178" i="11"/>
  <c r="O206" i="11"/>
  <c r="L206" i="11"/>
  <c r="D53" i="11"/>
  <c r="E48" i="11"/>
  <c r="E49" i="11" s="1"/>
  <c r="N65" i="11"/>
  <c r="N64" i="11"/>
  <c r="R103" i="11"/>
  <c r="R104" i="11" s="1"/>
  <c r="R65" i="11"/>
  <c r="R64" i="11"/>
  <c r="O65" i="11"/>
  <c r="O64" i="11"/>
  <c r="S94" i="11"/>
  <c r="T99" i="11"/>
  <c r="T102" i="11" s="1"/>
  <c r="T42" i="11"/>
  <c r="AE87" i="11"/>
  <c r="EH127" i="4"/>
  <c r="P105" i="10"/>
  <c r="P103" i="10"/>
  <c r="Q105" i="10"/>
  <c r="Q103" i="10"/>
  <c r="X22" i="11"/>
  <c r="H165" i="11"/>
  <c r="AC101" i="11"/>
  <c r="P146" i="11"/>
  <c r="Q147" i="11"/>
  <c r="P134" i="11"/>
  <c r="Q135" i="11"/>
  <c r="N105" i="10"/>
  <c r="N103" i="10"/>
  <c r="R105" i="10"/>
  <c r="R103" i="10"/>
  <c r="R104" i="10"/>
  <c r="V83" i="11"/>
  <c r="U152" i="11"/>
  <c r="V69" i="11"/>
  <c r="U88" i="11"/>
  <c r="U86" i="11"/>
  <c r="CO128" i="4"/>
  <c r="CO129" i="4" s="1"/>
  <c r="V100" i="11"/>
  <c r="H98" i="10"/>
  <c r="H82" i="10"/>
  <c r="H42" i="10"/>
  <c r="H43" i="10" s="1"/>
  <c r="H104" i="10"/>
  <c r="P42" i="10"/>
  <c r="P43" i="10" s="1"/>
  <c r="P104" i="10"/>
  <c r="T13" i="10"/>
  <c r="K98" i="10"/>
  <c r="K82" i="10"/>
  <c r="O98" i="10"/>
  <c r="O82" i="10"/>
  <c r="I42" i="10"/>
  <c r="I43" i="10" s="1"/>
  <c r="I104" i="10"/>
  <c r="Z122" i="10"/>
  <c r="T166" i="10"/>
  <c r="W37" i="10"/>
  <c r="J98" i="10"/>
  <c r="J82" i="10"/>
  <c r="E98" i="10"/>
  <c r="F42" i="10"/>
  <c r="F43" i="10" s="1"/>
  <c r="F104" i="10"/>
  <c r="J42" i="10"/>
  <c r="J43" i="10" s="1"/>
  <c r="J104" i="10"/>
  <c r="Q104" i="10"/>
  <c r="G42" i="10"/>
  <c r="G43" i="10" s="1"/>
  <c r="G104" i="10"/>
  <c r="K42" i="10"/>
  <c r="K43" i="10" s="1"/>
  <c r="K104" i="10"/>
  <c r="L104" i="10"/>
  <c r="H126" i="10"/>
  <c r="I126" i="10" s="1"/>
  <c r="J126" i="10" s="1"/>
  <c r="K126" i="10" s="1"/>
  <c r="L126" i="10" s="1"/>
  <c r="M126" i="10" s="1"/>
  <c r="N126" i="10" s="1"/>
  <c r="O126" i="10" s="1"/>
  <c r="P126" i="10" s="1"/>
  <c r="Q126" i="10" s="1"/>
  <c r="R126" i="10" s="1"/>
  <c r="S126" i="10" s="1"/>
  <c r="T126" i="10" s="1"/>
  <c r="U126" i="10" s="1"/>
  <c r="V126" i="10" s="1"/>
  <c r="W126" i="10" s="1"/>
  <c r="X126" i="10" s="1"/>
  <c r="D98" i="10"/>
  <c r="D79" i="10"/>
  <c r="D82" i="10"/>
  <c r="E97" i="10"/>
  <c r="L98" i="10"/>
  <c r="L82" i="10"/>
  <c r="L43" i="10"/>
  <c r="V79" i="10"/>
  <c r="U77" i="10"/>
  <c r="E42" i="10"/>
  <c r="E43" i="10" s="1"/>
  <c r="E104" i="10"/>
  <c r="M42" i="10"/>
  <c r="M43" i="10" s="1"/>
  <c r="M104" i="10"/>
  <c r="X63" i="10"/>
  <c r="Y72" i="10"/>
  <c r="N42" i="10"/>
  <c r="N43" i="10" s="1"/>
  <c r="N104" i="10"/>
  <c r="I98" i="10"/>
  <c r="I82" i="10"/>
  <c r="M98" i="10"/>
  <c r="N97" i="10"/>
  <c r="M97" i="10"/>
  <c r="M82" i="10"/>
  <c r="P98" i="10"/>
  <c r="C42" i="10"/>
  <c r="C43" i="10" s="1"/>
  <c r="D104" i="10"/>
  <c r="O42" i="10"/>
  <c r="O43" i="10" s="1"/>
  <c r="O104" i="10"/>
  <c r="J121" i="10"/>
  <c r="I127" i="10"/>
  <c r="J127" i="10" s="1"/>
  <c r="K127" i="10" s="1"/>
  <c r="L127" i="10" s="1"/>
  <c r="M127" i="10" s="1"/>
  <c r="N127" i="10" s="1"/>
  <c r="O127" i="10" s="1"/>
  <c r="P127" i="10" s="1"/>
  <c r="Q127" i="10" s="1"/>
  <c r="R127" i="10" s="1"/>
  <c r="S127" i="10" s="1"/>
  <c r="T127" i="10" s="1"/>
  <c r="U127" i="10" s="1"/>
  <c r="V127" i="10" s="1"/>
  <c r="W127" i="10" s="1"/>
  <c r="X127" i="10" s="1"/>
  <c r="Y127" i="10" s="1"/>
  <c r="Z127" i="10" s="1"/>
  <c r="AA127" i="10" s="1"/>
  <c r="AB127" i="10" s="1"/>
  <c r="AC127" i="10" s="1"/>
  <c r="AD127" i="10" s="1"/>
  <c r="AE127" i="10" s="1"/>
  <c r="AF127" i="10" s="1"/>
  <c r="BA79" i="4"/>
  <c r="BK79" i="4"/>
  <c r="BF138" i="4"/>
  <c r="CT43" i="4"/>
  <c r="CT35" i="4"/>
  <c r="CY44" i="4"/>
  <c r="CC36" i="4"/>
  <c r="CY49" i="4"/>
  <c r="CT48" i="4"/>
  <c r="CY58" i="4"/>
  <c r="CT57" i="4"/>
  <c r="BF79" i="4"/>
  <c r="U109" i="11" l="1"/>
  <c r="V205" i="14"/>
  <c r="V94" i="14"/>
  <c r="W37" i="14"/>
  <c r="V56" i="14"/>
  <c r="K113" i="10"/>
  <c r="CI43" i="4"/>
  <c r="CI35" i="4"/>
  <c r="K78" i="10"/>
  <c r="K97" i="10"/>
  <c r="K58" i="10"/>
  <c r="CG155" i="1"/>
  <c r="CH155" i="1"/>
  <c r="CI155" i="1"/>
  <c r="CF155" i="1"/>
  <c r="CG152" i="1"/>
  <c r="CH152" i="1"/>
  <c r="CI152" i="1"/>
  <c r="CF152" i="1"/>
  <c r="CH162" i="1"/>
  <c r="CG162" i="1"/>
  <c r="CF162" i="1"/>
  <c r="CI162" i="1"/>
  <c r="P176" i="14"/>
  <c r="O126" i="14"/>
  <c r="P126" i="14" s="1"/>
  <c r="K84" i="10"/>
  <c r="K55" i="10"/>
  <c r="K60" i="10" s="1"/>
  <c r="K66" i="10"/>
  <c r="K81" i="10"/>
  <c r="K68" i="10"/>
  <c r="K117" i="10"/>
  <c r="K96" i="10"/>
  <c r="K75" i="10"/>
  <c r="K172" i="10"/>
  <c r="K190" i="10" s="1"/>
  <c r="I210" i="14"/>
  <c r="AS263" i="12"/>
  <c r="AR265" i="12"/>
  <c r="AR262" i="12"/>
  <c r="P149" i="11"/>
  <c r="F22" i="12"/>
  <c r="F86" i="12" s="1"/>
  <c r="F127" i="12" s="1"/>
  <c r="F146" i="12" s="1"/>
  <c r="N82" i="19"/>
  <c r="N95" i="19" s="1"/>
  <c r="N101" i="19" s="1"/>
  <c r="F13" i="19"/>
  <c r="P93" i="19"/>
  <c r="O91" i="20"/>
  <c r="CO130" i="4"/>
  <c r="R115" i="19"/>
  <c r="Q118" i="19"/>
  <c r="X165" i="10"/>
  <c r="W17" i="10"/>
  <c r="CE135" i="1"/>
  <c r="F54" i="19"/>
  <c r="G53" i="19" s="1"/>
  <c r="L91" i="18"/>
  <c r="L96" i="18" s="1"/>
  <c r="L102" i="18" s="1"/>
  <c r="G58" i="10"/>
  <c r="H96" i="10"/>
  <c r="G81" i="10"/>
  <c r="H55" i="10"/>
  <c r="H60" i="10" s="1"/>
  <c r="G63" i="10"/>
  <c r="G78" i="10"/>
  <c r="G96" i="10"/>
  <c r="H117" i="10"/>
  <c r="H81" i="10"/>
  <c r="H75" i="10"/>
  <c r="H97" i="10"/>
  <c r="G68" i="10"/>
  <c r="G75" i="10"/>
  <c r="H68" i="10"/>
  <c r="H78" i="10"/>
  <c r="G55" i="10"/>
  <c r="G60" i="10" s="1"/>
  <c r="G113" i="10"/>
  <c r="G66" i="10"/>
  <c r="H63" i="10"/>
  <c r="H66" i="10"/>
  <c r="H58" i="10"/>
  <c r="G97" i="10"/>
  <c r="CT171" i="1"/>
  <c r="CT194" i="1" s="1"/>
  <c r="L58" i="10"/>
  <c r="L84" i="10"/>
  <c r="L81" i="10"/>
  <c r="N214" i="14"/>
  <c r="L68" i="10"/>
  <c r="L55" i="10"/>
  <c r="L60" i="10" s="1"/>
  <c r="L97" i="10"/>
  <c r="L63" i="10"/>
  <c r="L66" i="10"/>
  <c r="L75" i="10"/>
  <c r="L172" i="10"/>
  <c r="L190" i="10" s="1"/>
  <c r="L78" i="10"/>
  <c r="L96" i="10"/>
  <c r="L113" i="10"/>
  <c r="AS313" i="12"/>
  <c r="AR315" i="12"/>
  <c r="M95" i="19"/>
  <c r="M101" i="19" s="1"/>
  <c r="V7" i="11"/>
  <c r="V90" i="11" s="1"/>
  <c r="V109" i="11"/>
  <c r="BQ146" i="1"/>
  <c r="CT118" i="1"/>
  <c r="CL118" i="1"/>
  <c r="CN118" i="1"/>
  <c r="CM118" i="1"/>
  <c r="CK118" i="1"/>
  <c r="D59" i="20"/>
  <c r="R89" i="20"/>
  <c r="M83" i="20"/>
  <c r="N82" i="20"/>
  <c r="M84" i="20"/>
  <c r="N77" i="20"/>
  <c r="O75" i="20"/>
  <c r="N76" i="20"/>
  <c r="N80" i="20" s="1"/>
  <c r="D16" i="20"/>
  <c r="L93" i="20"/>
  <c r="L99" i="20" s="1"/>
  <c r="R79" i="20"/>
  <c r="S78" i="20"/>
  <c r="P41" i="20"/>
  <c r="Q39" i="20"/>
  <c r="R40" i="20"/>
  <c r="N65" i="20"/>
  <c r="N28" i="20"/>
  <c r="N36" i="20" s="1"/>
  <c r="O25" i="20"/>
  <c r="F59" i="20"/>
  <c r="M16" i="20"/>
  <c r="M80" i="20"/>
  <c r="Q63" i="20"/>
  <c r="I32" i="20"/>
  <c r="H33" i="20"/>
  <c r="O76" i="19"/>
  <c r="P75" i="19"/>
  <c r="O77" i="19"/>
  <c r="O78" i="19" s="1"/>
  <c r="O86" i="19"/>
  <c r="O85" i="19"/>
  <c r="O89" i="19" s="1"/>
  <c r="P84" i="19"/>
  <c r="P41" i="19"/>
  <c r="Q39" i="19"/>
  <c r="L16" i="19"/>
  <c r="U63" i="19"/>
  <c r="J40" i="19"/>
  <c r="K31" i="19"/>
  <c r="J28" i="19"/>
  <c r="J36" i="19" s="1"/>
  <c r="R40" i="19"/>
  <c r="Q91" i="19"/>
  <c r="N89" i="19"/>
  <c r="O92" i="19"/>
  <c r="O90" i="20" s="1"/>
  <c r="M65" i="19"/>
  <c r="N25" i="19"/>
  <c r="R88" i="19"/>
  <c r="S87" i="19"/>
  <c r="H32" i="19"/>
  <c r="G29" i="19"/>
  <c r="G37" i="19" s="1"/>
  <c r="G33" i="19"/>
  <c r="G30" i="19" s="1"/>
  <c r="G38" i="19" s="1"/>
  <c r="F16" i="19"/>
  <c r="G58" i="19"/>
  <c r="N80" i="18"/>
  <c r="N78" i="18"/>
  <c r="O77" i="18"/>
  <c r="N79" i="18"/>
  <c r="P33" i="18"/>
  <c r="Q32" i="18"/>
  <c r="Q93" i="18"/>
  <c r="R62" i="18"/>
  <c r="E52" i="18"/>
  <c r="G52" i="18"/>
  <c r="R120" i="18"/>
  <c r="R117" i="18" s="1"/>
  <c r="Q83" i="18"/>
  <c r="Q82" i="18" s="1"/>
  <c r="R81" i="18"/>
  <c r="R79" i="19" s="1"/>
  <c r="R81" i="19" s="1"/>
  <c r="R80" i="19" s="1"/>
  <c r="M84" i="18"/>
  <c r="M88" i="18"/>
  <c r="M87" i="18"/>
  <c r="N86" i="18"/>
  <c r="I40" i="18"/>
  <c r="Q90" i="18"/>
  <c r="R89" i="18"/>
  <c r="R85" i="20" s="1"/>
  <c r="R86" i="20" s="1"/>
  <c r="R39" i="18"/>
  <c r="Q41" i="18"/>
  <c r="E16" i="18"/>
  <c r="N16" i="18"/>
  <c r="S40" i="18"/>
  <c r="AW216" i="12"/>
  <c r="H250" i="12"/>
  <c r="G249" i="12"/>
  <c r="AS50" i="12"/>
  <c r="AT49" i="12"/>
  <c r="AS48" i="12"/>
  <c r="AS51" i="12"/>
  <c r="AS70" i="12" s="1"/>
  <c r="R246" i="12"/>
  <c r="R23" i="12"/>
  <c r="R22" i="12"/>
  <c r="R86" i="12" s="1"/>
  <c r="O246" i="12"/>
  <c r="O23" i="12"/>
  <c r="O22" i="12"/>
  <c r="O86" i="12" s="1"/>
  <c r="AM341" i="12"/>
  <c r="AQ190" i="12"/>
  <c r="AP200" i="12"/>
  <c r="AO433" i="12"/>
  <c r="AQ340" i="12"/>
  <c r="AP307" i="12"/>
  <c r="AS270" i="12"/>
  <c r="AS272" i="12"/>
  <c r="AT271" i="12"/>
  <c r="AS273" i="12"/>
  <c r="F291" i="12"/>
  <c r="F290" i="12"/>
  <c r="P246" i="12"/>
  <c r="P244" i="12" s="1"/>
  <c r="P23" i="12"/>
  <c r="P22" i="12"/>
  <c r="P86" i="12" s="1"/>
  <c r="X246" i="12"/>
  <c r="AC24" i="12"/>
  <c r="W24" i="12"/>
  <c r="U24" i="12"/>
  <c r="V24" i="12"/>
  <c r="T24" i="12"/>
  <c r="X23" i="12"/>
  <c r="X22" i="12"/>
  <c r="X86" i="12" s="1"/>
  <c r="S245" i="12"/>
  <c r="S243" i="12" s="1"/>
  <c r="Q246" i="12"/>
  <c r="Q23" i="12"/>
  <c r="Q22" i="12"/>
  <c r="Q86" i="12" s="1"/>
  <c r="AN311" i="12"/>
  <c r="AW334" i="12"/>
  <c r="AX333" i="12"/>
  <c r="AW332" i="12"/>
  <c r="AW335" i="12"/>
  <c r="BA280" i="12"/>
  <c r="BA278" i="12"/>
  <c r="BA281" i="12"/>
  <c r="AO210" i="12"/>
  <c r="AR394" i="12"/>
  <c r="AS186" i="12"/>
  <c r="AU60" i="12"/>
  <c r="AU62" i="12"/>
  <c r="AV61" i="12"/>
  <c r="AU63" i="12"/>
  <c r="AV329" i="12"/>
  <c r="AU330" i="12"/>
  <c r="AU328" i="12"/>
  <c r="AU331" i="12"/>
  <c r="AX275" i="12"/>
  <c r="AW276" i="12"/>
  <c r="AW274" i="12"/>
  <c r="AW277" i="12"/>
  <c r="E359" i="12"/>
  <c r="E364" i="12" s="1"/>
  <c r="E463" i="12" s="1"/>
  <c r="E465" i="12" s="1"/>
  <c r="E300" i="12"/>
  <c r="AR387" i="12"/>
  <c r="AS177" i="12"/>
  <c r="AG378" i="12"/>
  <c r="AL166" i="12"/>
  <c r="AL378" i="12" s="1"/>
  <c r="AM124" i="12"/>
  <c r="AN90" i="12"/>
  <c r="AX180" i="12"/>
  <c r="AW178" i="12"/>
  <c r="AV159" i="12"/>
  <c r="AU157" i="12"/>
  <c r="AX53" i="12"/>
  <c r="AW54" i="12"/>
  <c r="AW52" i="12"/>
  <c r="AW55" i="12"/>
  <c r="F73" i="12"/>
  <c r="F82" i="12"/>
  <c r="AS31" i="12"/>
  <c r="AQ478" i="12"/>
  <c r="AP477" i="12"/>
  <c r="AV325" i="12"/>
  <c r="AU326" i="12"/>
  <c r="AU324" i="12"/>
  <c r="AU327" i="12"/>
  <c r="I304" i="12"/>
  <c r="H303" i="12"/>
  <c r="O244" i="12"/>
  <c r="S244" i="12"/>
  <c r="AQ108" i="12"/>
  <c r="AP109" i="12"/>
  <c r="AP107" i="12"/>
  <c r="AP110" i="12"/>
  <c r="AN220" i="12"/>
  <c r="AN208" i="12"/>
  <c r="AG371" i="12"/>
  <c r="AG167" i="12"/>
  <c r="AG379" i="12" s="1"/>
  <c r="F344" i="12"/>
  <c r="F353" i="12"/>
  <c r="F345" i="12"/>
  <c r="AV386" i="12"/>
  <c r="AW176" i="12"/>
  <c r="E354" i="12"/>
  <c r="H245" i="12"/>
  <c r="H243" i="12" s="1"/>
  <c r="I23" i="12"/>
  <c r="U307" i="12"/>
  <c r="T341" i="12"/>
  <c r="BA338" i="12"/>
  <c r="BA336" i="12"/>
  <c r="BA339" i="12"/>
  <c r="AX226" i="12"/>
  <c r="AV206" i="12"/>
  <c r="M470" i="12"/>
  <c r="M471" i="12" s="1"/>
  <c r="M462" i="12"/>
  <c r="AV196" i="12"/>
  <c r="AW267" i="12"/>
  <c r="AV269" i="12"/>
  <c r="AM230" i="12"/>
  <c r="AM228" i="12" s="1"/>
  <c r="AM218" i="12"/>
  <c r="BA120" i="12"/>
  <c r="AZ121" i="12"/>
  <c r="AZ119" i="12"/>
  <c r="AZ122" i="12"/>
  <c r="N82" i="12"/>
  <c r="N76" i="12"/>
  <c r="N174" i="12" s="1"/>
  <c r="N178" i="12" s="1"/>
  <c r="N179" i="12" s="1"/>
  <c r="N75" i="12"/>
  <c r="N164" i="12" s="1"/>
  <c r="N168" i="12" s="1"/>
  <c r="N169" i="12" s="1"/>
  <c r="N74" i="12"/>
  <c r="N153" i="12" s="1"/>
  <c r="N157" i="12" s="1"/>
  <c r="N158" i="12" s="1"/>
  <c r="N73" i="12"/>
  <c r="H6" i="12"/>
  <c r="G9" i="12"/>
  <c r="G18" i="12" s="1"/>
  <c r="G21" i="12" s="1"/>
  <c r="G27" i="12" s="1"/>
  <c r="AU45" i="12"/>
  <c r="AT44" i="12"/>
  <c r="AT47" i="12"/>
  <c r="AW283" i="12"/>
  <c r="AV282" i="12"/>
  <c r="AV284" i="12"/>
  <c r="AV285" i="12"/>
  <c r="AC234" i="12"/>
  <c r="X237" i="12"/>
  <c r="T234" i="12"/>
  <c r="T237" i="12" s="1"/>
  <c r="Q234" i="12"/>
  <c r="AL371" i="12"/>
  <c r="AL167" i="12"/>
  <c r="AL379" i="12" s="1"/>
  <c r="AT115" i="12"/>
  <c r="AT117" i="12"/>
  <c r="AT118" i="12"/>
  <c r="AR113" i="12"/>
  <c r="AS112" i="12"/>
  <c r="AR111" i="12"/>
  <c r="AR114" i="12"/>
  <c r="P9" i="12"/>
  <c r="P19" i="12" s="1"/>
  <c r="Q13" i="12"/>
  <c r="AP104" i="12"/>
  <c r="AO106" i="12"/>
  <c r="AY58" i="12"/>
  <c r="AZ57" i="12"/>
  <c r="AY56" i="12"/>
  <c r="AY59" i="12"/>
  <c r="G246" i="12"/>
  <c r="G244" i="12" s="1"/>
  <c r="G303" i="12" s="1"/>
  <c r="G22" i="12"/>
  <c r="G86" i="12" s="1"/>
  <c r="O15" i="12"/>
  <c r="O16" i="12" s="1"/>
  <c r="X9" i="12"/>
  <c r="X19" i="12" s="1"/>
  <c r="AC6" i="12"/>
  <c r="T6" i="12"/>
  <c r="AN320" i="12"/>
  <c r="AO320" i="12" s="1"/>
  <c r="I212" i="14"/>
  <c r="W8" i="14"/>
  <c r="O210" i="14"/>
  <c r="Q176" i="14"/>
  <c r="R136" i="14"/>
  <c r="W81" i="14"/>
  <c r="X24" i="14"/>
  <c r="R191" i="14"/>
  <c r="S151" i="14"/>
  <c r="R178" i="14"/>
  <c r="S139" i="14"/>
  <c r="R187" i="14"/>
  <c r="S137" i="14"/>
  <c r="V156" i="11"/>
  <c r="W4" i="14"/>
  <c r="U195" i="11"/>
  <c r="V7" i="14"/>
  <c r="V78" i="14"/>
  <c r="H206" i="11"/>
  <c r="V43" i="14"/>
  <c r="Q208" i="14"/>
  <c r="R169" i="14"/>
  <c r="Q174" i="14"/>
  <c r="Q125" i="14" s="1"/>
  <c r="Q64" i="14" s="1"/>
  <c r="Q99" i="14" s="1"/>
  <c r="Q101" i="14" s="1"/>
  <c r="R134" i="14"/>
  <c r="W77" i="14"/>
  <c r="X77" i="14"/>
  <c r="U99" i="14"/>
  <c r="U39" i="11"/>
  <c r="V9" i="14"/>
  <c r="Q188" i="14"/>
  <c r="R148" i="14"/>
  <c r="P175" i="14"/>
  <c r="Q135" i="14"/>
  <c r="P173" i="14"/>
  <c r="Q133" i="14"/>
  <c r="P171" i="14"/>
  <c r="Q131" i="14"/>
  <c r="Q177" i="14"/>
  <c r="R138" i="14"/>
  <c r="Q172" i="14"/>
  <c r="R132" i="14"/>
  <c r="W42" i="14"/>
  <c r="W95" i="14"/>
  <c r="X38" i="14"/>
  <c r="X206" i="14" s="1"/>
  <c r="W189" i="14"/>
  <c r="W79" i="14"/>
  <c r="X22" i="14"/>
  <c r="W92" i="14"/>
  <c r="X35" i="14"/>
  <c r="X203" i="14" s="1"/>
  <c r="V182" i="11"/>
  <c r="W6" i="14"/>
  <c r="U45" i="14"/>
  <c r="W91" i="14"/>
  <c r="T100" i="14"/>
  <c r="T101" i="14" s="1"/>
  <c r="T40" i="11"/>
  <c r="V5" i="14"/>
  <c r="U169" i="11"/>
  <c r="S55" i="14"/>
  <c r="S54" i="14"/>
  <c r="T1" i="14"/>
  <c r="T168" i="14"/>
  <c r="S207" i="14"/>
  <c r="V93" i="14"/>
  <c r="W36" i="14"/>
  <c r="W204" i="14" s="1"/>
  <c r="W192" i="14"/>
  <c r="W82" i="14"/>
  <c r="X25" i="14"/>
  <c r="DN151" i="1"/>
  <c r="DD159" i="1"/>
  <c r="CY160" i="1"/>
  <c r="CY161" i="1"/>
  <c r="DM159" i="1"/>
  <c r="DM158" i="1"/>
  <c r="DM157" i="1"/>
  <c r="DM156" i="1"/>
  <c r="DI158" i="1"/>
  <c r="DI156" i="1"/>
  <c r="CC194" i="1"/>
  <c r="CD171" i="1"/>
  <c r="CD194" i="1" s="1"/>
  <c r="DJ159" i="1"/>
  <c r="DJ158" i="1"/>
  <c r="DJ157" i="1"/>
  <c r="DJ156" i="1"/>
  <c r="BO134" i="1"/>
  <c r="BP134" i="1" s="1"/>
  <c r="BP142" i="1"/>
  <c r="I117" i="10"/>
  <c r="I113" i="10"/>
  <c r="I68" i="10"/>
  <c r="I63" i="10"/>
  <c r="I75" i="10"/>
  <c r="I84" i="10"/>
  <c r="I96" i="10"/>
  <c r="I58" i="10"/>
  <c r="I66" i="10"/>
  <c r="I55" i="10"/>
  <c r="I60" i="10" s="1"/>
  <c r="I78" i="10"/>
  <c r="I81" i="10"/>
  <c r="BX183" i="1"/>
  <c r="BW159" i="1"/>
  <c r="BW183" i="1" s="1"/>
  <c r="CA176" i="1"/>
  <c r="CB152" i="1"/>
  <c r="F66" i="10"/>
  <c r="F68" i="10"/>
  <c r="F117" i="10"/>
  <c r="F96" i="10"/>
  <c r="F58" i="10"/>
  <c r="F63" i="10"/>
  <c r="F75" i="10"/>
  <c r="F97" i="10"/>
  <c r="F55" i="10"/>
  <c r="F60" i="10" s="1"/>
  <c r="F78" i="10"/>
  <c r="F81" i="10"/>
  <c r="F113" i="10"/>
  <c r="F84" i="10"/>
  <c r="CU135" i="1"/>
  <c r="CT115" i="1"/>
  <c r="CM115" i="1"/>
  <c r="CK115" i="1"/>
  <c r="CN115" i="1"/>
  <c r="CL115" i="1"/>
  <c r="P172" i="10"/>
  <c r="P190" i="10" s="1"/>
  <c r="P96" i="10"/>
  <c r="P58" i="10"/>
  <c r="P78" i="10"/>
  <c r="P81" i="10"/>
  <c r="P66" i="10"/>
  <c r="P68" i="10"/>
  <c r="P75" i="10"/>
  <c r="P117" i="10"/>
  <c r="P55" i="10"/>
  <c r="P60" i="10" s="1"/>
  <c r="P84" i="10"/>
  <c r="P63" i="10"/>
  <c r="P113" i="10"/>
  <c r="BA190" i="1"/>
  <c r="BF167" i="1"/>
  <c r="CO162" i="1"/>
  <c r="BI191" i="1"/>
  <c r="BJ168" i="1"/>
  <c r="AB192" i="1"/>
  <c r="AG169" i="1"/>
  <c r="BJ193" i="1"/>
  <c r="BK170" i="1"/>
  <c r="CC185" i="1"/>
  <c r="CD161" i="1"/>
  <c r="DK159" i="1"/>
  <c r="DK158" i="1"/>
  <c r="DK157" i="1"/>
  <c r="DK156" i="1"/>
  <c r="CY171" i="1"/>
  <c r="DL159" i="1"/>
  <c r="DL158" i="1"/>
  <c r="DL157" i="1"/>
  <c r="DL156" i="1"/>
  <c r="BJ178" i="1"/>
  <c r="BK154" i="1"/>
  <c r="AL177" i="1"/>
  <c r="AQ153" i="1"/>
  <c r="CO155" i="1"/>
  <c r="DC135" i="1"/>
  <c r="D117" i="10"/>
  <c r="D55" i="10"/>
  <c r="D60" i="10" s="1"/>
  <c r="D78" i="10"/>
  <c r="D81" i="10"/>
  <c r="D113" i="10"/>
  <c r="D63" i="10"/>
  <c r="D66" i="10"/>
  <c r="D68" i="10"/>
  <c r="D96" i="10"/>
  <c r="D58" i="10"/>
  <c r="D75" i="10"/>
  <c r="D84" i="10"/>
  <c r="O172" i="10"/>
  <c r="O190" i="10" s="1"/>
  <c r="O96" i="10"/>
  <c r="O58" i="10"/>
  <c r="O66" i="10"/>
  <c r="O78" i="10"/>
  <c r="O81" i="10"/>
  <c r="O75" i="10"/>
  <c r="O117" i="10"/>
  <c r="O113" i="10"/>
  <c r="O68" i="10"/>
  <c r="O63" i="10"/>
  <c r="O55" i="10"/>
  <c r="O60" i="10" s="1"/>
  <c r="O84" i="10"/>
  <c r="BS179" i="1"/>
  <c r="BT155" i="1"/>
  <c r="BT179" i="1" s="1"/>
  <c r="CO152" i="1"/>
  <c r="BF175" i="1"/>
  <c r="BG151" i="1"/>
  <c r="J66" i="10"/>
  <c r="J68" i="10"/>
  <c r="J117" i="10"/>
  <c r="J55" i="10"/>
  <c r="J60" i="10" s="1"/>
  <c r="J58" i="10"/>
  <c r="J63" i="10"/>
  <c r="J75" i="10"/>
  <c r="J172" i="10"/>
  <c r="J96" i="10"/>
  <c r="J84" i="10"/>
  <c r="J78" i="10"/>
  <c r="J81" i="10"/>
  <c r="J113" i="10"/>
  <c r="DB121" i="1"/>
  <c r="CZ121" i="1"/>
  <c r="DI121" i="1"/>
  <c r="DC121" i="1"/>
  <c r="DA121" i="1"/>
  <c r="CY84" i="1"/>
  <c r="CY195" i="1" s="1"/>
  <c r="BX182" i="1"/>
  <c r="BW158" i="1"/>
  <c r="BW182" i="1" s="1"/>
  <c r="CT112" i="1"/>
  <c r="CN112" i="1"/>
  <c r="CL112" i="1"/>
  <c r="CM112" i="1"/>
  <c r="CK112" i="1"/>
  <c r="DI172" i="1"/>
  <c r="DD157" i="1"/>
  <c r="CA186" i="1"/>
  <c r="CB162" i="1"/>
  <c r="CA179" i="1"/>
  <c r="CB155" i="1"/>
  <c r="V152" i="11"/>
  <c r="V88" i="11"/>
  <c r="V86" i="11"/>
  <c r="W69" i="11"/>
  <c r="CT128" i="4"/>
  <c r="CT129" i="4" s="1"/>
  <c r="R135" i="11"/>
  <c r="R134" i="11" s="1"/>
  <c r="Q134" i="11"/>
  <c r="R147" i="11"/>
  <c r="R146" i="11" s="1"/>
  <c r="Q146" i="11"/>
  <c r="E53" i="11"/>
  <c r="F48" i="11"/>
  <c r="F49" i="11" s="1"/>
  <c r="R48" i="11"/>
  <c r="R49" i="11" s="1"/>
  <c r="Q53" i="11"/>
  <c r="U99" i="11"/>
  <c r="U102" i="11" s="1"/>
  <c r="U42" i="11"/>
  <c r="W83" i="11"/>
  <c r="AD101" i="11"/>
  <c r="Y22" i="11"/>
  <c r="AF87" i="11"/>
  <c r="EM127" i="4"/>
  <c r="K121" i="10"/>
  <c r="J128" i="10"/>
  <c r="K128" i="10" s="1"/>
  <c r="L128" i="10" s="1"/>
  <c r="M128" i="10" s="1"/>
  <c r="N128" i="10" s="1"/>
  <c r="O128" i="10" s="1"/>
  <c r="P128" i="10" s="1"/>
  <c r="Q128" i="10" s="1"/>
  <c r="R128" i="10" s="1"/>
  <c r="S128" i="10" s="1"/>
  <c r="T128" i="10" s="1"/>
  <c r="U128" i="10" s="1"/>
  <c r="V128" i="10" s="1"/>
  <c r="W128" i="10" s="1"/>
  <c r="X128" i="10" s="1"/>
  <c r="Y128" i="10" s="1"/>
  <c r="Z128" i="10" s="1"/>
  <c r="AA128" i="10" s="1"/>
  <c r="AB128" i="10" s="1"/>
  <c r="AC128" i="10" s="1"/>
  <c r="AD128" i="10" s="1"/>
  <c r="AE128" i="10" s="1"/>
  <c r="AF128" i="10" s="1"/>
  <c r="Z72" i="10"/>
  <c r="Y63" i="10"/>
  <c r="V77" i="10"/>
  <c r="W79" i="10"/>
  <c r="U13" i="10"/>
  <c r="Y126" i="10"/>
  <c r="X37" i="10"/>
  <c r="T168" i="10"/>
  <c r="U167" i="10"/>
  <c r="U5" i="11" s="1"/>
  <c r="T15" i="10"/>
  <c r="T183" i="10" s="1"/>
  <c r="AA122" i="10"/>
  <c r="DD58" i="4"/>
  <c r="CY57" i="4"/>
  <c r="DD49" i="4"/>
  <c r="CY48" i="4"/>
  <c r="CY43" i="4"/>
  <c r="DD44" i="4"/>
  <c r="CY35" i="4"/>
  <c r="CO29" i="4"/>
  <c r="CE29" i="4"/>
  <c r="BZ29" i="4"/>
  <c r="BQ29" i="4"/>
  <c r="BU29" i="4" s="1"/>
  <c r="BO29" i="4"/>
  <c r="BP29" i="4" s="1"/>
  <c r="BH29" i="4"/>
  <c r="BK29" i="4" s="1"/>
  <c r="BF29" i="4"/>
  <c r="BA29" i="4"/>
  <c r="AV29" i="4"/>
  <c r="AO29" i="4"/>
  <c r="AQ29" i="4" s="1"/>
  <c r="AL29" i="4"/>
  <c r="AG29" i="4"/>
  <c r="AB29" i="4"/>
  <c r="W29" i="4"/>
  <c r="R29" i="4"/>
  <c r="M29" i="4"/>
  <c r="H29" i="4"/>
  <c r="BN26" i="4"/>
  <c r="BN37" i="4" s="1"/>
  <c r="Q25" i="4"/>
  <c r="N25" i="4"/>
  <c r="L25" i="4"/>
  <c r="K25" i="4"/>
  <c r="H25" i="4"/>
  <c r="D50" i="10" s="1"/>
  <c r="H23" i="4"/>
  <c r="H22" i="4"/>
  <c r="D213" i="14" s="1"/>
  <c r="E214" i="14" s="1"/>
  <c r="CA25" i="4"/>
  <c r="CE25" i="4" s="1"/>
  <c r="BY25" i="4"/>
  <c r="BX25" i="4"/>
  <c r="BW25" i="4"/>
  <c r="BV25" i="4"/>
  <c r="BT25" i="4"/>
  <c r="BS25" i="4"/>
  <c r="BR25" i="4"/>
  <c r="BQ25" i="4"/>
  <c r="BO25" i="4"/>
  <c r="BN25" i="4"/>
  <c r="BM25" i="4"/>
  <c r="BL25" i="4"/>
  <c r="BJ25" i="4"/>
  <c r="BI25" i="4"/>
  <c r="BH25" i="4"/>
  <c r="BG25" i="4"/>
  <c r="BE25" i="4"/>
  <c r="BD25" i="4"/>
  <c r="BC25" i="4"/>
  <c r="BB25" i="4"/>
  <c r="AZ25" i="4"/>
  <c r="AY25" i="4"/>
  <c r="AX25" i="4"/>
  <c r="AW25" i="4"/>
  <c r="AU25" i="4"/>
  <c r="AT25" i="4"/>
  <c r="AS25" i="4"/>
  <c r="AR25" i="4"/>
  <c r="AP25" i="4"/>
  <c r="AO25" i="4"/>
  <c r="AN25" i="4"/>
  <c r="AM25" i="4"/>
  <c r="AK25" i="4"/>
  <c r="AJ25" i="4"/>
  <c r="AI25" i="4"/>
  <c r="AH25" i="4"/>
  <c r="AF25" i="4"/>
  <c r="AE25" i="4"/>
  <c r="AD25" i="4"/>
  <c r="AC25" i="4"/>
  <c r="AA25" i="4"/>
  <c r="Z25" i="4"/>
  <c r="Y25" i="4"/>
  <c r="X25" i="4"/>
  <c r="V25" i="4"/>
  <c r="W25" i="4" s="1"/>
  <c r="G50" i="10" s="1"/>
  <c r="BY23" i="4"/>
  <c r="BX23" i="4"/>
  <c r="BW23" i="4"/>
  <c r="BU22" i="4"/>
  <c r="Q213" i="14" s="1"/>
  <c r="BS23" i="4"/>
  <c r="BR23" i="4"/>
  <c r="BP22" i="4"/>
  <c r="P213" i="14" s="1"/>
  <c r="BM23" i="4"/>
  <c r="BL23" i="4"/>
  <c r="BH23" i="4"/>
  <c r="BK23" i="4" s="1"/>
  <c r="AV22" i="4"/>
  <c r="L213" i="14" s="1"/>
  <c r="AR23" i="4"/>
  <c r="AV23" i="4" s="1"/>
  <c r="AP23" i="4"/>
  <c r="AO23" i="4"/>
  <c r="AN23" i="4"/>
  <c r="AM23" i="4"/>
  <c r="AK23" i="4"/>
  <c r="AJ23" i="4"/>
  <c r="AI23" i="4"/>
  <c r="AH23" i="4"/>
  <c r="AF23" i="4"/>
  <c r="AE23" i="4"/>
  <c r="AD23" i="4"/>
  <c r="AC23" i="4"/>
  <c r="AA23" i="4"/>
  <c r="Z23" i="4"/>
  <c r="Y23" i="4"/>
  <c r="X23" i="4"/>
  <c r="W23" i="4"/>
  <c r="R23" i="4"/>
  <c r="M23" i="4"/>
  <c r="M22" i="4"/>
  <c r="E213" i="14" s="1"/>
  <c r="F214" i="14" s="1"/>
  <c r="BZ22" i="4"/>
  <c r="R213" i="14" s="1"/>
  <c r="BK22" i="4"/>
  <c r="O213" i="14" s="1"/>
  <c r="BB23" i="4"/>
  <c r="BF23" i="4" s="1"/>
  <c r="BA23" i="4"/>
  <c r="BB22" i="4"/>
  <c r="BF22" i="4" s="1"/>
  <c r="N213" i="14" s="1"/>
  <c r="AZ22" i="4"/>
  <c r="BA22" i="4" s="1"/>
  <c r="M213" i="14" s="1"/>
  <c r="AO22" i="4"/>
  <c r="AQ22" i="4" s="1"/>
  <c r="K213" i="14" s="1"/>
  <c r="L214" i="14" s="1"/>
  <c r="AJ22" i="4"/>
  <c r="AL22" i="4" s="1"/>
  <c r="J213" i="14" s="1"/>
  <c r="K214" i="14" s="1"/>
  <c r="AG22" i="4"/>
  <c r="I213" i="14" s="1"/>
  <c r="J214" i="14" s="1"/>
  <c r="AB22" i="4"/>
  <c r="H213" i="14" s="1"/>
  <c r="I214" i="14" s="1"/>
  <c r="W22" i="4"/>
  <c r="G213" i="14" s="1"/>
  <c r="H214" i="14" s="1"/>
  <c r="Q22" i="4"/>
  <c r="R22" i="4" s="1"/>
  <c r="F213" i="14" s="1"/>
  <c r="G214" i="14" s="1"/>
  <c r="CI18" i="4"/>
  <c r="CM18" i="4"/>
  <c r="CR18" i="4" s="1"/>
  <c r="CW18" i="4" s="1"/>
  <c r="DB18" i="4" s="1"/>
  <c r="DG18" i="4" s="1"/>
  <c r="DL18" i="4" s="1"/>
  <c r="DQ18" i="4" s="1"/>
  <c r="DV18" i="4" s="1"/>
  <c r="EA18" i="4" s="1"/>
  <c r="CL18" i="4"/>
  <c r="CQ18" i="4" s="1"/>
  <c r="CV18" i="4" s="1"/>
  <c r="DA18" i="4" s="1"/>
  <c r="DF18" i="4" s="1"/>
  <c r="DK18" i="4" s="1"/>
  <c r="DP18" i="4" s="1"/>
  <c r="DU18" i="4" s="1"/>
  <c r="DZ18" i="4" s="1"/>
  <c r="CA18" i="4"/>
  <c r="CE18" i="4" s="1"/>
  <c r="BY18" i="4"/>
  <c r="BX18" i="4"/>
  <c r="BW18" i="4"/>
  <c r="BV18" i="4"/>
  <c r="BT18" i="4"/>
  <c r="BS18" i="4"/>
  <c r="BR18" i="4"/>
  <c r="BQ18" i="4"/>
  <c r="BO18" i="4"/>
  <c r="BN18" i="4"/>
  <c r="BM18" i="4"/>
  <c r="BL18" i="4"/>
  <c r="BJ18" i="4"/>
  <c r="BI18" i="4"/>
  <c r="BH18" i="4"/>
  <c r="BE18" i="4"/>
  <c r="BD18" i="4"/>
  <c r="BC18" i="4"/>
  <c r="BB18" i="4"/>
  <c r="AZ18" i="4"/>
  <c r="AY18" i="4"/>
  <c r="AX18" i="4"/>
  <c r="AW18" i="4"/>
  <c r="AU18" i="4"/>
  <c r="AT18" i="4"/>
  <c r="AS18" i="4"/>
  <c r="AR18" i="4"/>
  <c r="AP18" i="4"/>
  <c r="AO18" i="4"/>
  <c r="AN18" i="4"/>
  <c r="AM18" i="4"/>
  <c r="AK18" i="4"/>
  <c r="AJ18" i="4"/>
  <c r="AI18" i="4"/>
  <c r="AH18" i="4"/>
  <c r="AF18" i="4"/>
  <c r="AE18" i="4"/>
  <c r="AD18" i="4"/>
  <c r="AC18" i="4"/>
  <c r="AA18" i="4"/>
  <c r="Z18" i="4"/>
  <c r="Y18" i="4"/>
  <c r="X18" i="4"/>
  <c r="W18" i="4"/>
  <c r="P18" i="4"/>
  <c r="O18" i="4"/>
  <c r="M18" i="4"/>
  <c r="H18" i="4"/>
  <c r="C18" i="4"/>
  <c r="C49" i="10" s="1"/>
  <c r="CH12" i="4"/>
  <c r="CH104" i="4" s="1"/>
  <c r="CL12" i="4"/>
  <c r="CQ12" i="4" s="1"/>
  <c r="CV12" i="4" s="1"/>
  <c r="DA12" i="4" s="1"/>
  <c r="DF12" i="4" s="1"/>
  <c r="DK12" i="4" s="1"/>
  <c r="DP12" i="4" s="1"/>
  <c r="DU12" i="4" s="1"/>
  <c r="DZ12" i="4" s="1"/>
  <c r="CA12" i="4"/>
  <c r="CE12" i="4" s="1"/>
  <c r="BY12" i="4"/>
  <c r="BX12" i="4"/>
  <c r="BW12" i="4"/>
  <c r="BV12" i="4"/>
  <c r="BT12" i="4"/>
  <c r="BS12" i="4"/>
  <c r="BR12" i="4"/>
  <c r="BQ12" i="4"/>
  <c r="BO12" i="4"/>
  <c r="BN12" i="4"/>
  <c r="BM12" i="4"/>
  <c r="BL12" i="4"/>
  <c r="BJ12" i="4"/>
  <c r="BI12" i="4"/>
  <c r="BI11" i="4" s="1"/>
  <c r="BH12" i="4"/>
  <c r="BH11" i="4" s="1"/>
  <c r="BE12" i="4"/>
  <c r="BD12" i="4"/>
  <c r="BC12" i="4"/>
  <c r="BB12" i="4"/>
  <c r="AZ12" i="4"/>
  <c r="AY12" i="4"/>
  <c r="AX12" i="4"/>
  <c r="AW12" i="4"/>
  <c r="AU12" i="4"/>
  <c r="AT12" i="4"/>
  <c r="AS12" i="4"/>
  <c r="AR12" i="4"/>
  <c r="AP12" i="4"/>
  <c r="AO12" i="4"/>
  <c r="AN12" i="4"/>
  <c r="AM12" i="4"/>
  <c r="AK12" i="4"/>
  <c r="AJ12" i="4"/>
  <c r="AI12" i="4"/>
  <c r="AH12" i="4"/>
  <c r="AF12" i="4"/>
  <c r="AE12" i="4"/>
  <c r="AD12" i="4"/>
  <c r="AC12" i="4"/>
  <c r="AA12" i="4"/>
  <c r="Z12" i="4"/>
  <c r="Y12" i="4"/>
  <c r="X12" i="4"/>
  <c r="W12" i="4"/>
  <c r="G49" i="10" s="1"/>
  <c r="P12" i="4"/>
  <c r="O12" i="4"/>
  <c r="K12" i="4"/>
  <c r="M12" i="4" s="1"/>
  <c r="H12" i="4"/>
  <c r="D49" i="10" s="1"/>
  <c r="CA9" i="4"/>
  <c r="CE9" i="4" s="1"/>
  <c r="BY9" i="4"/>
  <c r="BX9" i="4"/>
  <c r="BW9" i="4"/>
  <c r="BV9" i="4"/>
  <c r="BV196" i="1" s="1"/>
  <c r="BT9" i="4"/>
  <c r="BT196" i="1" s="1"/>
  <c r="BS9" i="4"/>
  <c r="BR9" i="4"/>
  <c r="BR196" i="1" s="1"/>
  <c r="BQ9" i="4"/>
  <c r="BQ196" i="1" s="1"/>
  <c r="BO9" i="4"/>
  <c r="BN9" i="4"/>
  <c r="BN196" i="1" s="1"/>
  <c r="BM9" i="4"/>
  <c r="BM196" i="1" s="1"/>
  <c r="BL9" i="4"/>
  <c r="BL196" i="1" s="1"/>
  <c r="BJ9" i="4"/>
  <c r="BJ196" i="1" s="1"/>
  <c r="BI9" i="4"/>
  <c r="BH9" i="4"/>
  <c r="BH196" i="1" s="1"/>
  <c r="BE9" i="4"/>
  <c r="BE196" i="1" s="1"/>
  <c r="BD9" i="4"/>
  <c r="BD196" i="1" s="1"/>
  <c r="BC9" i="4"/>
  <c r="BC196" i="1" s="1"/>
  <c r="BB9" i="4"/>
  <c r="BB196" i="1" s="1"/>
  <c r="AZ9" i="4"/>
  <c r="AY9" i="4"/>
  <c r="AX9" i="4"/>
  <c r="AW9" i="4"/>
  <c r="AU9" i="4"/>
  <c r="AT9" i="4"/>
  <c r="AS9" i="4"/>
  <c r="AR9" i="4"/>
  <c r="AP9" i="4"/>
  <c r="AO9" i="4"/>
  <c r="AN9" i="4"/>
  <c r="AM9" i="4"/>
  <c r="AK9" i="4"/>
  <c r="AJ9" i="4"/>
  <c r="AI9" i="4"/>
  <c r="AH9" i="4"/>
  <c r="AF9" i="4"/>
  <c r="AE9" i="4"/>
  <c r="AD9" i="4"/>
  <c r="AC9" i="4"/>
  <c r="AA9" i="4"/>
  <c r="Z9" i="4"/>
  <c r="Y9" i="4"/>
  <c r="X9" i="4"/>
  <c r="W9" i="4"/>
  <c r="R9" i="4"/>
  <c r="L9" i="4"/>
  <c r="H9" i="4"/>
  <c r="W205" i="14" l="1"/>
  <c r="W94" i="14"/>
  <c r="X37" i="14"/>
  <c r="W56" i="14"/>
  <c r="S49" i="10"/>
  <c r="S72" i="10" s="1"/>
  <c r="CE36" i="4"/>
  <c r="CD105" i="4"/>
  <c r="CF105" i="4"/>
  <c r="CH36" i="4"/>
  <c r="CM12" i="4"/>
  <c r="CR12" i="4" s="1"/>
  <c r="CW12" i="4" s="1"/>
  <c r="DB12" i="4" s="1"/>
  <c r="DG12" i="4" s="1"/>
  <c r="DL12" i="4" s="1"/>
  <c r="DQ12" i="4" s="1"/>
  <c r="DV12" i="4" s="1"/>
  <c r="EA12" i="4" s="1"/>
  <c r="CI26" i="4"/>
  <c r="CI37" i="4" s="1"/>
  <c r="CH26" i="4"/>
  <c r="CH37" i="4" s="1"/>
  <c r="CG26" i="4"/>
  <c r="CG37" i="4" s="1"/>
  <c r="CF26" i="4"/>
  <c r="CF37" i="4" s="1"/>
  <c r="AQ25" i="4"/>
  <c r="K50" i="10" s="1"/>
  <c r="BA25" i="4"/>
  <c r="M50" i="10" s="1"/>
  <c r="G15" i="12"/>
  <c r="G16" i="12" s="1"/>
  <c r="Q93" i="19"/>
  <c r="P91" i="20"/>
  <c r="C64" i="10"/>
  <c r="C154" i="10"/>
  <c r="C72" i="10"/>
  <c r="C70" i="10"/>
  <c r="C153" i="10"/>
  <c r="V39" i="11"/>
  <c r="V100" i="14" s="1"/>
  <c r="AB23" i="4"/>
  <c r="AG23" i="4"/>
  <c r="AL23" i="4"/>
  <c r="AQ23" i="4"/>
  <c r="BU23" i="4"/>
  <c r="AS265" i="12"/>
  <c r="AT263" i="12"/>
  <c r="AS262" i="12"/>
  <c r="AT262" i="12" s="1"/>
  <c r="AU262" i="12" s="1"/>
  <c r="AV262" i="12" s="1"/>
  <c r="AW262" i="12" s="1"/>
  <c r="AX262" i="12" s="1"/>
  <c r="AY262" i="12" s="1"/>
  <c r="AZ262" i="12" s="1"/>
  <c r="BA262" i="12" s="1"/>
  <c r="CT130" i="4"/>
  <c r="S115" i="19"/>
  <c r="R118" i="19"/>
  <c r="BX196" i="1"/>
  <c r="BX173" i="1" s="1"/>
  <c r="T35" i="10"/>
  <c r="U35" i="10" s="1"/>
  <c r="CJ105" i="4"/>
  <c r="CT29" i="4"/>
  <c r="Y165" i="10"/>
  <c r="X17" i="10"/>
  <c r="CJ135" i="1"/>
  <c r="G54" i="19"/>
  <c r="H53" i="19" s="1"/>
  <c r="G13" i="19"/>
  <c r="BV173" i="1"/>
  <c r="BN173" i="1"/>
  <c r="BJ173" i="1"/>
  <c r="BT173" i="1"/>
  <c r="BL173" i="1"/>
  <c r="BQ173" i="1"/>
  <c r="BH173" i="1"/>
  <c r="BM173" i="1"/>
  <c r="BR173" i="1"/>
  <c r="P210" i="14"/>
  <c r="P212" i="14" s="1"/>
  <c r="V99" i="14"/>
  <c r="S57" i="14"/>
  <c r="S187" i="10" s="1"/>
  <c r="AT313" i="12"/>
  <c r="AS315" i="12"/>
  <c r="E49" i="10"/>
  <c r="E70" i="10" s="1"/>
  <c r="F48" i="10"/>
  <c r="R196" i="1"/>
  <c r="R195" i="1" s="1"/>
  <c r="BO103" i="4"/>
  <c r="BO196" i="1"/>
  <c r="BY103" i="4"/>
  <c r="BY196" i="1"/>
  <c r="D70" i="10"/>
  <c r="D154" i="10"/>
  <c r="D153" i="10"/>
  <c r="D64" i="10"/>
  <c r="D72" i="10"/>
  <c r="G70" i="10"/>
  <c r="G153" i="10"/>
  <c r="G64" i="10"/>
  <c r="G154" i="10"/>
  <c r="G72" i="10"/>
  <c r="BN105" i="4"/>
  <c r="G48" i="10"/>
  <c r="W196" i="1"/>
  <c r="W195" i="1" s="1"/>
  <c r="CA103" i="4"/>
  <c r="CA196" i="1"/>
  <c r="E72" i="10"/>
  <c r="E153" i="10"/>
  <c r="BT105" i="4"/>
  <c r="BZ23" i="4"/>
  <c r="AG25" i="4"/>
  <c r="I50" i="10" s="1"/>
  <c r="BK25" i="4"/>
  <c r="O50" i="10" s="1"/>
  <c r="BU25" i="4"/>
  <c r="Q50" i="10" s="1"/>
  <c r="W109" i="11"/>
  <c r="W7" i="11"/>
  <c r="W90" i="11" s="1"/>
  <c r="D48" i="10"/>
  <c r="H196" i="1"/>
  <c r="H195" i="1" s="1"/>
  <c r="BW103" i="4"/>
  <c r="BW196" i="1"/>
  <c r="BV105" i="4"/>
  <c r="BK9" i="4"/>
  <c r="BI196" i="1"/>
  <c r="BS103" i="4"/>
  <c r="BS196" i="1"/>
  <c r="BJ11" i="4"/>
  <c r="T49" i="10"/>
  <c r="BK18" i="4"/>
  <c r="BP23" i="4"/>
  <c r="T174" i="10"/>
  <c r="T79" i="11"/>
  <c r="CY118" i="1"/>
  <c r="CQ118" i="1"/>
  <c r="CR118" i="1"/>
  <c r="CP118" i="1"/>
  <c r="CS118" i="1"/>
  <c r="I33" i="20"/>
  <c r="J32" i="20"/>
  <c r="F62" i="20"/>
  <c r="F25" i="20"/>
  <c r="Q41" i="20"/>
  <c r="R39" i="20"/>
  <c r="T78" i="20"/>
  <c r="S79" i="20"/>
  <c r="C16" i="20"/>
  <c r="P75" i="20"/>
  <c r="O77" i="20"/>
  <c r="O76" i="20"/>
  <c r="M87" i="20"/>
  <c r="M93" i="20" s="1"/>
  <c r="M99" i="20" s="1"/>
  <c r="D62" i="20"/>
  <c r="D25" i="20"/>
  <c r="R63" i="20"/>
  <c r="N16" i="20"/>
  <c r="O65" i="20"/>
  <c r="O28" i="20"/>
  <c r="O36" i="20" s="1"/>
  <c r="P25" i="20"/>
  <c r="S40" i="20"/>
  <c r="N84" i="20"/>
  <c r="N83" i="20"/>
  <c r="O82" i="20"/>
  <c r="S89" i="20"/>
  <c r="H59" i="19"/>
  <c r="E16" i="19"/>
  <c r="S88" i="19"/>
  <c r="T87" i="19"/>
  <c r="N65" i="19"/>
  <c r="O25" i="19"/>
  <c r="P92" i="19"/>
  <c r="P90" i="20" s="1"/>
  <c r="L31" i="19"/>
  <c r="K28" i="19"/>
  <c r="K36" i="19" s="1"/>
  <c r="M16" i="19"/>
  <c r="Q41" i="19"/>
  <c r="R39" i="19"/>
  <c r="P85" i="19"/>
  <c r="Q84" i="19"/>
  <c r="P86" i="19"/>
  <c r="P77" i="19"/>
  <c r="P78" i="19" s="1"/>
  <c r="P76" i="19"/>
  <c r="Q75" i="19"/>
  <c r="H33" i="19"/>
  <c r="I32" i="19"/>
  <c r="R91" i="19"/>
  <c r="S40" i="19"/>
  <c r="V63" i="19"/>
  <c r="O82" i="19"/>
  <c r="O95" i="19" s="1"/>
  <c r="O101" i="19" s="1"/>
  <c r="T40" i="18"/>
  <c r="O16" i="18"/>
  <c r="R90" i="18"/>
  <c r="S89" i="18"/>
  <c r="S85" i="20" s="1"/>
  <c r="S86" i="20" s="1"/>
  <c r="J40" i="18"/>
  <c r="M91" i="18"/>
  <c r="M96" i="18" s="1"/>
  <c r="M102" i="18" s="1"/>
  <c r="E58" i="18"/>
  <c r="D52" i="18" s="1"/>
  <c r="R93" i="18"/>
  <c r="Q33" i="18"/>
  <c r="R32" i="18"/>
  <c r="N84" i="18"/>
  <c r="D16" i="18"/>
  <c r="R41" i="18"/>
  <c r="S39" i="18"/>
  <c r="N87" i="18"/>
  <c r="O86" i="18"/>
  <c r="N88" i="18"/>
  <c r="S81" i="18"/>
  <c r="S79" i="19" s="1"/>
  <c r="S81" i="19" s="1"/>
  <c r="S80" i="19" s="1"/>
  <c r="R83" i="18"/>
  <c r="R82" i="18" s="1"/>
  <c r="S120" i="18"/>
  <c r="S117" i="18" s="1"/>
  <c r="G58" i="18"/>
  <c r="S62" i="18"/>
  <c r="O79" i="18"/>
  <c r="O80" i="18"/>
  <c r="O78" i="18"/>
  <c r="P77" i="18"/>
  <c r="AH6" i="12"/>
  <c r="AC9" i="12"/>
  <c r="Y6" i="12"/>
  <c r="Z6" i="12" s="1"/>
  <c r="AA6" i="12" s="1"/>
  <c r="AB6" i="12" s="1"/>
  <c r="G128" i="12"/>
  <c r="G154" i="12" s="1"/>
  <c r="G127" i="12"/>
  <c r="G146" i="12" s="1"/>
  <c r="X244" i="12"/>
  <c r="X15" i="12"/>
  <c r="X16" i="12" s="1"/>
  <c r="G353" i="12"/>
  <c r="G346" i="12"/>
  <c r="G344" i="12"/>
  <c r="G345" i="12"/>
  <c r="AQ104" i="12"/>
  <c r="AP106" i="12"/>
  <c r="R13" i="12"/>
  <c r="Q9" i="12"/>
  <c r="AS113" i="12"/>
  <c r="AT112" i="12"/>
  <c r="AS111" i="12"/>
  <c r="AS114" i="12"/>
  <c r="Q237" i="12"/>
  <c r="R234" i="12"/>
  <c r="R237" i="12" s="1"/>
  <c r="U234" i="12"/>
  <c r="AC237" i="12"/>
  <c r="Y234" i="12"/>
  <c r="Y237" i="12" s="1"/>
  <c r="AH234" i="12"/>
  <c r="AW284" i="12"/>
  <c r="AX283" i="12"/>
  <c r="AW282" i="12"/>
  <c r="AW285" i="12"/>
  <c r="AV45" i="12"/>
  <c r="AU44" i="12"/>
  <c r="AU47" i="12"/>
  <c r="H9" i="12"/>
  <c r="H18" i="12" s="1"/>
  <c r="I6" i="12"/>
  <c r="N83" i="12"/>
  <c r="N139" i="12" s="1"/>
  <c r="N140" i="12" s="1"/>
  <c r="N145" i="12"/>
  <c r="N150" i="12" s="1"/>
  <c r="BA121" i="12"/>
  <c r="BA119" i="12"/>
  <c r="BA122" i="12"/>
  <c r="AX267" i="12"/>
  <c r="AW269" i="12"/>
  <c r="AW196" i="12"/>
  <c r="V307" i="12"/>
  <c r="U341" i="12"/>
  <c r="P15" i="12"/>
  <c r="P16" i="12" s="1"/>
  <c r="AW386" i="12"/>
  <c r="AX176" i="12"/>
  <c r="H345" i="12"/>
  <c r="H369" i="12" s="1"/>
  <c r="H353" i="12"/>
  <c r="H346" i="12"/>
  <c r="H344" i="12"/>
  <c r="AT31" i="12"/>
  <c r="AO220" i="12"/>
  <c r="AO208" i="12"/>
  <c r="AP309" i="12"/>
  <c r="AO311" i="12"/>
  <c r="Q245" i="12"/>
  <c r="Q21" i="12"/>
  <c r="Q27" i="12" s="1"/>
  <c r="X130" i="12"/>
  <c r="X175" i="12" s="1"/>
  <c r="X127" i="12"/>
  <c r="X131" i="12"/>
  <c r="X185" i="12" s="1"/>
  <c r="X129" i="12"/>
  <c r="X165" i="12" s="1"/>
  <c r="X128" i="12"/>
  <c r="X154" i="12" s="1"/>
  <c r="T246" i="12"/>
  <c r="T244" i="12" s="1"/>
  <c r="T23" i="12"/>
  <c r="T22" i="12"/>
  <c r="T86" i="12" s="1"/>
  <c r="U246" i="12"/>
  <c r="U23" i="12"/>
  <c r="U22" i="12"/>
  <c r="U86" i="12" s="1"/>
  <c r="AC246" i="12"/>
  <c r="AA24" i="12"/>
  <c r="Y24" i="12"/>
  <c r="AC23" i="12"/>
  <c r="AC22" i="12"/>
  <c r="AC86" i="12" s="1"/>
  <c r="AH24" i="12"/>
  <c r="AB24" i="12"/>
  <c r="Z24" i="12"/>
  <c r="P130" i="12"/>
  <c r="P128" i="12"/>
  <c r="P127" i="12"/>
  <c r="P129" i="12"/>
  <c r="AT272" i="12"/>
  <c r="AT270" i="12"/>
  <c r="AU271" i="12"/>
  <c r="AT273" i="12"/>
  <c r="AP210" i="12"/>
  <c r="O127" i="12"/>
  <c r="O129" i="12"/>
  <c r="O130" i="12"/>
  <c r="O128" i="12"/>
  <c r="R245" i="12"/>
  <c r="R21" i="12"/>
  <c r="R27" i="12" s="1"/>
  <c r="R82" i="12" s="1"/>
  <c r="AT50" i="12"/>
  <c r="AU49" i="12"/>
  <c r="AT48" i="12"/>
  <c r="AT51" i="12"/>
  <c r="AT70" i="12" s="1"/>
  <c r="G292" i="12"/>
  <c r="G290" i="12"/>
  <c r="G291" i="12"/>
  <c r="AX216" i="12"/>
  <c r="T9" i="12"/>
  <c r="T19" i="12" s="1"/>
  <c r="U6" i="12"/>
  <c r="AZ58" i="12"/>
  <c r="AZ56" i="12"/>
  <c r="BA57" i="12"/>
  <c r="AZ59" i="12"/>
  <c r="AU117" i="12"/>
  <c r="AV116" i="12"/>
  <c r="AU115" i="12"/>
  <c r="AU118" i="12"/>
  <c r="G82" i="12"/>
  <c r="G74" i="12"/>
  <c r="G153" i="12" s="1"/>
  <c r="G160" i="12" s="1"/>
  <c r="G73" i="12"/>
  <c r="AW206" i="12"/>
  <c r="AY226" i="12"/>
  <c r="I245" i="12"/>
  <c r="I243" i="12" s="1"/>
  <c r="I24" i="12"/>
  <c r="J23" i="12"/>
  <c r="F354" i="12"/>
  <c r="AN230" i="12"/>
  <c r="AN228" i="12" s="1"/>
  <c r="AN218" i="12"/>
  <c r="AQ109" i="12"/>
  <c r="AR108" i="12"/>
  <c r="AQ107" i="12"/>
  <c r="AQ110" i="12"/>
  <c r="J304" i="12"/>
  <c r="AV326" i="12"/>
  <c r="AV324" i="12"/>
  <c r="AW325" i="12"/>
  <c r="AV327" i="12"/>
  <c r="AR478" i="12"/>
  <c r="AQ477" i="12"/>
  <c r="F83" i="12"/>
  <c r="F145" i="12"/>
  <c r="F150" i="12" s="1"/>
  <c r="F462" i="12" s="1"/>
  <c r="AX54" i="12"/>
  <c r="AX52" i="12"/>
  <c r="AY53" i="12"/>
  <c r="AX55" i="12"/>
  <c r="AW159" i="12"/>
  <c r="AV157" i="12"/>
  <c r="AY180" i="12"/>
  <c r="AX178" i="12"/>
  <c r="AO90" i="12"/>
  <c r="AN124" i="12"/>
  <c r="AS387" i="12"/>
  <c r="AT177" i="12"/>
  <c r="AX276" i="12"/>
  <c r="AX274" i="12"/>
  <c r="AY275" i="12"/>
  <c r="AX277" i="12"/>
  <c r="AV330" i="12"/>
  <c r="AV328" i="12"/>
  <c r="AW329" i="12"/>
  <c r="AV331" i="12"/>
  <c r="AV62" i="12"/>
  <c r="AW61" i="12"/>
  <c r="AV60" i="12"/>
  <c r="AV63" i="12"/>
  <c r="AS394" i="12"/>
  <c r="AT186" i="12"/>
  <c r="AX334" i="12"/>
  <c r="AY333" i="12"/>
  <c r="AX332" i="12"/>
  <c r="AX335" i="12"/>
  <c r="AN341" i="12"/>
  <c r="Q131" i="12"/>
  <c r="Q185" i="12" s="1"/>
  <c r="Q188" i="12" s="1"/>
  <c r="Q189" i="12" s="1"/>
  <c r="Q127" i="12"/>
  <c r="Q128" i="12"/>
  <c r="Q130" i="12"/>
  <c r="Q129" i="12"/>
  <c r="X245" i="12"/>
  <c r="X243" i="12" s="1"/>
  <c r="X21" i="12"/>
  <c r="X27" i="12" s="1"/>
  <c r="X82" i="12" s="1"/>
  <c r="V246" i="12"/>
  <c r="V23" i="12"/>
  <c r="V22" i="12"/>
  <c r="V86" i="12" s="1"/>
  <c r="W246" i="12"/>
  <c r="W23" i="12"/>
  <c r="W22" i="12"/>
  <c r="W86" i="12" s="1"/>
  <c r="P245" i="12"/>
  <c r="P243" i="12" s="1"/>
  <c r="P21" i="12"/>
  <c r="P27" i="12" s="1"/>
  <c r="P82" i="12" s="1"/>
  <c r="F359" i="12"/>
  <c r="F364" i="12" s="1"/>
  <c r="F463" i="12" s="1"/>
  <c r="F300" i="12"/>
  <c r="AQ307" i="12"/>
  <c r="AR340" i="12"/>
  <c r="AP433" i="12"/>
  <c r="AQ200" i="12"/>
  <c r="AR190" i="12"/>
  <c r="O245" i="12"/>
  <c r="O243" i="12" s="1"/>
  <c r="O21" i="12"/>
  <c r="O27" i="12" s="1"/>
  <c r="O82" i="12" s="1"/>
  <c r="R130" i="12"/>
  <c r="R129" i="12"/>
  <c r="R127" i="12"/>
  <c r="R128" i="12"/>
  <c r="R131" i="12"/>
  <c r="I250" i="12"/>
  <c r="H249" i="12"/>
  <c r="X82" i="14"/>
  <c r="X192" i="14"/>
  <c r="Y25" i="14"/>
  <c r="U168" i="14"/>
  <c r="T207" i="14"/>
  <c r="X6" i="14"/>
  <c r="W182" i="11"/>
  <c r="X95" i="14"/>
  <c r="Y38" i="14"/>
  <c r="Y206" i="14" s="1"/>
  <c r="X42" i="14"/>
  <c r="S132" i="14"/>
  <c r="R172" i="14"/>
  <c r="S138" i="14"/>
  <c r="R177" i="14"/>
  <c r="Q171" i="14"/>
  <c r="R131" i="14"/>
  <c r="Q173" i="14"/>
  <c r="R133" i="14"/>
  <c r="Q175" i="14"/>
  <c r="R135" i="14"/>
  <c r="S148" i="14"/>
  <c r="R188" i="14"/>
  <c r="W9" i="14"/>
  <c r="U100" i="14"/>
  <c r="U101" i="14" s="1"/>
  <c r="U40" i="11"/>
  <c r="X78" i="14"/>
  <c r="W78" i="14"/>
  <c r="W39" i="11" s="1"/>
  <c r="V45" i="14"/>
  <c r="S136" i="14"/>
  <c r="R176" i="14"/>
  <c r="O214" i="14"/>
  <c r="O212" i="14"/>
  <c r="W93" i="14"/>
  <c r="X36" i="14"/>
  <c r="X204" i="14" s="1"/>
  <c r="U1" i="14"/>
  <c r="T55" i="14"/>
  <c r="T57" i="14" s="1"/>
  <c r="T32" i="10" s="1"/>
  <c r="T187" i="10" s="1"/>
  <c r="T54" i="14"/>
  <c r="W5" i="14"/>
  <c r="V169" i="11"/>
  <c r="X91" i="14"/>
  <c r="Y91" i="14"/>
  <c r="X92" i="14"/>
  <c r="X189" i="14"/>
  <c r="Y22" i="14"/>
  <c r="X79" i="14"/>
  <c r="P214" i="14"/>
  <c r="S134" i="14"/>
  <c r="R174" i="14"/>
  <c r="R208" i="14"/>
  <c r="S169" i="14"/>
  <c r="W43" i="14"/>
  <c r="W7" i="14"/>
  <c r="V195" i="11"/>
  <c r="X4" i="14"/>
  <c r="W156" i="11"/>
  <c r="S187" i="14"/>
  <c r="T137" i="14"/>
  <c r="S178" i="14"/>
  <c r="T139" i="14"/>
  <c r="S191" i="14"/>
  <c r="T151" i="14"/>
  <c r="X81" i="14"/>
  <c r="Y24" i="14"/>
  <c r="X8" i="14"/>
  <c r="Q126" i="14"/>
  <c r="DN121" i="1"/>
  <c r="DH121" i="1"/>
  <c r="DF121" i="1"/>
  <c r="DG121" i="1"/>
  <c r="DE121" i="1"/>
  <c r="BG175" i="1"/>
  <c r="BH151" i="1"/>
  <c r="CT152" i="1"/>
  <c r="DH135" i="1"/>
  <c r="AQ177" i="1"/>
  <c r="AV153" i="1"/>
  <c r="BK178" i="1"/>
  <c r="BP154" i="1"/>
  <c r="DQ156" i="1"/>
  <c r="DQ157" i="1"/>
  <c r="DQ158" i="1"/>
  <c r="DQ159" i="1"/>
  <c r="CY194" i="1"/>
  <c r="DD171" i="1"/>
  <c r="DP156" i="1"/>
  <c r="DP157" i="1"/>
  <c r="DP158" i="1"/>
  <c r="DP159" i="1"/>
  <c r="BK193" i="1"/>
  <c r="BP170" i="1"/>
  <c r="AG192" i="1"/>
  <c r="AL169" i="1"/>
  <c r="BJ191" i="1"/>
  <c r="BK168" i="1"/>
  <c r="CT162" i="1"/>
  <c r="CZ135" i="1"/>
  <c r="CC152" i="1"/>
  <c r="BS142" i="1"/>
  <c r="BS134" i="1" s="1"/>
  <c r="BS144" i="1" s="1"/>
  <c r="BX144" i="1" s="1"/>
  <c r="BT142" i="1"/>
  <c r="BT134" i="1" s="1"/>
  <c r="BQ142" i="1"/>
  <c r="DO156" i="1"/>
  <c r="DO157" i="1"/>
  <c r="DO158" i="1"/>
  <c r="DO159" i="1"/>
  <c r="DN156" i="1"/>
  <c r="DN158" i="1"/>
  <c r="DR156" i="1"/>
  <c r="DR157" i="1"/>
  <c r="DR158" i="1"/>
  <c r="DR159" i="1"/>
  <c r="DD161" i="1"/>
  <c r="DD160" i="1"/>
  <c r="DI159" i="1"/>
  <c r="DS151" i="1"/>
  <c r="CC155" i="1"/>
  <c r="CB186" i="1"/>
  <c r="CC162" i="1"/>
  <c r="DI157" i="1"/>
  <c r="DN172" i="1"/>
  <c r="CR112" i="1"/>
  <c r="CP112" i="1"/>
  <c r="CY112" i="1"/>
  <c r="CS112" i="1"/>
  <c r="CQ112" i="1"/>
  <c r="DD84" i="1"/>
  <c r="DD195" i="1" s="1"/>
  <c r="CT155" i="1"/>
  <c r="BF190" i="1"/>
  <c r="BG167" i="1"/>
  <c r="CR115" i="1"/>
  <c r="CP115" i="1"/>
  <c r="CY115" i="1"/>
  <c r="CS115" i="1"/>
  <c r="CQ115" i="1"/>
  <c r="ER127" i="4"/>
  <c r="AE101" i="11"/>
  <c r="X83" i="11"/>
  <c r="R53" i="11"/>
  <c r="S48" i="11"/>
  <c r="CB88" i="4"/>
  <c r="Q149" i="11"/>
  <c r="V99" i="11"/>
  <c r="V102" i="11" s="1"/>
  <c r="V42" i="11"/>
  <c r="Z22" i="11"/>
  <c r="F53" i="11"/>
  <c r="G48" i="11"/>
  <c r="G49" i="11" s="1"/>
  <c r="R149" i="11"/>
  <c r="W152" i="11"/>
  <c r="W88" i="11"/>
  <c r="W86" i="11"/>
  <c r="X69" i="11"/>
  <c r="CY128" i="4"/>
  <c r="CY129" i="4" s="1"/>
  <c r="CY130" i="4" s="1"/>
  <c r="U166" i="10"/>
  <c r="Y37" i="10"/>
  <c r="Z126" i="10"/>
  <c r="X79" i="10"/>
  <c r="W77" i="10"/>
  <c r="AB122" i="10"/>
  <c r="V13" i="10"/>
  <c r="Z63" i="10"/>
  <c r="AA72" i="10"/>
  <c r="K129" i="10"/>
  <c r="L129" i="10" s="1"/>
  <c r="M129" i="10" s="1"/>
  <c r="N129" i="10" s="1"/>
  <c r="O129" i="10" s="1"/>
  <c r="P129" i="10" s="1"/>
  <c r="Q129" i="10" s="1"/>
  <c r="R129" i="10" s="1"/>
  <c r="S129" i="10" s="1"/>
  <c r="T129" i="10" s="1"/>
  <c r="U129" i="10" s="1"/>
  <c r="V129" i="10" s="1"/>
  <c r="W129" i="10" s="1"/>
  <c r="L121" i="10"/>
  <c r="M104" i="4"/>
  <c r="CD104" i="4"/>
  <c r="CD36" i="4"/>
  <c r="CO26" i="4"/>
  <c r="Q103" i="4"/>
  <c r="L103" i="4"/>
  <c r="X103" i="4"/>
  <c r="AB9" i="4"/>
  <c r="AF103" i="4"/>
  <c r="AJ103" i="4"/>
  <c r="AP103" i="4"/>
  <c r="AT103" i="4"/>
  <c r="AX103" i="4"/>
  <c r="BG103" i="4"/>
  <c r="BB103" i="4"/>
  <c r="BF9" i="4"/>
  <c r="BM103" i="4"/>
  <c r="BQ103" i="4"/>
  <c r="H103" i="4"/>
  <c r="M9" i="4"/>
  <c r="W103" i="4"/>
  <c r="Y103" i="4"/>
  <c r="AA103" i="4"/>
  <c r="AC103" i="4"/>
  <c r="AE103" i="4"/>
  <c r="AG9" i="4"/>
  <c r="AI103" i="4"/>
  <c r="AK103" i="4"/>
  <c r="AM103" i="4"/>
  <c r="AO103" i="4"/>
  <c r="AQ9" i="4"/>
  <c r="AS103" i="4"/>
  <c r="AU103" i="4"/>
  <c r="AW103" i="4"/>
  <c r="AY103" i="4"/>
  <c r="BA9" i="4"/>
  <c r="BC103" i="4"/>
  <c r="BE103" i="4"/>
  <c r="BH103" i="4"/>
  <c r="BJ103" i="4"/>
  <c r="BL103" i="4"/>
  <c r="BN103" i="4"/>
  <c r="BP9" i="4"/>
  <c r="BR103" i="4"/>
  <c r="BT103" i="4"/>
  <c r="BV103" i="4"/>
  <c r="BX103" i="4"/>
  <c r="BZ9" i="4"/>
  <c r="R48" i="10" s="1"/>
  <c r="H104" i="4"/>
  <c r="U104" i="4"/>
  <c r="P104" i="4"/>
  <c r="Y104" i="4"/>
  <c r="Y36" i="4"/>
  <c r="AA104" i="4"/>
  <c r="AA36" i="4"/>
  <c r="AC104" i="4"/>
  <c r="AC36" i="4"/>
  <c r="AE104" i="4"/>
  <c r="AE36" i="4"/>
  <c r="AG12" i="4"/>
  <c r="AI104" i="4"/>
  <c r="AI36" i="4"/>
  <c r="AK104" i="4"/>
  <c r="AK36" i="4"/>
  <c r="AM104" i="4"/>
  <c r="AM36" i="4"/>
  <c r="AO104" i="4"/>
  <c r="AO36" i="4"/>
  <c r="AQ12" i="4"/>
  <c r="AS104" i="4"/>
  <c r="AS36" i="4"/>
  <c r="AU104" i="4"/>
  <c r="AU36" i="4"/>
  <c r="AW104" i="4"/>
  <c r="AW36" i="4"/>
  <c r="AY104" i="4"/>
  <c r="AY36" i="4"/>
  <c r="BA12" i="4"/>
  <c r="BC104" i="4"/>
  <c r="BC36" i="4"/>
  <c r="BE104" i="4"/>
  <c r="BE36" i="4"/>
  <c r="BH104" i="4"/>
  <c r="BH36" i="4"/>
  <c r="BJ104" i="4"/>
  <c r="BJ36" i="4"/>
  <c r="BL104" i="4"/>
  <c r="BL36" i="4"/>
  <c r="BN104" i="4"/>
  <c r="BN36" i="4"/>
  <c r="BP12" i="4"/>
  <c r="BR104" i="4"/>
  <c r="BR36" i="4"/>
  <c r="BT104" i="4"/>
  <c r="BT36" i="4"/>
  <c r="BV104" i="4"/>
  <c r="BV36" i="4"/>
  <c r="CC104" i="4"/>
  <c r="BX104" i="4"/>
  <c r="BX36" i="4"/>
  <c r="BZ12" i="4"/>
  <c r="H105" i="4"/>
  <c r="O105" i="4"/>
  <c r="T105" i="4"/>
  <c r="R18" i="4"/>
  <c r="W105" i="4" s="1"/>
  <c r="X105" i="4"/>
  <c r="Z105" i="4"/>
  <c r="AB18" i="4"/>
  <c r="AD105" i="4"/>
  <c r="AF105" i="4"/>
  <c r="AH105" i="4"/>
  <c r="AJ105" i="4"/>
  <c r="AL18" i="4"/>
  <c r="AN105" i="4"/>
  <c r="AP105" i="4"/>
  <c r="AR105" i="4"/>
  <c r="AT105" i="4"/>
  <c r="AV18" i="4"/>
  <c r="AX105" i="4"/>
  <c r="AZ105" i="4"/>
  <c r="BG105" i="4"/>
  <c r="BB105" i="4"/>
  <c r="BD105" i="4"/>
  <c r="BF18" i="4"/>
  <c r="BI105" i="4"/>
  <c r="BM105" i="4"/>
  <c r="BO105" i="4"/>
  <c r="BQ105" i="4"/>
  <c r="BS105" i="4"/>
  <c r="BU18" i="4"/>
  <c r="BW105" i="4"/>
  <c r="CB105" i="4"/>
  <c r="BY105" i="4"/>
  <c r="CA105" i="4"/>
  <c r="CK18" i="4"/>
  <c r="CP18" i="4" s="1"/>
  <c r="CU18" i="4" s="1"/>
  <c r="CZ18" i="4" s="1"/>
  <c r="DE18" i="4" s="1"/>
  <c r="DJ18" i="4" s="1"/>
  <c r="DO18" i="4" s="1"/>
  <c r="DT18" i="4" s="1"/>
  <c r="DY18" i="4" s="1"/>
  <c r="AB25" i="4"/>
  <c r="H50" i="10" s="1"/>
  <c r="AL25" i="4"/>
  <c r="J50" i="10" s="1"/>
  <c r="AV25" i="4"/>
  <c r="L50" i="10" s="1"/>
  <c r="BF25" i="4"/>
  <c r="N50" i="10" s="1"/>
  <c r="BP25" i="4"/>
  <c r="P50" i="10" s="1"/>
  <c r="BZ25" i="4"/>
  <c r="R50" i="10" s="1"/>
  <c r="M25" i="4"/>
  <c r="E50" i="10" s="1"/>
  <c r="BO26" i="4"/>
  <c r="BO37" i="4" s="1"/>
  <c r="BP37" i="4" s="1"/>
  <c r="P109" i="11" s="1"/>
  <c r="DD43" i="4"/>
  <c r="DD35" i="4"/>
  <c r="DI44" i="4"/>
  <c r="Z103" i="4"/>
  <c r="AD103" i="4"/>
  <c r="AH103" i="4"/>
  <c r="AL9" i="4"/>
  <c r="AN103" i="4"/>
  <c r="AR103" i="4"/>
  <c r="AV9" i="4"/>
  <c r="AZ103" i="4"/>
  <c r="BD103" i="4"/>
  <c r="BI103" i="4"/>
  <c r="BU9" i="4"/>
  <c r="K104" i="4"/>
  <c r="O104" i="4"/>
  <c r="T104" i="4"/>
  <c r="R12" i="4"/>
  <c r="X104" i="4"/>
  <c r="X36" i="4"/>
  <c r="Z104" i="4"/>
  <c r="Z36" i="4"/>
  <c r="AB12" i="4"/>
  <c r="AD104" i="4"/>
  <c r="AD36" i="4"/>
  <c r="AF104" i="4"/>
  <c r="AF36" i="4"/>
  <c r="AH104" i="4"/>
  <c r="AH36" i="4"/>
  <c r="AJ104" i="4"/>
  <c r="AJ36" i="4"/>
  <c r="AL12" i="4"/>
  <c r="AN104" i="4"/>
  <c r="AN36" i="4"/>
  <c r="AP104" i="4"/>
  <c r="AP36" i="4"/>
  <c r="AR104" i="4"/>
  <c r="AR36" i="4"/>
  <c r="AT104" i="4"/>
  <c r="AT36" i="4"/>
  <c r="AV12" i="4"/>
  <c r="AX104" i="4"/>
  <c r="AX36" i="4"/>
  <c r="AZ104" i="4"/>
  <c r="AZ36" i="4"/>
  <c r="BG104" i="4"/>
  <c r="BB104" i="4"/>
  <c r="BB36" i="4"/>
  <c r="BD104" i="4"/>
  <c r="BD36" i="4"/>
  <c r="BF12" i="4"/>
  <c r="BI104" i="4"/>
  <c r="BI36" i="4"/>
  <c r="BK12" i="4"/>
  <c r="BM104" i="4"/>
  <c r="BM36" i="4"/>
  <c r="BO104" i="4"/>
  <c r="BO36" i="4"/>
  <c r="BQ104" i="4"/>
  <c r="BQ36" i="4"/>
  <c r="BS104" i="4"/>
  <c r="BS36" i="4"/>
  <c r="BU12" i="4"/>
  <c r="Q49" i="10" s="1"/>
  <c r="BW104" i="4"/>
  <c r="CB104" i="4"/>
  <c r="BW36" i="4"/>
  <c r="BY104" i="4"/>
  <c r="BY36" i="4"/>
  <c r="CA104" i="4"/>
  <c r="CA36" i="4"/>
  <c r="CF12" i="4"/>
  <c r="CJ104" i="4"/>
  <c r="CJ36" i="4"/>
  <c r="M105" i="4"/>
  <c r="U105" i="4"/>
  <c r="P105" i="4"/>
  <c r="Y105" i="4"/>
  <c r="AA105" i="4"/>
  <c r="AC105" i="4"/>
  <c r="AE105" i="4"/>
  <c r="AG18" i="4"/>
  <c r="AI105" i="4"/>
  <c r="AK105" i="4"/>
  <c r="AM105" i="4"/>
  <c r="AO105" i="4"/>
  <c r="AQ18" i="4"/>
  <c r="AS105" i="4"/>
  <c r="AU105" i="4"/>
  <c r="AW105" i="4"/>
  <c r="AY105" i="4"/>
  <c r="BA18" i="4"/>
  <c r="BC105" i="4"/>
  <c r="BE105" i="4"/>
  <c r="BH105" i="4"/>
  <c r="BJ105" i="4"/>
  <c r="BL105" i="4"/>
  <c r="BP18" i="4"/>
  <c r="BR105" i="4"/>
  <c r="CC105" i="4"/>
  <c r="BX105" i="4"/>
  <c r="BZ18" i="4"/>
  <c r="CN18" i="4"/>
  <c r="CS18" i="4" s="1"/>
  <c r="CX18" i="4" s="1"/>
  <c r="DC18" i="4" s="1"/>
  <c r="DH18" i="4" s="1"/>
  <c r="DM18" i="4" s="1"/>
  <c r="DR18" i="4" s="1"/>
  <c r="DW18" i="4" s="1"/>
  <c r="EB18" i="4" s="1"/>
  <c r="R25" i="4"/>
  <c r="F50" i="10" s="1"/>
  <c r="DI49" i="4"/>
  <c r="DD48" i="4"/>
  <c r="DI58" i="4"/>
  <c r="DD57" i="4"/>
  <c r="X205" i="14" l="1"/>
  <c r="X94" i="14"/>
  <c r="Y37" i="14"/>
  <c r="X56" i="14"/>
  <c r="V35" i="10"/>
  <c r="S154" i="10"/>
  <c r="CF104" i="4"/>
  <c r="CF36" i="4"/>
  <c r="CI105" i="4"/>
  <c r="CJ37" i="4"/>
  <c r="T109" i="11" s="1"/>
  <c r="V40" i="11"/>
  <c r="W45" i="14"/>
  <c r="CK12" i="4"/>
  <c r="CP12" i="4" s="1"/>
  <c r="CU12" i="4" s="1"/>
  <c r="CZ12" i="4" s="1"/>
  <c r="DE12" i="4" s="1"/>
  <c r="DJ12" i="4" s="1"/>
  <c r="DO12" i="4" s="1"/>
  <c r="DT12" i="4" s="1"/>
  <c r="DY12" i="4" s="1"/>
  <c r="CI12" i="4"/>
  <c r="H354" i="12"/>
  <c r="P82" i="19"/>
  <c r="AT265" i="12"/>
  <c r="AU263" i="12"/>
  <c r="Z234" i="12"/>
  <c r="Z237" i="12" s="1"/>
  <c r="G354" i="12"/>
  <c r="O80" i="20"/>
  <c r="R93" i="19"/>
  <c r="Q91" i="20"/>
  <c r="J49" i="10"/>
  <c r="J64" i="10" s="1"/>
  <c r="L49" i="10"/>
  <c r="L153" i="10" s="1"/>
  <c r="BP105" i="4"/>
  <c r="O49" i="10"/>
  <c r="O154" i="10" s="1"/>
  <c r="T115" i="19"/>
  <c r="S118" i="19"/>
  <c r="E154" i="10"/>
  <c r="CO105" i="4"/>
  <c r="E64" i="10"/>
  <c r="CY29" i="4"/>
  <c r="DD29" i="4" s="1"/>
  <c r="DI29" i="4" s="1"/>
  <c r="DN29" i="4" s="1"/>
  <c r="DS29" i="4" s="1"/>
  <c r="DX29" i="4" s="1"/>
  <c r="EC29" i="4" s="1"/>
  <c r="EH29" i="4" s="1"/>
  <c r="EM29" i="4" s="1"/>
  <c r="ER29" i="4" s="1"/>
  <c r="Z165" i="10"/>
  <c r="Y17" i="10"/>
  <c r="CO135" i="1"/>
  <c r="CR135" i="1"/>
  <c r="BS173" i="1"/>
  <c r="BW173" i="1"/>
  <c r="BO173" i="1"/>
  <c r="BI173" i="1"/>
  <c r="CA173" i="1"/>
  <c r="V101" i="14"/>
  <c r="W99" i="14"/>
  <c r="S46" i="14"/>
  <c r="S47" i="14" s="1"/>
  <c r="F465" i="12"/>
  <c r="O84" i="18"/>
  <c r="AU313" i="12"/>
  <c r="AT315" i="12"/>
  <c r="U49" i="10"/>
  <c r="U71" i="10" s="1"/>
  <c r="U24" i="10" s="1"/>
  <c r="BU103" i="4"/>
  <c r="BU196" i="1"/>
  <c r="Q48" i="10"/>
  <c r="BA196" i="1"/>
  <c r="M48" i="10"/>
  <c r="AB196" i="1"/>
  <c r="AB195" i="1" s="1"/>
  <c r="H48" i="10"/>
  <c r="D61" i="10"/>
  <c r="D57" i="10"/>
  <c r="D59" i="10"/>
  <c r="D56" i="10"/>
  <c r="D94" i="10"/>
  <c r="W173" i="1"/>
  <c r="W172" i="1"/>
  <c r="L72" i="10"/>
  <c r="X109" i="11"/>
  <c r="X7" i="11"/>
  <c r="X90" i="11" s="1"/>
  <c r="P49" i="10"/>
  <c r="BP103" i="4"/>
  <c r="P48" i="10"/>
  <c r="BP196" i="1"/>
  <c r="K48" i="10"/>
  <c r="AQ196" i="1"/>
  <c r="CO36" i="4"/>
  <c r="O48" i="10"/>
  <c r="BK196" i="1"/>
  <c r="G56" i="10"/>
  <c r="G61" i="10"/>
  <c r="G59" i="10"/>
  <c r="G57" i="10"/>
  <c r="G94" i="10"/>
  <c r="W104" i="4"/>
  <c r="F49" i="10"/>
  <c r="AV196" i="1"/>
  <c r="L48" i="10"/>
  <c r="R61" i="10"/>
  <c r="R59" i="10"/>
  <c r="R57" i="10"/>
  <c r="R56" i="10"/>
  <c r="N48" i="10"/>
  <c r="BF196" i="1"/>
  <c r="U79" i="11"/>
  <c r="U174" i="10"/>
  <c r="M49" i="10"/>
  <c r="AG196" i="1"/>
  <c r="I48" i="10"/>
  <c r="CO104" i="4"/>
  <c r="R173" i="1"/>
  <c r="R172" i="1"/>
  <c r="I49" i="10"/>
  <c r="M196" i="1"/>
  <c r="M195" i="1" s="1"/>
  <c r="E48" i="10"/>
  <c r="Q64" i="10"/>
  <c r="Q154" i="10"/>
  <c r="Q153" i="10"/>
  <c r="Q70" i="10"/>
  <c r="Q72" i="10"/>
  <c r="N49" i="10"/>
  <c r="H49" i="10"/>
  <c r="AL196" i="1"/>
  <c r="J48" i="10"/>
  <c r="R103" i="4"/>
  <c r="R49" i="10"/>
  <c r="K49" i="10"/>
  <c r="T71" i="10"/>
  <c r="T24" i="10" s="1"/>
  <c r="T154" i="10"/>
  <c r="H172" i="1"/>
  <c r="H173" i="1"/>
  <c r="F61" i="10"/>
  <c r="F59" i="10"/>
  <c r="F56" i="10"/>
  <c r="F57" i="10"/>
  <c r="F94" i="10"/>
  <c r="CU118" i="1"/>
  <c r="CX118" i="1"/>
  <c r="DD118" i="1"/>
  <c r="CV118" i="1"/>
  <c r="CW118" i="1"/>
  <c r="N87" i="20"/>
  <c r="N93" i="20" s="1"/>
  <c r="N99" i="20" s="1"/>
  <c r="T40" i="20"/>
  <c r="D29" i="20"/>
  <c r="D37" i="20" s="1"/>
  <c r="D30" i="20"/>
  <c r="D38" i="20" s="1"/>
  <c r="D28" i="20"/>
  <c r="D36" i="20" s="1"/>
  <c r="E23" i="20"/>
  <c r="F29" i="20"/>
  <c r="F37" i="20" s="1"/>
  <c r="F30" i="20"/>
  <c r="F38" i="20" s="1"/>
  <c r="F28" i="20"/>
  <c r="F36" i="20" s="1"/>
  <c r="F23" i="20"/>
  <c r="K32" i="20"/>
  <c r="J29" i="20"/>
  <c r="J37" i="20" s="1"/>
  <c r="J33" i="20"/>
  <c r="J30" i="20" s="1"/>
  <c r="J38" i="20" s="1"/>
  <c r="T89" i="20"/>
  <c r="O83" i="20"/>
  <c r="P82" i="20"/>
  <c r="O84" i="20"/>
  <c r="P65" i="20"/>
  <c r="P28" i="20"/>
  <c r="P36" i="20" s="1"/>
  <c r="Q25" i="20"/>
  <c r="O16" i="20"/>
  <c r="S63" i="20"/>
  <c r="P77" i="20"/>
  <c r="P76" i="20"/>
  <c r="Q75" i="20"/>
  <c r="T79" i="20"/>
  <c r="U78" i="20"/>
  <c r="R41" i="20"/>
  <c r="S39" i="20"/>
  <c r="W63" i="19"/>
  <c r="I33" i="19"/>
  <c r="J32" i="19"/>
  <c r="Q77" i="19"/>
  <c r="Q78" i="19" s="1"/>
  <c r="Q76" i="19"/>
  <c r="R75" i="19"/>
  <c r="Q86" i="19"/>
  <c r="Q85" i="19"/>
  <c r="R84" i="19"/>
  <c r="R41" i="19"/>
  <c r="S39" i="19"/>
  <c r="M31" i="19"/>
  <c r="L28" i="19"/>
  <c r="L36" i="19" s="1"/>
  <c r="Q92" i="19"/>
  <c r="Q90" i="20" s="1"/>
  <c r="T88" i="19"/>
  <c r="U87" i="19"/>
  <c r="D16" i="19"/>
  <c r="T40" i="19"/>
  <c r="S91" i="19"/>
  <c r="P89" i="19"/>
  <c r="P95" i="19" s="1"/>
  <c r="P101" i="19" s="1"/>
  <c r="N16" i="19"/>
  <c r="O65" i="19"/>
  <c r="P25" i="19"/>
  <c r="H62" i="19"/>
  <c r="H25" i="19"/>
  <c r="P80" i="18"/>
  <c r="P78" i="18"/>
  <c r="Q77" i="18"/>
  <c r="P79" i="18"/>
  <c r="G61" i="18"/>
  <c r="G28" i="18"/>
  <c r="T120" i="18"/>
  <c r="T117" i="18" s="1"/>
  <c r="N91" i="18"/>
  <c r="N96" i="18" s="1"/>
  <c r="N102" i="18" s="1"/>
  <c r="S41" i="18"/>
  <c r="T39" i="18"/>
  <c r="C16" i="18"/>
  <c r="R33" i="18"/>
  <c r="S32" i="18"/>
  <c r="S93" i="18"/>
  <c r="E18" i="18"/>
  <c r="E61" i="18"/>
  <c r="E13" i="18" s="1"/>
  <c r="S90" i="18"/>
  <c r="T89" i="18"/>
  <c r="T85" i="20" s="1"/>
  <c r="T86" i="20" s="1"/>
  <c r="P16" i="18"/>
  <c r="U40" i="18"/>
  <c r="T62" i="18"/>
  <c r="S83" i="18"/>
  <c r="S82" i="18" s="1"/>
  <c r="T81" i="18"/>
  <c r="T79" i="19" s="1"/>
  <c r="O88" i="18"/>
  <c r="O87" i="18"/>
  <c r="P86" i="18"/>
  <c r="D58" i="18"/>
  <c r="C52" i="18" s="1"/>
  <c r="C58" i="18" s="1"/>
  <c r="R185" i="12"/>
  <c r="J250" i="12"/>
  <c r="I249" i="12"/>
  <c r="R154" i="12"/>
  <c r="R165" i="12"/>
  <c r="AS190" i="12"/>
  <c r="AR200" i="12"/>
  <c r="AQ433" i="12"/>
  <c r="AS340" i="12"/>
  <c r="AR307" i="12"/>
  <c r="W127" i="12"/>
  <c r="W128" i="12"/>
  <c r="W130" i="12"/>
  <c r="W131" i="12"/>
  <c r="W129" i="12"/>
  <c r="V245" i="12"/>
  <c r="V21" i="12"/>
  <c r="V27" i="12" s="1"/>
  <c r="V82" i="12" s="1"/>
  <c r="Q165" i="12"/>
  <c r="Q154" i="12"/>
  <c r="AT394" i="12"/>
  <c r="AU186" i="12"/>
  <c r="AW330" i="12"/>
  <c r="AX329" i="12"/>
  <c r="AW328" i="12"/>
  <c r="AW331" i="12"/>
  <c r="AZ275" i="12"/>
  <c r="AY276" i="12"/>
  <c r="AY274" i="12"/>
  <c r="AY277" i="12"/>
  <c r="AO124" i="12"/>
  <c r="AP90" i="12"/>
  <c r="AR109" i="12"/>
  <c r="AS108" i="12"/>
  <c r="AR107" i="12"/>
  <c r="AR110" i="12"/>
  <c r="J245" i="12"/>
  <c r="J243" i="12" s="1"/>
  <c r="K23" i="12"/>
  <c r="J21" i="12"/>
  <c r="J27" i="12" s="1"/>
  <c r="J24" i="12"/>
  <c r="AW116" i="12"/>
  <c r="AV117" i="12"/>
  <c r="AV115" i="12"/>
  <c r="AV118" i="12"/>
  <c r="T15" i="12"/>
  <c r="T16" i="12" s="1"/>
  <c r="AY216" i="12"/>
  <c r="O175" i="12"/>
  <c r="O146" i="12"/>
  <c r="O137" i="12"/>
  <c r="AP220" i="12"/>
  <c r="AP208" i="12"/>
  <c r="AV271" i="12"/>
  <c r="AU272" i="12"/>
  <c r="AU270" i="12"/>
  <c r="AU273" i="12"/>
  <c r="P146" i="12"/>
  <c r="P137" i="12"/>
  <c r="P175" i="12"/>
  <c r="AB246" i="12"/>
  <c r="AB23" i="12"/>
  <c r="AB22" i="12"/>
  <c r="AB86" i="12" s="1"/>
  <c r="AC136" i="12"/>
  <c r="AC128" i="12"/>
  <c r="AC154" i="12" s="1"/>
  <c r="AC130" i="12"/>
  <c r="AC175" i="12" s="1"/>
  <c r="AC131" i="12"/>
  <c r="AC185" i="12" s="1"/>
  <c r="AC127" i="12"/>
  <c r="AC129" i="12"/>
  <c r="AC165" i="12" s="1"/>
  <c r="Y246" i="12"/>
  <c r="Y244" i="12" s="1"/>
  <c r="Y23" i="12"/>
  <c r="Y22" i="12"/>
  <c r="Y86" i="12" s="1"/>
  <c r="U245" i="12"/>
  <c r="U21" i="12"/>
  <c r="U27" i="12" s="1"/>
  <c r="U82" i="12" s="1"/>
  <c r="T130" i="12"/>
  <c r="T129" i="12"/>
  <c r="T127" i="12"/>
  <c r="T131" i="12"/>
  <c r="T128" i="12"/>
  <c r="X146" i="12"/>
  <c r="X137" i="12"/>
  <c r="Q82" i="12"/>
  <c r="Q47" i="12"/>
  <c r="AO341" i="12"/>
  <c r="AX386" i="12"/>
  <c r="AY176" i="12"/>
  <c r="AY267" i="12"/>
  <c r="AX269" i="12"/>
  <c r="H15" i="12"/>
  <c r="H16" i="12" s="1"/>
  <c r="AV44" i="12"/>
  <c r="AW45" i="12"/>
  <c r="AV47" i="12"/>
  <c r="AC244" i="12"/>
  <c r="R243" i="12"/>
  <c r="R244" i="12"/>
  <c r="AT113" i="12"/>
  <c r="AU112" i="12"/>
  <c r="AT111" i="12"/>
  <c r="AT114" i="12"/>
  <c r="Q19" i="12"/>
  <c r="Q15" i="12"/>
  <c r="Q16" i="12" s="1"/>
  <c r="Y9" i="12"/>
  <c r="AC19" i="12"/>
  <c r="AC15" i="12"/>
  <c r="AC16" i="12" s="1"/>
  <c r="H291" i="12"/>
  <c r="H368" i="12" s="1"/>
  <c r="H372" i="12" s="1"/>
  <c r="H292" i="12"/>
  <c r="H290" i="12"/>
  <c r="R146" i="12"/>
  <c r="R137" i="12"/>
  <c r="R175" i="12"/>
  <c r="AQ210" i="12"/>
  <c r="W245" i="12"/>
  <c r="W21" i="12"/>
  <c r="W27" i="12" s="1"/>
  <c r="W82" i="12" s="1"/>
  <c r="V130" i="12"/>
  <c r="V129" i="12"/>
  <c r="V127" i="12"/>
  <c r="V128" i="12"/>
  <c r="V131" i="12"/>
  <c r="Q175" i="12"/>
  <c r="Q146" i="12"/>
  <c r="Q137" i="12"/>
  <c r="AY334" i="12"/>
  <c r="AZ333" i="12"/>
  <c r="AY332" i="12"/>
  <c r="AY335" i="12"/>
  <c r="AW60" i="12"/>
  <c r="AW62" i="12"/>
  <c r="AX61" i="12"/>
  <c r="AW63" i="12"/>
  <c r="AT387" i="12"/>
  <c r="AU177" i="12"/>
  <c r="AZ180" i="12"/>
  <c r="AY178" i="12"/>
  <c r="AX159" i="12"/>
  <c r="AW157" i="12"/>
  <c r="AZ53" i="12"/>
  <c r="AY54" i="12"/>
  <c r="AY52" i="12"/>
  <c r="AY55" i="12"/>
  <c r="AS478" i="12"/>
  <c r="AR477" i="12"/>
  <c r="AW326" i="12"/>
  <c r="AX325" i="12"/>
  <c r="AW324" i="12"/>
  <c r="AW327" i="12"/>
  <c r="K304" i="12"/>
  <c r="I246" i="12"/>
  <c r="I244" i="12" s="1"/>
  <c r="I303" i="12" s="1"/>
  <c r="AZ226" i="12"/>
  <c r="AX206" i="12"/>
  <c r="G145" i="12"/>
  <c r="G150" i="12" s="1"/>
  <c r="G462" i="12" s="1"/>
  <c r="G83" i="12"/>
  <c r="BA58" i="12"/>
  <c r="BA56" i="12"/>
  <c r="BA59" i="12"/>
  <c r="U9" i="12"/>
  <c r="U19" i="12" s="1"/>
  <c r="V6" i="12"/>
  <c r="G359" i="12"/>
  <c r="G364" i="12" s="1"/>
  <c r="G463" i="12" s="1"/>
  <c r="G300" i="12"/>
  <c r="AV49" i="12"/>
  <c r="AU50" i="12"/>
  <c r="AU48" i="12"/>
  <c r="AU51" i="12"/>
  <c r="AU70" i="12" s="1"/>
  <c r="O154" i="12"/>
  <c r="O165" i="12"/>
  <c r="P165" i="12"/>
  <c r="P154" i="12"/>
  <c r="Z246" i="12"/>
  <c r="Z244" i="12" s="1"/>
  <c r="Z23" i="12"/>
  <c r="Z22" i="12"/>
  <c r="Z86" i="12" s="1"/>
  <c r="AH246" i="12"/>
  <c r="AM24" i="12"/>
  <c r="AG24" i="12"/>
  <c r="AE24" i="12"/>
  <c r="AF24" i="12"/>
  <c r="AD24" i="12"/>
  <c r="AH23" i="12"/>
  <c r="AH22" i="12"/>
  <c r="AH86" i="12" s="1"/>
  <c r="AC245" i="12"/>
  <c r="AC243" i="12" s="1"/>
  <c r="AC21" i="12"/>
  <c r="AC27" i="12" s="1"/>
  <c r="AC82" i="12" s="1"/>
  <c r="AA246" i="12"/>
  <c r="AA23" i="12"/>
  <c r="AA22" i="12"/>
  <c r="AA86" i="12" s="1"/>
  <c r="U127" i="12"/>
  <c r="U131" i="12"/>
  <c r="U129" i="12"/>
  <c r="U128" i="12"/>
  <c r="U130" i="12"/>
  <c r="T245" i="12"/>
  <c r="T243" i="12" s="1"/>
  <c r="T21" i="12"/>
  <c r="T27" i="12" s="1"/>
  <c r="AQ309" i="12"/>
  <c r="AP311" i="12"/>
  <c r="AO230" i="12"/>
  <c r="AO228" i="12" s="1"/>
  <c r="AO218" i="12"/>
  <c r="AU31" i="12"/>
  <c r="W307" i="12"/>
  <c r="X307" i="12" s="1"/>
  <c r="V341" i="12"/>
  <c r="AX196" i="12"/>
  <c r="N470" i="12"/>
  <c r="N471" i="12" s="1"/>
  <c r="N462" i="12"/>
  <c r="J6" i="12"/>
  <c r="I9" i="12"/>
  <c r="I18" i="12" s="1"/>
  <c r="I21" i="12" s="1"/>
  <c r="I27" i="12" s="1"/>
  <c r="H22" i="12"/>
  <c r="H86" i="12" s="1"/>
  <c r="H21" i="12"/>
  <c r="H27" i="12" s="1"/>
  <c r="AY283" i="12"/>
  <c r="AX282" i="12"/>
  <c r="AX284" i="12"/>
  <c r="AX285" i="12"/>
  <c r="AM234" i="12"/>
  <c r="AH237" i="12"/>
  <c r="AD234" i="12"/>
  <c r="AE234" i="12" s="1"/>
  <c r="AF234" i="12" s="1"/>
  <c r="AG234" i="12" s="1"/>
  <c r="AA234" i="12"/>
  <c r="U237" i="12"/>
  <c r="V234" i="12"/>
  <c r="Q244" i="12"/>
  <c r="Q243" i="12"/>
  <c r="R9" i="12"/>
  <c r="S13" i="12"/>
  <c r="S9" i="12" s="1"/>
  <c r="AR104" i="12"/>
  <c r="AQ106" i="12"/>
  <c r="AD6" i="12"/>
  <c r="AD13" i="12" s="1"/>
  <c r="AM6" i="12"/>
  <c r="AP320" i="12"/>
  <c r="AQ320" i="12" s="1"/>
  <c r="U151" i="14"/>
  <c r="T191" i="14"/>
  <c r="T178" i="14"/>
  <c r="U139" i="14"/>
  <c r="U137" i="14"/>
  <c r="T187" i="14"/>
  <c r="T134" i="14"/>
  <c r="S174" i="14"/>
  <c r="W100" i="14"/>
  <c r="W40" i="11"/>
  <c r="Y92" i="14"/>
  <c r="Z92" i="14"/>
  <c r="X5" i="14"/>
  <c r="W169" i="11"/>
  <c r="T30" i="10"/>
  <c r="T26" i="10"/>
  <c r="U55" i="14"/>
  <c r="U57" i="14" s="1"/>
  <c r="U32" i="10" s="1"/>
  <c r="U187" i="10" s="1"/>
  <c r="U54" i="14"/>
  <c r="V1" i="14"/>
  <c r="T136" i="14"/>
  <c r="S176" i="14"/>
  <c r="S188" i="14"/>
  <c r="T148" i="14"/>
  <c r="Q210" i="14"/>
  <c r="S177" i="14"/>
  <c r="T138" i="14"/>
  <c r="T132" i="14"/>
  <c r="S172" i="14"/>
  <c r="X182" i="11"/>
  <c r="Y6" i="14"/>
  <c r="Y192" i="14"/>
  <c r="Y82" i="14"/>
  <c r="Z25" i="14"/>
  <c r="Y8" i="14"/>
  <c r="Y81" i="14"/>
  <c r="Z24" i="14"/>
  <c r="X156" i="11"/>
  <c r="Y4" i="14"/>
  <c r="W195" i="11"/>
  <c r="X7" i="14"/>
  <c r="X43" i="14"/>
  <c r="T169" i="14"/>
  <c r="S208" i="14"/>
  <c r="Y189" i="14"/>
  <c r="Y79" i="14"/>
  <c r="X93" i="14"/>
  <c r="X99" i="14" s="1"/>
  <c r="Y36" i="14"/>
  <c r="Y204" i="14" s="1"/>
  <c r="X9" i="14"/>
  <c r="R175" i="14"/>
  <c r="S135" i="14"/>
  <c r="S133" i="14"/>
  <c r="R173" i="14"/>
  <c r="R171" i="14"/>
  <c r="S131" i="14"/>
  <c r="Y42" i="14"/>
  <c r="Y95" i="14"/>
  <c r="Z38" i="14"/>
  <c r="Z206" i="14" s="1"/>
  <c r="V168" i="14"/>
  <c r="U207" i="14"/>
  <c r="DD115" i="1"/>
  <c r="CX115" i="1"/>
  <c r="CV115" i="1"/>
  <c r="CW115" i="1"/>
  <c r="CU115" i="1"/>
  <c r="DI84" i="1"/>
  <c r="DI195" i="1" s="1"/>
  <c r="DS172" i="1"/>
  <c r="DN157" i="1"/>
  <c r="CC186" i="1"/>
  <c r="CD162" i="1"/>
  <c r="CD155" i="1"/>
  <c r="DX151" i="1"/>
  <c r="DN159" i="1"/>
  <c r="DI160" i="1"/>
  <c r="DI161" i="1"/>
  <c r="DW159" i="1"/>
  <c r="DW158" i="1"/>
  <c r="DW157" i="1"/>
  <c r="DW156" i="1"/>
  <c r="DS158" i="1"/>
  <c r="DS156" i="1"/>
  <c r="DT159" i="1"/>
  <c r="DT158" i="1"/>
  <c r="DT157" i="1"/>
  <c r="DT156" i="1"/>
  <c r="BU142" i="1"/>
  <c r="BQ134" i="1"/>
  <c r="CC144" i="1"/>
  <c r="BX142" i="1"/>
  <c r="DE135" i="1"/>
  <c r="CY162" i="1"/>
  <c r="BK191" i="1"/>
  <c r="BP168" i="1"/>
  <c r="AL192" i="1"/>
  <c r="AQ169" i="1"/>
  <c r="BP193" i="1"/>
  <c r="BU170" i="1"/>
  <c r="BL170" i="1"/>
  <c r="DU159" i="1"/>
  <c r="DU158" i="1"/>
  <c r="DU157" i="1"/>
  <c r="DU156" i="1"/>
  <c r="DD194" i="1"/>
  <c r="DI171" i="1"/>
  <c r="DV159" i="1"/>
  <c r="DV158" i="1"/>
  <c r="DV157" i="1"/>
  <c r="DV156" i="1"/>
  <c r="BP178" i="1"/>
  <c r="BL154" i="1"/>
  <c r="BU154" i="1"/>
  <c r="AV177" i="1"/>
  <c r="BA153" i="1"/>
  <c r="BG190" i="1"/>
  <c r="BH167" i="1"/>
  <c r="CY155" i="1"/>
  <c r="DD112" i="1"/>
  <c r="CX112" i="1"/>
  <c r="CV112" i="1"/>
  <c r="CW112" i="1"/>
  <c r="CU112" i="1"/>
  <c r="CD152" i="1"/>
  <c r="DM135" i="1"/>
  <c r="CY152" i="1"/>
  <c r="BH175" i="1"/>
  <c r="BI151" i="1"/>
  <c r="DL121" i="1"/>
  <c r="DJ121" i="1"/>
  <c r="DS121" i="1"/>
  <c r="DM121" i="1"/>
  <c r="DK121" i="1"/>
  <c r="W99" i="11"/>
  <c r="W42" i="11"/>
  <c r="CB131" i="4"/>
  <c r="CC88" i="4"/>
  <c r="CE88" i="4" s="1"/>
  <c r="Y83" i="11"/>
  <c r="X152" i="11"/>
  <c r="X88" i="11"/>
  <c r="X86" i="11"/>
  <c r="Y69" i="11"/>
  <c r="DD128" i="4"/>
  <c r="DD129" i="4" s="1"/>
  <c r="DD130" i="4" s="1"/>
  <c r="G53" i="11"/>
  <c r="H48" i="11"/>
  <c r="H49" i="11" s="1"/>
  <c r="AA22" i="11"/>
  <c r="AF101" i="11"/>
  <c r="X129" i="10"/>
  <c r="AC122" i="10"/>
  <c r="X77" i="10"/>
  <c r="Y79" i="10"/>
  <c r="AA126" i="10"/>
  <c r="Z37" i="10"/>
  <c r="U168" i="10"/>
  <c r="V167" i="10"/>
  <c r="V5" i="11" s="1"/>
  <c r="U15" i="10"/>
  <c r="U183" i="10" s="1"/>
  <c r="L130" i="10"/>
  <c r="M130" i="10" s="1"/>
  <c r="N130" i="10" s="1"/>
  <c r="O130" i="10" s="1"/>
  <c r="P130" i="10" s="1"/>
  <c r="Q130" i="10" s="1"/>
  <c r="R130" i="10" s="1"/>
  <c r="S130" i="10" s="1"/>
  <c r="T130" i="10" s="1"/>
  <c r="U130" i="10" s="1"/>
  <c r="V130" i="10" s="1"/>
  <c r="W130" i="10" s="1"/>
  <c r="X130" i="10" s="1"/>
  <c r="Y130" i="10" s="1"/>
  <c r="Z130" i="10" s="1"/>
  <c r="AA130" i="10" s="1"/>
  <c r="AB130" i="10" s="1"/>
  <c r="AC130" i="10" s="1"/>
  <c r="AD130" i="10" s="1"/>
  <c r="AE130" i="10" s="1"/>
  <c r="AF130" i="10" s="1"/>
  <c r="M121" i="10"/>
  <c r="N121" i="10" s="1"/>
  <c r="AB72" i="10"/>
  <c r="AA63" i="10"/>
  <c r="W13" i="10"/>
  <c r="CE105" i="4"/>
  <c r="BZ105" i="4"/>
  <c r="BA105" i="4"/>
  <c r="AG105" i="4"/>
  <c r="BK104" i="4"/>
  <c r="BK36" i="4"/>
  <c r="BF104" i="4"/>
  <c r="BF36" i="4"/>
  <c r="BF15" i="4"/>
  <c r="BF16" i="4"/>
  <c r="BF14" i="4"/>
  <c r="AV104" i="4"/>
  <c r="AV36" i="4"/>
  <c r="AV16" i="4"/>
  <c r="AV14" i="4"/>
  <c r="AV17" i="4"/>
  <c r="AV15" i="4"/>
  <c r="AB104" i="4"/>
  <c r="AB36" i="4"/>
  <c r="AL103" i="4"/>
  <c r="BF105" i="4"/>
  <c r="AV105" i="4"/>
  <c r="AB105" i="4"/>
  <c r="BP104" i="4"/>
  <c r="BP36" i="4"/>
  <c r="BA104" i="4"/>
  <c r="BA36" i="4"/>
  <c r="BA16" i="4"/>
  <c r="BA14" i="4"/>
  <c r="BA17" i="4"/>
  <c r="BA15" i="4"/>
  <c r="AG104" i="4"/>
  <c r="AG36" i="4"/>
  <c r="BZ103" i="4"/>
  <c r="BA103" i="4"/>
  <c r="AG103" i="4"/>
  <c r="BF103" i="4"/>
  <c r="AB103" i="4"/>
  <c r="BK105" i="4"/>
  <c r="CT26" i="4"/>
  <c r="DN58" i="4"/>
  <c r="DI57" i="4"/>
  <c r="DN49" i="4"/>
  <c r="DI48" i="4"/>
  <c r="AQ105" i="4"/>
  <c r="BU104" i="4"/>
  <c r="BU36" i="4"/>
  <c r="AL104" i="4"/>
  <c r="AL36" i="4"/>
  <c r="R104" i="4"/>
  <c r="AV103" i="4"/>
  <c r="DI43" i="4"/>
  <c r="DN44" i="4"/>
  <c r="DI35" i="4"/>
  <c r="BU105" i="4"/>
  <c r="AL105" i="4"/>
  <c r="R105" i="4"/>
  <c r="CE104" i="4"/>
  <c r="BZ104" i="4"/>
  <c r="BZ36" i="4"/>
  <c r="AQ104" i="4"/>
  <c r="AQ36" i="4"/>
  <c r="AQ103" i="4"/>
  <c r="M103" i="4"/>
  <c r="BK103" i="4"/>
  <c r="CT104" i="4"/>
  <c r="CY12" i="4"/>
  <c r="Y205" i="14" l="1"/>
  <c r="Y94" i="14"/>
  <c r="Z37" i="14"/>
  <c r="Y56" i="14"/>
  <c r="CT36" i="4"/>
  <c r="O72" i="10"/>
  <c r="W101" i="14"/>
  <c r="V49" i="10"/>
  <c r="V71" i="10" s="1"/>
  <c r="V24" i="10" s="1"/>
  <c r="CI104" i="4"/>
  <c r="CI36" i="4"/>
  <c r="CN12" i="4"/>
  <c r="CS12" i="4" s="1"/>
  <c r="CX12" i="4" s="1"/>
  <c r="DC12" i="4" s="1"/>
  <c r="DH12" i="4" s="1"/>
  <c r="DM12" i="4" s="1"/>
  <c r="DR12" i="4" s="1"/>
  <c r="DW12" i="4" s="1"/>
  <c r="EB12" i="4" s="1"/>
  <c r="L64" i="10"/>
  <c r="L154" i="10"/>
  <c r="O70" i="10"/>
  <c r="J70" i="10"/>
  <c r="O64" i="10"/>
  <c r="AE6" i="12"/>
  <c r="AE13" i="12" s="1"/>
  <c r="AV263" i="12"/>
  <c r="AU265" i="12"/>
  <c r="S93" i="19"/>
  <c r="R91" i="20"/>
  <c r="Q89" i="19"/>
  <c r="F13" i="20"/>
  <c r="D13" i="20"/>
  <c r="O153" i="10"/>
  <c r="J72" i="10"/>
  <c r="J154" i="10"/>
  <c r="L70" i="10"/>
  <c r="J153" i="10"/>
  <c r="CT105" i="4"/>
  <c r="W35" i="10"/>
  <c r="X35" i="10" s="1"/>
  <c r="Y35" i="10" s="1"/>
  <c r="Z35" i="10" s="1"/>
  <c r="AA35" i="10" s="1"/>
  <c r="AB35" i="10" s="1"/>
  <c r="AC35" i="10" s="1"/>
  <c r="AD35" i="10" s="1"/>
  <c r="AE35" i="10" s="1"/>
  <c r="AF35" i="10" s="1"/>
  <c r="U115" i="19"/>
  <c r="T118" i="19"/>
  <c r="V166" i="10"/>
  <c r="AA165" i="10"/>
  <c r="Z17" i="10"/>
  <c r="CT135" i="1"/>
  <c r="CW135" i="1"/>
  <c r="BF173" i="1"/>
  <c r="BP173" i="1"/>
  <c r="BA173" i="1"/>
  <c r="AL173" i="1"/>
  <c r="AL195" i="1"/>
  <c r="AL172" i="1" s="1"/>
  <c r="AQ173" i="1"/>
  <c r="AG173" i="1"/>
  <c r="AG195" i="1"/>
  <c r="AG172" i="1" s="1"/>
  <c r="AV173" i="1"/>
  <c r="BK173" i="1"/>
  <c r="BU173" i="1"/>
  <c r="R210" i="14"/>
  <c r="R212" i="14" s="1"/>
  <c r="T46" i="14"/>
  <c r="T47" i="14" s="1"/>
  <c r="O91" i="18"/>
  <c r="O96" i="18" s="1"/>
  <c r="O102" i="18" s="1"/>
  <c r="S61" i="11"/>
  <c r="S63" i="11" s="1"/>
  <c r="S95" i="11"/>
  <c r="S112" i="11" s="1"/>
  <c r="AV313" i="12"/>
  <c r="AU315" i="12"/>
  <c r="T81" i="19"/>
  <c r="T80" i="19" s="1"/>
  <c r="U154" i="10"/>
  <c r="W49" i="10"/>
  <c r="W71" i="10" s="1"/>
  <c r="W24" i="10" s="1"/>
  <c r="H72" i="10"/>
  <c r="H70" i="10"/>
  <c r="H64" i="10"/>
  <c r="H153" i="10"/>
  <c r="H154" i="10"/>
  <c r="E57" i="10"/>
  <c r="E56" i="10"/>
  <c r="E59" i="10"/>
  <c r="E61" i="10"/>
  <c r="E94" i="10"/>
  <c r="P61" i="10"/>
  <c r="P59" i="10"/>
  <c r="P56" i="10"/>
  <c r="P57" i="10"/>
  <c r="P94" i="10"/>
  <c r="Y7" i="11"/>
  <c r="Y90" i="11" s="1"/>
  <c r="Y109" i="11"/>
  <c r="N154" i="10"/>
  <c r="N64" i="10"/>
  <c r="N70" i="10"/>
  <c r="N153" i="10"/>
  <c r="N72" i="10"/>
  <c r="M172" i="1"/>
  <c r="M173" i="1"/>
  <c r="H61" i="10"/>
  <c r="H59" i="10"/>
  <c r="H57" i="10"/>
  <c r="H56" i="10"/>
  <c r="H94" i="10"/>
  <c r="Q61" i="10"/>
  <c r="Q56" i="10"/>
  <c r="Q59" i="10"/>
  <c r="Q57" i="10"/>
  <c r="Q94" i="10"/>
  <c r="R154" i="10"/>
  <c r="R72" i="10"/>
  <c r="R64" i="10"/>
  <c r="R70" i="10"/>
  <c r="R153" i="10"/>
  <c r="I61" i="10"/>
  <c r="I59" i="10"/>
  <c r="I56" i="10"/>
  <c r="I57" i="10"/>
  <c r="I94" i="10"/>
  <c r="J61" i="10"/>
  <c r="J59" i="10"/>
  <c r="J56" i="10"/>
  <c r="J57" i="10"/>
  <c r="J94" i="10"/>
  <c r="I64" i="10"/>
  <c r="I72" i="10"/>
  <c r="I153" i="10"/>
  <c r="I70" i="10"/>
  <c r="I154" i="10"/>
  <c r="M154" i="10"/>
  <c r="M70" i="10"/>
  <c r="M153" i="10"/>
  <c r="M64" i="10"/>
  <c r="M72" i="10"/>
  <c r="F154" i="10"/>
  <c r="F64" i="10"/>
  <c r="F70" i="10"/>
  <c r="F72" i="10"/>
  <c r="F153" i="10"/>
  <c r="O61" i="10"/>
  <c r="O59" i="10"/>
  <c r="O56" i="10"/>
  <c r="O57" i="10"/>
  <c r="O94" i="10"/>
  <c r="K59" i="10"/>
  <c r="K57" i="10"/>
  <c r="K56" i="10"/>
  <c r="K61" i="10"/>
  <c r="K94" i="10"/>
  <c r="P154" i="10"/>
  <c r="P64" i="10"/>
  <c r="P70" i="10"/>
  <c r="P153" i="10"/>
  <c r="P72" i="10"/>
  <c r="AB173" i="1"/>
  <c r="AB172" i="1"/>
  <c r="L61" i="10"/>
  <c r="L59" i="10"/>
  <c r="L57" i="10"/>
  <c r="L56" i="10"/>
  <c r="L94" i="10"/>
  <c r="V79" i="11"/>
  <c r="V174" i="10"/>
  <c r="K153" i="10"/>
  <c r="K154" i="10"/>
  <c r="K70" i="10"/>
  <c r="K64" i="10"/>
  <c r="K72" i="10"/>
  <c r="N61" i="10"/>
  <c r="N57" i="10"/>
  <c r="N59" i="10"/>
  <c r="N56" i="10"/>
  <c r="N94" i="10"/>
  <c r="M57" i="10"/>
  <c r="M59" i="10"/>
  <c r="M56" i="10"/>
  <c r="M61" i="10"/>
  <c r="M94" i="10"/>
  <c r="DI118" i="1"/>
  <c r="DA118" i="1"/>
  <c r="DB118" i="1"/>
  <c r="CZ118" i="1"/>
  <c r="DC118" i="1"/>
  <c r="P80" i="20"/>
  <c r="P16" i="20"/>
  <c r="Q65" i="20"/>
  <c r="Q28" i="20"/>
  <c r="Q36" i="20" s="1"/>
  <c r="R25" i="20"/>
  <c r="P84" i="20"/>
  <c r="P83" i="20"/>
  <c r="P87" i="20" s="1"/>
  <c r="Q82" i="20"/>
  <c r="U89" i="20"/>
  <c r="K33" i="20"/>
  <c r="K30" i="20" s="1"/>
  <c r="K38" i="20" s="1"/>
  <c r="L32" i="20"/>
  <c r="K29" i="20"/>
  <c r="K37" i="20" s="1"/>
  <c r="U40" i="20"/>
  <c r="S41" i="20"/>
  <c r="T39" i="20"/>
  <c r="V78" i="20"/>
  <c r="U79" i="20"/>
  <c r="R75" i="20"/>
  <c r="Q77" i="20"/>
  <c r="Q76" i="20"/>
  <c r="T63" i="20"/>
  <c r="O87" i="20"/>
  <c r="O93" i="20" s="1"/>
  <c r="O99" i="20" s="1"/>
  <c r="J54" i="20"/>
  <c r="F54" i="20"/>
  <c r="G53" i="20" s="1"/>
  <c r="D54" i="20"/>
  <c r="C53" i="20" s="1"/>
  <c r="C59" i="20" s="1"/>
  <c r="H29" i="19"/>
  <c r="H37" i="19" s="1"/>
  <c r="H23" i="19"/>
  <c r="H30" i="19"/>
  <c r="H38" i="19" s="1"/>
  <c r="H28" i="19"/>
  <c r="H36" i="19" s="1"/>
  <c r="P65" i="19"/>
  <c r="Q25" i="19"/>
  <c r="O16" i="19"/>
  <c r="C16" i="19"/>
  <c r="R92" i="19"/>
  <c r="R90" i="20" s="1"/>
  <c r="N31" i="19"/>
  <c r="M28" i="19"/>
  <c r="M36" i="19" s="1"/>
  <c r="S41" i="19"/>
  <c r="T39" i="19"/>
  <c r="R85" i="19"/>
  <c r="S84" i="19"/>
  <c r="R86" i="19"/>
  <c r="Q82" i="19"/>
  <c r="Q95" i="19" s="1"/>
  <c r="Q101" i="19" s="1"/>
  <c r="J33" i="19"/>
  <c r="J30" i="19" s="1"/>
  <c r="J38" i="19" s="1"/>
  <c r="K32" i="19"/>
  <c r="J29" i="19"/>
  <c r="J37" i="19" s="1"/>
  <c r="X63" i="19"/>
  <c r="T91" i="19"/>
  <c r="U40" i="19"/>
  <c r="U88" i="19"/>
  <c r="V87" i="19"/>
  <c r="R77" i="19"/>
  <c r="R78" i="19" s="1"/>
  <c r="R76" i="19"/>
  <c r="S75" i="19"/>
  <c r="C61" i="18"/>
  <c r="C13" i="18" s="1"/>
  <c r="C18" i="18"/>
  <c r="P87" i="18"/>
  <c r="Q86" i="18"/>
  <c r="P88" i="18"/>
  <c r="V40" i="18"/>
  <c r="Q16" i="18"/>
  <c r="T90" i="18"/>
  <c r="U89" i="18"/>
  <c r="U85" i="20" s="1"/>
  <c r="U86" i="20" s="1"/>
  <c r="T93" i="18"/>
  <c r="S33" i="18"/>
  <c r="T32" i="18"/>
  <c r="T41" i="18"/>
  <c r="U39" i="18"/>
  <c r="G36" i="18"/>
  <c r="G25" i="18"/>
  <c r="P84" i="18"/>
  <c r="D61" i="18"/>
  <c r="D13" i="18" s="1"/>
  <c r="D18" i="18"/>
  <c r="U81" i="18"/>
  <c r="U79" i="19" s="1"/>
  <c r="U81" i="19" s="1"/>
  <c r="U80" i="19" s="1"/>
  <c r="T83" i="18"/>
  <c r="T82" i="18" s="1"/>
  <c r="U62" i="18"/>
  <c r="U120" i="18"/>
  <c r="U117" i="18" s="1"/>
  <c r="Q79" i="18"/>
  <c r="Q78" i="18"/>
  <c r="R77" i="18"/>
  <c r="Q80" i="18"/>
  <c r="AS104" i="12"/>
  <c r="AR106" i="12"/>
  <c r="R19" i="12"/>
  <c r="R15" i="12"/>
  <c r="R16" i="12" s="1"/>
  <c r="U244" i="12"/>
  <c r="U243" i="12"/>
  <c r="AH244" i="12"/>
  <c r="AD237" i="12"/>
  <c r="AE237" i="12" s="1"/>
  <c r="AF237" i="12" s="1"/>
  <c r="AG237" i="12" s="1"/>
  <c r="H82" i="12"/>
  <c r="H74" i="12"/>
  <c r="H153" i="12" s="1"/>
  <c r="H73" i="12"/>
  <c r="I82" i="12"/>
  <c r="I74" i="12"/>
  <c r="I153" i="12" s="1"/>
  <c r="I75" i="12"/>
  <c r="I164" i="12" s="1"/>
  <c r="I73" i="12"/>
  <c r="I15" i="12"/>
  <c r="I16" i="12" s="1"/>
  <c r="AY196" i="12"/>
  <c r="AR309" i="12"/>
  <c r="AQ311" i="12"/>
  <c r="U154" i="12"/>
  <c r="U185" i="12"/>
  <c r="AA127" i="12"/>
  <c r="AA128" i="12"/>
  <c r="AA130" i="12"/>
  <c r="AA131" i="12"/>
  <c r="AA129" i="12"/>
  <c r="AH245" i="12"/>
  <c r="AH243" i="12" s="1"/>
  <c r="AH21" i="12"/>
  <c r="AH27" i="12" s="1"/>
  <c r="AH82" i="12" s="1"/>
  <c r="AF246" i="12"/>
  <c r="AF23" i="12"/>
  <c r="AF22" i="12"/>
  <c r="AF86" i="12" s="1"/>
  <c r="AG246" i="12"/>
  <c r="AG23" i="12"/>
  <c r="AG22" i="12"/>
  <c r="AG86" i="12" s="1"/>
  <c r="Z245" i="12"/>
  <c r="Z243" i="12" s="1"/>
  <c r="Z21" i="12"/>
  <c r="Z27" i="12" s="1"/>
  <c r="Z82" i="12" s="1"/>
  <c r="P153" i="12"/>
  <c r="P157" i="12" s="1"/>
  <c r="P158" i="12" s="1"/>
  <c r="P35" i="12"/>
  <c r="P68" i="12" s="1"/>
  <c r="P164" i="12"/>
  <c r="P168" i="12" s="1"/>
  <c r="P169" i="12" s="1"/>
  <c r="P39" i="12"/>
  <c r="O164" i="12"/>
  <c r="O168" i="12" s="1"/>
  <c r="O169" i="12" s="1"/>
  <c r="S75" i="12"/>
  <c r="S164" i="12" s="1"/>
  <c r="O39" i="12"/>
  <c r="O153" i="12"/>
  <c r="O157" i="12" s="1"/>
  <c r="O158" i="12" s="1"/>
  <c r="S74" i="12"/>
  <c r="S153" i="12" s="1"/>
  <c r="O35" i="12"/>
  <c r="V9" i="12"/>
  <c r="V19" i="12" s="1"/>
  <c r="W6" i="12"/>
  <c r="U15" i="12"/>
  <c r="U16" i="12" s="1"/>
  <c r="AY206" i="12"/>
  <c r="BA226" i="12"/>
  <c r="I22" i="12"/>
  <c r="I86" i="12" s="1"/>
  <c r="AX326" i="12"/>
  <c r="AY325" i="12"/>
  <c r="AX324" i="12"/>
  <c r="AX327" i="12"/>
  <c r="AU387" i="12"/>
  <c r="AV177" i="12"/>
  <c r="AZ334" i="12"/>
  <c r="BA333" i="12"/>
  <c r="AZ332" i="12"/>
  <c r="AZ335" i="12"/>
  <c r="Q145" i="12"/>
  <c r="Q150" i="12" s="1"/>
  <c r="Q462" i="12" s="1"/>
  <c r="Q465" i="12" s="1"/>
  <c r="Q83" i="12"/>
  <c r="Q139" i="12" s="1"/>
  <c r="Q140" i="12" s="1"/>
  <c r="Q31" i="12"/>
  <c r="V154" i="12"/>
  <c r="V165" i="12"/>
  <c r="AQ220" i="12"/>
  <c r="AQ208" i="12"/>
  <c r="R174" i="12"/>
  <c r="R178" i="12" s="1"/>
  <c r="R179" i="12" s="1"/>
  <c r="R43" i="12"/>
  <c r="R69" i="12" s="1"/>
  <c r="R83" i="12"/>
  <c r="R139" i="12" s="1"/>
  <c r="R140" i="12" s="1"/>
  <c r="R145" i="12"/>
  <c r="R150" i="12" s="1"/>
  <c r="R462" i="12" s="1"/>
  <c r="R465" i="12" s="1"/>
  <c r="R31" i="12"/>
  <c r="Y13" i="12"/>
  <c r="Y19" i="12"/>
  <c r="Z9" i="12"/>
  <c r="Y15" i="12"/>
  <c r="Y16" i="12" s="1"/>
  <c r="AV112" i="12"/>
  <c r="AU113" i="12"/>
  <c r="AU111" i="12"/>
  <c r="AU114" i="12"/>
  <c r="Q70" i="12"/>
  <c r="T154" i="12"/>
  <c r="T146" i="12"/>
  <c r="T137" i="12"/>
  <c r="T175" i="12"/>
  <c r="Y245" i="12"/>
  <c r="Y243" i="12" s="1"/>
  <c r="Y21" i="12"/>
  <c r="Y27" i="12" s="1"/>
  <c r="Y82" i="12" s="1"/>
  <c r="AB130" i="12"/>
  <c r="AB129" i="12"/>
  <c r="AB127" i="12"/>
  <c r="AB128" i="12"/>
  <c r="AB131" i="12"/>
  <c r="O145" i="12"/>
  <c r="O150" i="12" s="1"/>
  <c r="O462" i="12" s="1"/>
  <c r="O465" i="12" s="1"/>
  <c r="O83" i="12"/>
  <c r="O139" i="12" s="1"/>
  <c r="O140" i="12" s="1"/>
  <c r="S73" i="12"/>
  <c r="O31" i="12"/>
  <c r="AW117" i="12"/>
  <c r="AW115" i="12"/>
  <c r="AX116" i="12"/>
  <c r="AW118" i="12"/>
  <c r="J246" i="12"/>
  <c r="J244" i="12" s="1"/>
  <c r="J303" i="12" s="1"/>
  <c r="J22" i="12"/>
  <c r="J86" i="12" s="1"/>
  <c r="K245" i="12"/>
  <c r="K243" i="12" s="1"/>
  <c r="K24" i="12"/>
  <c r="K21" i="12"/>
  <c r="K27" i="12" s="1"/>
  <c r="AS109" i="12"/>
  <c r="AT108" i="12"/>
  <c r="AS107" i="12"/>
  <c r="AS110" i="12"/>
  <c r="AX330" i="12"/>
  <c r="AY329" i="12"/>
  <c r="AX328" i="12"/>
  <c r="AX331" i="12"/>
  <c r="Q153" i="12"/>
  <c r="Q157" i="12" s="1"/>
  <c r="Q158" i="12" s="1"/>
  <c r="Q35" i="12"/>
  <c r="Q68" i="12" s="1"/>
  <c r="Q164" i="12"/>
  <c r="Q168" i="12" s="1"/>
  <c r="Q169" i="12" s="1"/>
  <c r="Q39" i="12"/>
  <c r="W165" i="12"/>
  <c r="W175" i="12"/>
  <c r="W146" i="12"/>
  <c r="W137" i="12"/>
  <c r="AS200" i="12"/>
  <c r="AT190" i="12"/>
  <c r="K250" i="12"/>
  <c r="J249" i="12"/>
  <c r="R184" i="12"/>
  <c r="R188" i="12" s="1"/>
  <c r="R189" i="12" s="1"/>
  <c r="R47" i="12"/>
  <c r="R70" i="12" s="1"/>
  <c r="S77" i="12"/>
  <c r="S184" i="12" s="1"/>
  <c r="AN6" i="12"/>
  <c r="AI6" i="12"/>
  <c r="AI13" i="12" s="1"/>
  <c r="AF6" i="12"/>
  <c r="S15" i="12"/>
  <c r="S16" i="12" s="1"/>
  <c r="V237" i="12"/>
  <c r="W234" i="12"/>
  <c r="W237" i="12" s="1"/>
  <c r="AA237" i="12"/>
  <c r="AB234" i="12"/>
  <c r="AB237" i="12" s="1"/>
  <c r="AM237" i="12"/>
  <c r="AI234" i="12"/>
  <c r="AJ234" i="12" s="1"/>
  <c r="AK234" i="12" s="1"/>
  <c r="AL234" i="12" s="1"/>
  <c r="AN234" i="12"/>
  <c r="AY284" i="12"/>
  <c r="AZ283" i="12"/>
  <c r="AY282" i="12"/>
  <c r="AY285" i="12"/>
  <c r="H128" i="12"/>
  <c r="H154" i="12" s="1"/>
  <c r="H127" i="12"/>
  <c r="H146" i="12" s="1"/>
  <c r="J9" i="12"/>
  <c r="J19" i="12" s="1"/>
  <c r="K6" i="12"/>
  <c r="X341" i="12"/>
  <c r="W341" i="12"/>
  <c r="AV31" i="12"/>
  <c r="AP341" i="12"/>
  <c r="T82" i="12"/>
  <c r="O47" i="12"/>
  <c r="O70" i="12" s="1"/>
  <c r="P47" i="12"/>
  <c r="P70" i="12" s="1"/>
  <c r="U175" i="12"/>
  <c r="U165" i="12"/>
  <c r="U146" i="12"/>
  <c r="U137" i="12"/>
  <c r="AA245" i="12"/>
  <c r="AA21" i="12"/>
  <c r="AA27" i="12" s="1"/>
  <c r="AA82" i="12" s="1"/>
  <c r="AH136" i="12"/>
  <c r="AH130" i="12"/>
  <c r="AH175" i="12" s="1"/>
  <c r="AH128" i="12"/>
  <c r="AH154" i="12" s="1"/>
  <c r="AH131" i="12"/>
  <c r="AH185" i="12" s="1"/>
  <c r="AH129" i="12"/>
  <c r="AH165" i="12" s="1"/>
  <c r="AH127" i="12"/>
  <c r="AD246" i="12"/>
  <c r="AD23" i="12"/>
  <c r="AD22" i="12"/>
  <c r="AD86" i="12" s="1"/>
  <c r="AE246" i="12"/>
  <c r="AE23" i="12"/>
  <c r="AE22" i="12"/>
  <c r="AE86" i="12" s="1"/>
  <c r="AM246" i="12"/>
  <c r="AK24" i="12"/>
  <c r="AI24" i="12"/>
  <c r="AM23" i="12"/>
  <c r="AM22" i="12"/>
  <c r="AM86" i="12" s="1"/>
  <c r="AN24" i="12"/>
  <c r="AL24" i="12"/>
  <c r="AJ24" i="12"/>
  <c r="Z130" i="12"/>
  <c r="Z129" i="12"/>
  <c r="Z127" i="12"/>
  <c r="Z131" i="12"/>
  <c r="Z128" i="12"/>
  <c r="AV50" i="12"/>
  <c r="AV48" i="12"/>
  <c r="AW49" i="12"/>
  <c r="AV51" i="12"/>
  <c r="AV70" i="12" s="1"/>
  <c r="G465" i="12"/>
  <c r="I353" i="12"/>
  <c r="I346" i="12"/>
  <c r="I344" i="12"/>
  <c r="I354" i="12" s="1"/>
  <c r="I345" i="12"/>
  <c r="I369" i="12" s="1"/>
  <c r="L304" i="12"/>
  <c r="AT478" i="12"/>
  <c r="AS477" i="12"/>
  <c r="AZ54" i="12"/>
  <c r="AZ52" i="12"/>
  <c r="BA53" i="12"/>
  <c r="AZ55" i="12"/>
  <c r="AY159" i="12"/>
  <c r="AX157" i="12"/>
  <c r="BA180" i="12"/>
  <c r="BA178" i="12" s="1"/>
  <c r="AZ178" i="12"/>
  <c r="AX62" i="12"/>
  <c r="AY61" i="12"/>
  <c r="AX60" i="12"/>
  <c r="AX63" i="12"/>
  <c r="Q174" i="12"/>
  <c r="Q178" i="12" s="1"/>
  <c r="Q179" i="12" s="1"/>
  <c r="Q43" i="12"/>
  <c r="Q69" i="12" s="1"/>
  <c r="V185" i="12"/>
  <c r="V146" i="12"/>
  <c r="V137" i="12"/>
  <c r="V175" i="12"/>
  <c r="H359" i="12"/>
  <c r="H364" i="12" s="1"/>
  <c r="H463" i="12" s="1"/>
  <c r="H300" i="12"/>
  <c r="S19" i="12"/>
  <c r="S18" i="12" s="1"/>
  <c r="AX45" i="12"/>
  <c r="AW44" i="12"/>
  <c r="AW47" i="12"/>
  <c r="AZ267" i="12"/>
  <c r="AY269" i="12"/>
  <c r="AY386" i="12"/>
  <c r="AZ176" i="12"/>
  <c r="T185" i="12"/>
  <c r="T165" i="12"/>
  <c r="Y127" i="12"/>
  <c r="Y131" i="12"/>
  <c r="Y128" i="12"/>
  <c r="Y129" i="12"/>
  <c r="Y130" i="12"/>
  <c r="AC146" i="12"/>
  <c r="AC137" i="12"/>
  <c r="AB245" i="12"/>
  <c r="AB21" i="12"/>
  <c r="AB27" i="12" s="1"/>
  <c r="AB82" i="12" s="1"/>
  <c r="P174" i="12"/>
  <c r="P178" i="12" s="1"/>
  <c r="P179" i="12" s="1"/>
  <c r="P43" i="12"/>
  <c r="P69" i="12" s="1"/>
  <c r="P83" i="12"/>
  <c r="P139" i="12" s="1"/>
  <c r="P140" i="12" s="1"/>
  <c r="P145" i="12"/>
  <c r="P150" i="12" s="1"/>
  <c r="P462" i="12" s="1"/>
  <c r="P465" i="12" s="1"/>
  <c r="P31" i="12"/>
  <c r="AV272" i="12"/>
  <c r="AV270" i="12"/>
  <c r="AW271" i="12"/>
  <c r="AV273" i="12"/>
  <c r="AP230" i="12"/>
  <c r="AP228" i="12" s="1"/>
  <c r="AP218" i="12"/>
  <c r="O174" i="12"/>
  <c r="O178" i="12" s="1"/>
  <c r="O179" i="12" s="1"/>
  <c r="S76" i="12"/>
  <c r="S174" i="12" s="1"/>
  <c r="O43" i="12"/>
  <c r="AZ216" i="12"/>
  <c r="J82" i="12"/>
  <c r="J75" i="12"/>
  <c r="J164" i="12" s="1"/>
  <c r="J73" i="12"/>
  <c r="J74" i="12"/>
  <c r="J153" i="12" s="1"/>
  <c r="AQ90" i="12"/>
  <c r="AP124" i="12"/>
  <c r="AZ276" i="12"/>
  <c r="AZ274" i="12"/>
  <c r="BA275" i="12"/>
  <c r="AZ277" i="12"/>
  <c r="AU394" i="12"/>
  <c r="AV186" i="12"/>
  <c r="W185" i="12"/>
  <c r="W154" i="12"/>
  <c r="AS307" i="12"/>
  <c r="AT340" i="12"/>
  <c r="AR433" i="12"/>
  <c r="AR210" i="12"/>
  <c r="R164" i="12"/>
  <c r="R168" i="12" s="1"/>
  <c r="R169" i="12" s="1"/>
  <c r="R39" i="12"/>
  <c r="R153" i="12"/>
  <c r="R157" i="12" s="1"/>
  <c r="R158" i="12" s="1"/>
  <c r="R35" i="12"/>
  <c r="R68" i="12" s="1"/>
  <c r="I292" i="12"/>
  <c r="I290" i="12"/>
  <c r="I291" i="12"/>
  <c r="I368" i="12" s="1"/>
  <c r="I372" i="12" s="1"/>
  <c r="W168" i="14"/>
  <c r="V207" i="14"/>
  <c r="T133" i="14"/>
  <c r="S173" i="14"/>
  <c r="Y43" i="14"/>
  <c r="Y7" i="14"/>
  <c r="X195" i="11"/>
  <c r="X45" i="14"/>
  <c r="Z8" i="14"/>
  <c r="Z192" i="14"/>
  <c r="Z82" i="14"/>
  <c r="AA25" i="14"/>
  <c r="T177" i="14"/>
  <c r="U138" i="14"/>
  <c r="Q212" i="14"/>
  <c r="Q214" i="14"/>
  <c r="U136" i="14"/>
  <c r="T176" i="14"/>
  <c r="U30" i="10"/>
  <c r="U26" i="10"/>
  <c r="U134" i="14"/>
  <c r="T174" i="14"/>
  <c r="V137" i="14"/>
  <c r="U187" i="14"/>
  <c r="V151" i="14"/>
  <c r="U191" i="14"/>
  <c r="X39" i="11"/>
  <c r="Z95" i="14"/>
  <c r="AA38" i="14"/>
  <c r="AA206" i="14" s="1"/>
  <c r="Z42" i="14"/>
  <c r="T131" i="14"/>
  <c r="S171" i="14"/>
  <c r="T135" i="14"/>
  <c r="S175" i="14"/>
  <c r="Y9" i="14"/>
  <c r="Z36" i="14"/>
  <c r="Z204" i="14" s="1"/>
  <c r="Y93" i="14"/>
  <c r="Y99" i="14" s="1"/>
  <c r="Z189" i="14"/>
  <c r="AA79" i="14"/>
  <c r="Z79" i="14"/>
  <c r="U169" i="14"/>
  <c r="T208" i="14"/>
  <c r="Z4" i="14"/>
  <c r="Y156" i="11"/>
  <c r="AA24" i="14"/>
  <c r="Z81" i="14"/>
  <c r="Z6" i="14"/>
  <c r="Y182" i="11"/>
  <c r="U132" i="14"/>
  <c r="T172" i="14"/>
  <c r="U148" i="14"/>
  <c r="T188" i="14"/>
  <c r="W1" i="14"/>
  <c r="V55" i="14"/>
  <c r="V57" i="14" s="1"/>
  <c r="V32" i="10" s="1"/>
  <c r="V187" i="10" s="1"/>
  <c r="V54" i="14"/>
  <c r="Y5" i="14"/>
  <c r="X169" i="11"/>
  <c r="U178" i="14"/>
  <c r="V139" i="14"/>
  <c r="DD152" i="1"/>
  <c r="DX121" i="1"/>
  <c r="DR121" i="1"/>
  <c r="DP121" i="1"/>
  <c r="DQ121" i="1"/>
  <c r="DO121" i="1"/>
  <c r="DR135" i="1"/>
  <c r="DD155" i="1"/>
  <c r="BH190" i="1"/>
  <c r="BI167" i="1"/>
  <c r="BA177" i="1"/>
  <c r="BF153" i="1"/>
  <c r="BU178" i="1"/>
  <c r="BZ154" i="1"/>
  <c r="BQ154" i="1"/>
  <c r="BU193" i="1"/>
  <c r="BQ170" i="1"/>
  <c r="BZ170" i="1"/>
  <c r="AQ192" i="1"/>
  <c r="AQ195" i="1" s="1"/>
  <c r="AV169" i="1"/>
  <c r="BP191" i="1"/>
  <c r="BU168" i="1"/>
  <c r="BL168" i="1"/>
  <c r="DD162" i="1"/>
  <c r="DJ135" i="1"/>
  <c r="BX134" i="1"/>
  <c r="BQ144" i="1"/>
  <c r="BU144" i="1" s="1"/>
  <c r="BU134" i="1"/>
  <c r="DY156" i="1"/>
  <c r="DY157" i="1"/>
  <c r="DY158" i="1"/>
  <c r="DY159" i="1"/>
  <c r="DX156" i="1"/>
  <c r="DX158" i="1"/>
  <c r="EB156" i="1"/>
  <c r="EB157" i="1"/>
  <c r="EB158" i="1"/>
  <c r="EB159" i="1"/>
  <c r="DN161" i="1"/>
  <c r="DN160" i="1"/>
  <c r="DS159" i="1"/>
  <c r="EC151" i="1"/>
  <c r="DS157" i="1"/>
  <c r="DX172" i="1"/>
  <c r="DB115" i="1"/>
  <c r="CZ115" i="1"/>
  <c r="DI115" i="1"/>
  <c r="DC115" i="1"/>
  <c r="DA115" i="1"/>
  <c r="BI175" i="1"/>
  <c r="BJ151" i="1"/>
  <c r="DB112" i="1"/>
  <c r="CZ112" i="1"/>
  <c r="DI112" i="1"/>
  <c r="DC112" i="1"/>
  <c r="DA112" i="1"/>
  <c r="BL178" i="1"/>
  <c r="BM154" i="1"/>
  <c r="EA156" i="1"/>
  <c r="EA157" i="1"/>
  <c r="EA158" i="1"/>
  <c r="EA159" i="1"/>
  <c r="DI194" i="1"/>
  <c r="DN171" i="1"/>
  <c r="DZ156" i="1"/>
  <c r="DZ157" i="1"/>
  <c r="DZ158" i="1"/>
  <c r="DZ159" i="1"/>
  <c r="BL193" i="1"/>
  <c r="BM170" i="1"/>
  <c r="DN84" i="1"/>
  <c r="DN195" i="1" s="1"/>
  <c r="X99" i="11"/>
  <c r="X42" i="11"/>
  <c r="Z83" i="11"/>
  <c r="AB22" i="11"/>
  <c r="H53" i="11"/>
  <c r="I48" i="11"/>
  <c r="I49" i="11" s="1"/>
  <c r="Y152" i="11"/>
  <c r="Z69" i="11"/>
  <c r="Y88" i="11"/>
  <c r="Y86" i="11"/>
  <c r="DI128" i="4"/>
  <c r="DI129" i="4" s="1"/>
  <c r="DI130" i="4" s="1"/>
  <c r="CC131" i="4"/>
  <c r="CD131" i="4"/>
  <c r="AB63" i="10"/>
  <c r="AC72" i="10"/>
  <c r="V168" i="10"/>
  <c r="W167" i="10"/>
  <c r="W5" i="11" s="1"/>
  <c r="V15" i="10"/>
  <c r="V183" i="10" s="1"/>
  <c r="AA37" i="10"/>
  <c r="AB126" i="10"/>
  <c r="X13" i="10"/>
  <c r="AD122" i="10"/>
  <c r="O121" i="10"/>
  <c r="N132" i="10"/>
  <c r="O132" i="10" s="1"/>
  <c r="P132" i="10" s="1"/>
  <c r="Q132" i="10" s="1"/>
  <c r="R132" i="10" s="1"/>
  <c r="S132" i="10" s="1"/>
  <c r="T132" i="10" s="1"/>
  <c r="U132" i="10" s="1"/>
  <c r="V132" i="10" s="1"/>
  <c r="W132" i="10" s="1"/>
  <c r="X132" i="10" s="1"/>
  <c r="Y132" i="10" s="1"/>
  <c r="Z132" i="10" s="1"/>
  <c r="AA132" i="10" s="1"/>
  <c r="AB132" i="10" s="1"/>
  <c r="AC132" i="10" s="1"/>
  <c r="AD132" i="10" s="1"/>
  <c r="AE132" i="10" s="1"/>
  <c r="AF132" i="10" s="1"/>
  <c r="Z79" i="10"/>
  <c r="Y77" i="10"/>
  <c r="Y129" i="10"/>
  <c r="CY104" i="4"/>
  <c r="DD12" i="4"/>
  <c r="CY36" i="4"/>
  <c r="DN43" i="4"/>
  <c r="DN35" i="4"/>
  <c r="DS44" i="4"/>
  <c r="DS49" i="4"/>
  <c r="DN48" i="4"/>
  <c r="DS58" i="4"/>
  <c r="DN57" i="4"/>
  <c r="CY26" i="4"/>
  <c r="CY105" i="4"/>
  <c r="DD18" i="4"/>
  <c r="Z205" i="14" l="1"/>
  <c r="Z94" i="14"/>
  <c r="AA37" i="14"/>
  <c r="Y39" i="11"/>
  <c r="Y100" i="14" s="1"/>
  <c r="Y101" i="14" s="1"/>
  <c r="Z56" i="14"/>
  <c r="R214" i="14"/>
  <c r="V154" i="10"/>
  <c r="AW263" i="12"/>
  <c r="AV265" i="12"/>
  <c r="T93" i="19"/>
  <c r="S91" i="20"/>
  <c r="R82" i="19"/>
  <c r="V115" i="19"/>
  <c r="U118" i="19"/>
  <c r="W166" i="10"/>
  <c r="W15" i="10" s="1"/>
  <c r="W183" i="10" s="1"/>
  <c r="AB165" i="10"/>
  <c r="AA17" i="10"/>
  <c r="DB135" i="1"/>
  <c r="CY135" i="1"/>
  <c r="H13" i="19"/>
  <c r="H10" i="19" s="1"/>
  <c r="H26" i="19" s="1"/>
  <c r="AQ172" i="1"/>
  <c r="U46" i="14"/>
  <c r="U47" i="14" s="1"/>
  <c r="AW313" i="12"/>
  <c r="AV315" i="12"/>
  <c r="W154" i="10"/>
  <c r="W174" i="10"/>
  <c r="W79" i="11"/>
  <c r="Z7" i="11"/>
  <c r="Z90" i="11" s="1"/>
  <c r="Z109" i="11"/>
  <c r="X49" i="10"/>
  <c r="X71" i="10" s="1"/>
  <c r="X24" i="10" s="1"/>
  <c r="DE118" i="1"/>
  <c r="DH118" i="1"/>
  <c r="DN118" i="1"/>
  <c r="DF118" i="1"/>
  <c r="DG118" i="1"/>
  <c r="G59" i="20"/>
  <c r="Q80" i="20"/>
  <c r="R77" i="20"/>
  <c r="R76" i="20"/>
  <c r="R80" i="20" s="1"/>
  <c r="S75" i="20"/>
  <c r="V79" i="20"/>
  <c r="W78" i="20"/>
  <c r="T41" i="20"/>
  <c r="U39" i="20"/>
  <c r="V40" i="20"/>
  <c r="M32" i="20"/>
  <c r="L33" i="20"/>
  <c r="L30" i="20" s="1"/>
  <c r="L38" i="20" s="1"/>
  <c r="L29" i="20"/>
  <c r="L37" i="20" s="1"/>
  <c r="V89" i="20"/>
  <c r="Q83" i="20"/>
  <c r="R82" i="20"/>
  <c r="Q84" i="20"/>
  <c r="P93" i="20"/>
  <c r="P99" i="20" s="1"/>
  <c r="C25" i="20"/>
  <c r="C62" i="20"/>
  <c r="U63" i="20"/>
  <c r="K54" i="20"/>
  <c r="R65" i="20"/>
  <c r="R28" i="20"/>
  <c r="R36" i="20" s="1"/>
  <c r="S25" i="20"/>
  <c r="Q16" i="20"/>
  <c r="S76" i="19"/>
  <c r="T75" i="19"/>
  <c r="S77" i="19"/>
  <c r="S78" i="19" s="1"/>
  <c r="V88" i="19"/>
  <c r="W87" i="19"/>
  <c r="J54" i="19"/>
  <c r="R89" i="19"/>
  <c r="P16" i="19"/>
  <c r="Q65" i="19"/>
  <c r="R25" i="19"/>
  <c r="V40" i="19"/>
  <c r="U91" i="19"/>
  <c r="Y63" i="19"/>
  <c r="L32" i="19"/>
  <c r="K33" i="19"/>
  <c r="K30" i="19" s="1"/>
  <c r="K38" i="19" s="1"/>
  <c r="K29" i="19"/>
  <c r="K37" i="19" s="1"/>
  <c r="S86" i="19"/>
  <c r="S85" i="19"/>
  <c r="T84" i="19"/>
  <c r="T41" i="19"/>
  <c r="U39" i="19"/>
  <c r="O31" i="19"/>
  <c r="N28" i="19"/>
  <c r="N36" i="19" s="1"/>
  <c r="S92" i="19"/>
  <c r="S90" i="20" s="1"/>
  <c r="H54" i="19"/>
  <c r="I53" i="19" s="1"/>
  <c r="Q84" i="18"/>
  <c r="V120" i="18"/>
  <c r="V117" i="18" s="1"/>
  <c r="V62" i="18"/>
  <c r="U83" i="18"/>
  <c r="U82" i="18" s="1"/>
  <c r="V81" i="18"/>
  <c r="V79" i="19" s="1"/>
  <c r="V81" i="19" s="1"/>
  <c r="V80" i="19" s="1"/>
  <c r="G30" i="18"/>
  <c r="G38" i="18" s="1"/>
  <c r="G23" i="18"/>
  <c r="G18" i="18"/>
  <c r="G29" i="18"/>
  <c r="G37" i="18" s="1"/>
  <c r="T33" i="18"/>
  <c r="U32" i="18"/>
  <c r="U93" i="18"/>
  <c r="U90" i="18"/>
  <c r="V89" i="18"/>
  <c r="V85" i="20" s="1"/>
  <c r="V86" i="20" s="1"/>
  <c r="P91" i="18"/>
  <c r="P96" i="18" s="1"/>
  <c r="P102" i="18" s="1"/>
  <c r="R80" i="18"/>
  <c r="R78" i="18"/>
  <c r="S77" i="18"/>
  <c r="R79" i="18"/>
  <c r="V39" i="18"/>
  <c r="U41" i="18"/>
  <c r="R16" i="18"/>
  <c r="W40" i="18"/>
  <c r="Q88" i="18"/>
  <c r="Q87" i="18"/>
  <c r="R86" i="18"/>
  <c r="P65" i="12"/>
  <c r="AG244" i="12"/>
  <c r="AG241" i="12"/>
  <c r="AU340" i="12"/>
  <c r="AT307" i="12"/>
  <c r="W184" i="12"/>
  <c r="W188" i="12" s="1"/>
  <c r="W189" i="12" s="1"/>
  <c r="W47" i="12"/>
  <c r="W70" i="12" s="1"/>
  <c r="T164" i="12"/>
  <c r="T168" i="12" s="1"/>
  <c r="T169" i="12" s="1"/>
  <c r="X75" i="12"/>
  <c r="X164" i="12" s="1"/>
  <c r="X168" i="12" s="1"/>
  <c r="X169" i="12" s="1"/>
  <c r="T39" i="12"/>
  <c r="V174" i="12"/>
  <c r="V178" i="12" s="1"/>
  <c r="V179" i="12" s="1"/>
  <c r="V43" i="12"/>
  <c r="V69" i="12" s="1"/>
  <c r="AR220" i="12"/>
  <c r="AR208" i="12"/>
  <c r="AV394" i="12"/>
  <c r="AW186" i="12"/>
  <c r="BA276" i="12"/>
  <c r="BA274" i="12"/>
  <c r="BA277" i="12"/>
  <c r="AQ124" i="12"/>
  <c r="AR90" i="12"/>
  <c r="BA216" i="12"/>
  <c r="O69" i="12"/>
  <c r="S43" i="12"/>
  <c r="S69" i="12" s="1"/>
  <c r="AX271" i="12"/>
  <c r="AW272" i="12"/>
  <c r="AW270" i="12"/>
  <c r="AW273" i="12"/>
  <c r="Y175" i="12"/>
  <c r="Y154" i="12"/>
  <c r="Y146" i="12"/>
  <c r="Y137" i="12"/>
  <c r="AZ386" i="12"/>
  <c r="BA176" i="12"/>
  <c r="BA267" i="12"/>
  <c r="BA269" i="12" s="1"/>
  <c r="AZ269" i="12"/>
  <c r="V184" i="12"/>
  <c r="V188" i="12" s="1"/>
  <c r="V189" i="12" s="1"/>
  <c r="V47" i="12"/>
  <c r="V70" i="12" s="1"/>
  <c r="AY60" i="12"/>
  <c r="AY62" i="12"/>
  <c r="AZ61" i="12"/>
  <c r="AY63" i="12"/>
  <c r="Z154" i="12"/>
  <c r="Z146" i="12"/>
  <c r="Z137" i="12"/>
  <c r="Z175" i="12"/>
  <c r="AL246" i="12"/>
  <c r="AL23" i="12"/>
  <c r="AL22" i="12"/>
  <c r="AL86" i="12" s="1"/>
  <c r="AM136" i="12"/>
  <c r="AM134" i="12"/>
  <c r="AM215" i="12" s="1"/>
  <c r="AM132" i="12"/>
  <c r="AM195" i="12" s="1"/>
  <c r="AM135" i="12"/>
  <c r="AM225" i="12" s="1"/>
  <c r="AM231" i="12" s="1"/>
  <c r="BZ44" i="1" s="1"/>
  <c r="BY44" i="1" s="1"/>
  <c r="AM133" i="12"/>
  <c r="AM205" i="12" s="1"/>
  <c r="AM130" i="12"/>
  <c r="AM175" i="12" s="1"/>
  <c r="AM128" i="12"/>
  <c r="AM154" i="12" s="1"/>
  <c r="AM129" i="12"/>
  <c r="AM165" i="12" s="1"/>
  <c r="AM131" i="12"/>
  <c r="AM185" i="12" s="1"/>
  <c r="AM127" i="12"/>
  <c r="AI246" i="12"/>
  <c r="AI23" i="12"/>
  <c r="AI22" i="12"/>
  <c r="AI86" i="12" s="1"/>
  <c r="AE245" i="12"/>
  <c r="AE21" i="12"/>
  <c r="AE27" i="12" s="1"/>
  <c r="AE82" i="12" s="1"/>
  <c r="AD130" i="12"/>
  <c r="AD129" i="12"/>
  <c r="AD127" i="12"/>
  <c r="AD136" i="12"/>
  <c r="AD131" i="12"/>
  <c r="AD128" i="12"/>
  <c r="U164" i="12"/>
  <c r="U168" i="12" s="1"/>
  <c r="U169" i="12" s="1"/>
  <c r="U39" i="12"/>
  <c r="U174" i="12"/>
  <c r="U178" i="12" s="1"/>
  <c r="U179" i="12" s="1"/>
  <c r="U43" i="12"/>
  <c r="U69" i="12" s="1"/>
  <c r="J15" i="12"/>
  <c r="J16" i="12" s="1"/>
  <c r="BA283" i="12"/>
  <c r="AZ282" i="12"/>
  <c r="AZ284" i="12"/>
  <c r="AZ285" i="12"/>
  <c r="AO234" i="12"/>
  <c r="AN237" i="12"/>
  <c r="AB243" i="12"/>
  <c r="AB244" i="12"/>
  <c r="W244" i="12"/>
  <c r="W243" i="12"/>
  <c r="AJ6" i="12"/>
  <c r="AO6" i="12"/>
  <c r="L250" i="12"/>
  <c r="K249" i="12"/>
  <c r="AS210" i="12"/>
  <c r="W174" i="12"/>
  <c r="W178" i="12" s="1"/>
  <c r="W179" i="12" s="1"/>
  <c r="W43" i="12"/>
  <c r="W69" i="12" s="1"/>
  <c r="W164" i="12"/>
  <c r="W168" i="12" s="1"/>
  <c r="W169" i="12" s="1"/>
  <c r="W39" i="12"/>
  <c r="AY330" i="12"/>
  <c r="AZ329" i="12"/>
  <c r="AY328" i="12"/>
  <c r="AY331" i="12"/>
  <c r="AT109" i="12"/>
  <c r="AU108" i="12"/>
  <c r="AT107" i="12"/>
  <c r="AT110" i="12"/>
  <c r="K82" i="12"/>
  <c r="K74" i="12"/>
  <c r="K153" i="12" s="1"/>
  <c r="K73" i="12"/>
  <c r="K75" i="12"/>
  <c r="K164" i="12" s="1"/>
  <c r="J345" i="12"/>
  <c r="J369" i="12" s="1"/>
  <c r="J353" i="12"/>
  <c r="J346" i="12"/>
  <c r="J344" i="12"/>
  <c r="AY116" i="12"/>
  <c r="AX117" i="12"/>
  <c r="AX115" i="12"/>
  <c r="AX118" i="12"/>
  <c r="S145" i="12"/>
  <c r="AB154" i="12"/>
  <c r="AB165" i="12"/>
  <c r="T174" i="12"/>
  <c r="T178" i="12" s="1"/>
  <c r="T179" i="12" s="1"/>
  <c r="T43" i="12"/>
  <c r="X76" i="12"/>
  <c r="X174" i="12" s="1"/>
  <c r="X178" i="12" s="1"/>
  <c r="X179" i="12" s="1"/>
  <c r="T83" i="12"/>
  <c r="T139" i="12" s="1"/>
  <c r="T140" i="12" s="1"/>
  <c r="T145" i="12"/>
  <c r="T150" i="12" s="1"/>
  <c r="T462" i="12" s="1"/>
  <c r="T465" i="12" s="1"/>
  <c r="X73" i="12"/>
  <c r="T31" i="12"/>
  <c r="S47" i="12"/>
  <c r="S70" i="12" s="1"/>
  <c r="AW112" i="12"/>
  <c r="AV113" i="12"/>
  <c r="AV111" i="12"/>
  <c r="AV114" i="12"/>
  <c r="Z13" i="12"/>
  <c r="Z19" i="12"/>
  <c r="AA9" i="12"/>
  <c r="Z15" i="12"/>
  <c r="Z16" i="12" s="1"/>
  <c r="V164" i="12"/>
  <c r="V168" i="12" s="1"/>
  <c r="V169" i="12" s="1"/>
  <c r="V39" i="12"/>
  <c r="V153" i="12"/>
  <c r="V157" i="12" s="1"/>
  <c r="V158" i="12" s="1"/>
  <c r="V35" i="12"/>
  <c r="V68" i="12" s="1"/>
  <c r="Q65" i="12"/>
  <c r="AY326" i="12"/>
  <c r="AZ325" i="12"/>
  <c r="AY324" i="12"/>
  <c r="AY327" i="12"/>
  <c r="I129" i="12"/>
  <c r="I165" i="12" s="1"/>
  <c r="I127" i="12"/>
  <c r="I146" i="12" s="1"/>
  <c r="I128" i="12"/>
  <c r="I154" i="12" s="1"/>
  <c r="W9" i="12"/>
  <c r="W19" i="12" s="1"/>
  <c r="V15" i="12"/>
  <c r="V16" i="12" s="1"/>
  <c r="S39" i="12"/>
  <c r="AG245" i="12"/>
  <c r="AG243" i="12" s="1"/>
  <c r="AG21" i="12"/>
  <c r="AG27" i="12" s="1"/>
  <c r="AG82" i="12" s="1"/>
  <c r="AF130" i="12"/>
  <c r="AF129" i="12"/>
  <c r="AF127" i="12"/>
  <c r="AF136" i="12"/>
  <c r="AF128" i="12"/>
  <c r="AF131" i="12"/>
  <c r="AA185" i="12"/>
  <c r="AA154" i="12"/>
  <c r="U184" i="12"/>
  <c r="U188" i="12" s="1"/>
  <c r="U189" i="12" s="1"/>
  <c r="U47" i="12"/>
  <c r="U70" i="12" s="1"/>
  <c r="U153" i="12"/>
  <c r="U157" i="12" s="1"/>
  <c r="U158" i="12" s="1"/>
  <c r="U35" i="12"/>
  <c r="U68" i="12" s="1"/>
  <c r="AQ341" i="12"/>
  <c r="AZ196" i="12"/>
  <c r="I168" i="12"/>
  <c r="H160" i="12"/>
  <c r="AD241" i="12"/>
  <c r="AD244" i="12"/>
  <c r="I359" i="12"/>
  <c r="I364" i="12" s="1"/>
  <c r="I463" i="12" s="1"/>
  <c r="I300" i="12"/>
  <c r="AS433" i="12"/>
  <c r="W153" i="12"/>
  <c r="W157" i="12" s="1"/>
  <c r="W158" i="12" s="1"/>
  <c r="W35" i="12"/>
  <c r="W68" i="12" s="1"/>
  <c r="J83" i="12"/>
  <c r="J145" i="12"/>
  <c r="Y165" i="12"/>
  <c r="Y185" i="12"/>
  <c r="T184" i="12"/>
  <c r="T188" i="12" s="1"/>
  <c r="T189" i="12" s="1"/>
  <c r="X77" i="12"/>
  <c r="X184" i="12" s="1"/>
  <c r="X188" i="12" s="1"/>
  <c r="X189" i="12" s="1"/>
  <c r="T47" i="12"/>
  <c r="AX44" i="12"/>
  <c r="AY45" i="12"/>
  <c r="AX47" i="12"/>
  <c r="V83" i="12"/>
  <c r="V139" i="12" s="1"/>
  <c r="V140" i="12" s="1"/>
  <c r="V145" i="12"/>
  <c r="V150" i="12" s="1"/>
  <c r="V462" i="12" s="1"/>
  <c r="V465" i="12" s="1"/>
  <c r="V31" i="12"/>
  <c r="AZ159" i="12"/>
  <c r="AY157" i="12"/>
  <c r="BA54" i="12"/>
  <c r="BA52" i="12"/>
  <c r="BA55" i="12"/>
  <c r="AU478" i="12"/>
  <c r="AT477" i="12"/>
  <c r="M304" i="12"/>
  <c r="L303" i="12"/>
  <c r="AX49" i="12"/>
  <c r="AW50" i="12"/>
  <c r="AW48" i="12"/>
  <c r="AW51" i="12"/>
  <c r="AW70" i="12" s="1"/>
  <c r="Z185" i="12"/>
  <c r="Z165" i="12"/>
  <c r="AJ246" i="12"/>
  <c r="AJ23" i="12"/>
  <c r="AJ22" i="12"/>
  <c r="AJ86" i="12" s="1"/>
  <c r="AN246" i="12"/>
  <c r="AO24" i="12"/>
  <c r="AN23" i="12"/>
  <c r="AM245" i="12"/>
  <c r="AM243" i="12" s="1"/>
  <c r="AM21" i="12"/>
  <c r="AM27" i="12" s="1"/>
  <c r="AK246" i="12"/>
  <c r="AK23" i="12"/>
  <c r="AK22" i="12"/>
  <c r="AK86" i="12" s="1"/>
  <c r="AE136" i="12"/>
  <c r="AE127" i="12"/>
  <c r="AE131" i="12"/>
  <c r="AE129" i="12"/>
  <c r="AE128" i="12"/>
  <c r="AE130" i="12"/>
  <c r="AD245" i="12"/>
  <c r="AD243" i="12" s="1"/>
  <c r="AD21" i="12"/>
  <c r="AD27" i="12" s="1"/>
  <c r="AD82" i="12" s="1"/>
  <c r="AH146" i="12"/>
  <c r="AH137" i="12"/>
  <c r="U145" i="12"/>
  <c r="U150" i="12" s="1"/>
  <c r="U462" i="12" s="1"/>
  <c r="U465" i="12" s="1"/>
  <c r="U83" i="12"/>
  <c r="U139" i="12" s="1"/>
  <c r="U140" i="12" s="1"/>
  <c r="U31" i="12"/>
  <c r="AW31" i="12"/>
  <c r="L7" i="12"/>
  <c r="K9" i="12"/>
  <c r="K19" i="12" s="1"/>
  <c r="AM244" i="12"/>
  <c r="AI237" i="12"/>
  <c r="AA244" i="12"/>
  <c r="AA243" i="12"/>
  <c r="V243" i="12"/>
  <c r="V244" i="12"/>
  <c r="S22" i="12"/>
  <c r="S86" i="12" s="1"/>
  <c r="S21" i="12"/>
  <c r="S27" i="12" s="1"/>
  <c r="S82" i="12" s="1"/>
  <c r="S83" i="12" s="1"/>
  <c r="AF13" i="12"/>
  <c r="AH13" i="12" s="1"/>
  <c r="AH9" i="12" s="1"/>
  <c r="AG6" i="12"/>
  <c r="AG13" i="12" s="1"/>
  <c r="J291" i="12"/>
  <c r="J368" i="12" s="1"/>
  <c r="J372" i="12" s="1"/>
  <c r="J292" i="12"/>
  <c r="J290" i="12"/>
  <c r="AU190" i="12"/>
  <c r="AT200" i="12"/>
  <c r="W145" i="12"/>
  <c r="W150" i="12" s="1"/>
  <c r="W462" i="12" s="1"/>
  <c r="W465" i="12" s="1"/>
  <c r="W83" i="12"/>
  <c r="W139" i="12" s="1"/>
  <c r="W140" i="12" s="1"/>
  <c r="K246" i="12"/>
  <c r="K244" i="12" s="1"/>
  <c r="K303" i="12" s="1"/>
  <c r="K22" i="12"/>
  <c r="K86" i="12" s="1"/>
  <c r="J128" i="12"/>
  <c r="J154" i="12" s="1"/>
  <c r="J160" i="12" s="1"/>
  <c r="J129" i="12"/>
  <c r="J165" i="12" s="1"/>
  <c r="J168" i="12" s="1"/>
  <c r="J127" i="12"/>
  <c r="J146" i="12" s="1"/>
  <c r="O65" i="12"/>
  <c r="S31" i="12"/>
  <c r="AB185" i="12"/>
  <c r="AB146" i="12"/>
  <c r="AB137" i="12"/>
  <c r="AB175" i="12"/>
  <c r="T153" i="12"/>
  <c r="T157" i="12" s="1"/>
  <c r="T158" i="12" s="1"/>
  <c r="X74" i="12"/>
  <c r="X153" i="12" s="1"/>
  <c r="X157" i="12" s="1"/>
  <c r="X158" i="12" s="1"/>
  <c r="T35" i="12"/>
  <c r="R65" i="12"/>
  <c r="AQ230" i="12"/>
  <c r="AQ228" i="12" s="1"/>
  <c r="AQ218" i="12"/>
  <c r="BA334" i="12"/>
  <c r="BA332" i="12"/>
  <c r="BA335" i="12"/>
  <c r="AV387" i="12"/>
  <c r="AW177" i="12"/>
  <c r="AZ206" i="12"/>
  <c r="O68" i="12"/>
  <c r="S35" i="12"/>
  <c r="S68" i="12" s="1"/>
  <c r="AG136" i="12"/>
  <c r="AG127" i="12"/>
  <c r="AG128" i="12"/>
  <c r="AG130" i="12"/>
  <c r="AG131" i="12"/>
  <c r="AG129" i="12"/>
  <c r="AF245" i="12"/>
  <c r="AF243" i="12" s="1"/>
  <c r="AF21" i="12"/>
  <c r="AF27" i="12" s="1"/>
  <c r="AF82" i="12" s="1"/>
  <c r="AA165" i="12"/>
  <c r="AA175" i="12"/>
  <c r="AA146" i="12"/>
  <c r="AA137" i="12"/>
  <c r="AS309" i="12"/>
  <c r="AR311" i="12"/>
  <c r="I145" i="12"/>
  <c r="I150" i="12" s="1"/>
  <c r="I83" i="12"/>
  <c r="I160" i="12"/>
  <c r="H83" i="12"/>
  <c r="H145" i="12"/>
  <c r="H150" i="12" s="1"/>
  <c r="AF241" i="12"/>
  <c r="AF244" i="12"/>
  <c r="AE244" i="12"/>
  <c r="AE243" i="12"/>
  <c r="AE241" i="12"/>
  <c r="AT104" i="12"/>
  <c r="AS106" i="12"/>
  <c r="AR320" i="12"/>
  <c r="V178" i="14"/>
  <c r="W139" i="14"/>
  <c r="Z182" i="11"/>
  <c r="AA6" i="14"/>
  <c r="AA81" i="14"/>
  <c r="AB24" i="14"/>
  <c r="Z156" i="11"/>
  <c r="AA4" i="14"/>
  <c r="Z93" i="14"/>
  <c r="Z99" i="14" s="1"/>
  <c r="AA36" i="14"/>
  <c r="AA204" i="14" s="1"/>
  <c r="U135" i="14"/>
  <c r="T175" i="14"/>
  <c r="U131" i="14"/>
  <c r="T171" i="14"/>
  <c r="U177" i="14"/>
  <c r="V138" i="14"/>
  <c r="AA192" i="14"/>
  <c r="AA82" i="14"/>
  <c r="AB25" i="14"/>
  <c r="AA8" i="14"/>
  <c r="U133" i="14"/>
  <c r="T173" i="14"/>
  <c r="X168" i="14"/>
  <c r="W207" i="14"/>
  <c r="Z5" i="14"/>
  <c r="Y169" i="11"/>
  <c r="V26" i="10"/>
  <c r="V30" i="10"/>
  <c r="W55" i="14"/>
  <c r="W57" i="14" s="1"/>
  <c r="W32" i="10" s="1"/>
  <c r="W187" i="10" s="1"/>
  <c r="W54" i="14"/>
  <c r="X1" i="14"/>
  <c r="V148" i="14"/>
  <c r="U188" i="14"/>
  <c r="V132" i="14"/>
  <c r="U172" i="14"/>
  <c r="Y45" i="14"/>
  <c r="V169" i="14"/>
  <c r="U208" i="14"/>
  <c r="Z9" i="14"/>
  <c r="S210" i="14"/>
  <c r="AA42" i="14"/>
  <c r="AA95" i="14"/>
  <c r="AB38" i="14"/>
  <c r="AB206" i="14" s="1"/>
  <c r="X100" i="14"/>
  <c r="X101" i="14" s="1"/>
  <c r="X40" i="11"/>
  <c r="W151" i="14"/>
  <c r="V191" i="14"/>
  <c r="W137" i="14"/>
  <c r="V187" i="14"/>
  <c r="V134" i="14"/>
  <c r="U174" i="14"/>
  <c r="V136" i="14"/>
  <c r="U176" i="14"/>
  <c r="Y195" i="11"/>
  <c r="Z7" i="14"/>
  <c r="Z43" i="14"/>
  <c r="EC172" i="1"/>
  <c r="DX157" i="1"/>
  <c r="DO135" i="1"/>
  <c r="DI162" i="1"/>
  <c r="BL191" i="1"/>
  <c r="BM168" i="1"/>
  <c r="BQ193" i="1"/>
  <c r="BR170" i="1"/>
  <c r="BQ178" i="1"/>
  <c r="BR154" i="1"/>
  <c r="DW135" i="1"/>
  <c r="DS84" i="1"/>
  <c r="DS195" i="1" s="1"/>
  <c r="BM193" i="1"/>
  <c r="BN170" i="1"/>
  <c r="EE159" i="1"/>
  <c r="EE158" i="1"/>
  <c r="EE157" i="1"/>
  <c r="EE156" i="1"/>
  <c r="DN194" i="1"/>
  <c r="DS171" i="1"/>
  <c r="EF159" i="1"/>
  <c r="EF158" i="1"/>
  <c r="EF157" i="1"/>
  <c r="EF156" i="1"/>
  <c r="BM178" i="1"/>
  <c r="BN154" i="1"/>
  <c r="DN112" i="1"/>
  <c r="DH112" i="1"/>
  <c r="DF112" i="1"/>
  <c r="DG112" i="1"/>
  <c r="DE112" i="1"/>
  <c r="BJ175" i="1"/>
  <c r="BK151" i="1"/>
  <c r="DN115" i="1"/>
  <c r="DH115" i="1"/>
  <c r="DF115" i="1"/>
  <c r="DG115" i="1"/>
  <c r="DE115" i="1"/>
  <c r="EH151" i="1"/>
  <c r="DX159" i="1"/>
  <c r="DS160" i="1"/>
  <c r="DS161" i="1"/>
  <c r="EG159" i="1"/>
  <c r="EG158" i="1"/>
  <c r="EG157" i="1"/>
  <c r="EG156" i="1"/>
  <c r="EC158" i="1"/>
  <c r="EC156" i="1"/>
  <c r="ED159" i="1"/>
  <c r="ED158" i="1"/>
  <c r="ED157" i="1"/>
  <c r="ED156" i="1"/>
  <c r="CC134" i="1"/>
  <c r="CC5" i="4" s="1"/>
  <c r="BU191" i="1"/>
  <c r="BQ168" i="1"/>
  <c r="BZ168" i="1"/>
  <c r="AV192" i="1"/>
  <c r="BA169" i="1"/>
  <c r="BZ193" i="1"/>
  <c r="BX170" i="1"/>
  <c r="BX193" i="1" s="1"/>
  <c r="BV170" i="1"/>
  <c r="BV193" i="1" s="1"/>
  <c r="CE170" i="1"/>
  <c r="BY170" i="1"/>
  <c r="BY193" i="1" s="1"/>
  <c r="BW170" i="1"/>
  <c r="BW193" i="1" s="1"/>
  <c r="BZ178" i="1"/>
  <c r="BX154" i="1"/>
  <c r="BX178" i="1" s="1"/>
  <c r="BV154" i="1"/>
  <c r="BV178" i="1" s="1"/>
  <c r="CE154" i="1"/>
  <c r="BY154" i="1"/>
  <c r="BY178" i="1" s="1"/>
  <c r="BW154" i="1"/>
  <c r="BW178" i="1" s="1"/>
  <c r="BF177" i="1"/>
  <c r="BG153" i="1"/>
  <c r="BI190" i="1"/>
  <c r="BJ167" i="1"/>
  <c r="DI155" i="1"/>
  <c r="DV121" i="1"/>
  <c r="DT121" i="1"/>
  <c r="EC121" i="1"/>
  <c r="DW121" i="1"/>
  <c r="DU121" i="1"/>
  <c r="DI152" i="1"/>
  <c r="Y99" i="11"/>
  <c r="Y42" i="11"/>
  <c r="Z152" i="11"/>
  <c r="Z88" i="11"/>
  <c r="Z86" i="11"/>
  <c r="AA69" i="11"/>
  <c r="DN128" i="4"/>
  <c r="DN129" i="4" s="1"/>
  <c r="DN130" i="4" s="1"/>
  <c r="I53" i="11"/>
  <c r="J48" i="11"/>
  <c r="J49" i="11" s="1"/>
  <c r="AC22" i="11"/>
  <c r="AA83" i="11"/>
  <c r="Z77" i="10"/>
  <c r="AA79" i="10"/>
  <c r="AE122" i="10"/>
  <c r="AC126" i="10"/>
  <c r="W168" i="10"/>
  <c r="AD72" i="10"/>
  <c r="AC63" i="10"/>
  <c r="Z129" i="10"/>
  <c r="Y13" i="10"/>
  <c r="O133" i="10"/>
  <c r="P133" i="10" s="1"/>
  <c r="Q133" i="10" s="1"/>
  <c r="R133" i="10" s="1"/>
  <c r="S133" i="10" s="1"/>
  <c r="T133" i="10" s="1"/>
  <c r="U133" i="10" s="1"/>
  <c r="V133" i="10" s="1"/>
  <c r="W133" i="10" s="1"/>
  <c r="X133" i="10" s="1"/>
  <c r="P121" i="10"/>
  <c r="Q121" i="10" s="1"/>
  <c r="R121" i="10" s="1"/>
  <c r="S121" i="10" s="1"/>
  <c r="AB37" i="10"/>
  <c r="DS43" i="4"/>
  <c r="DX44" i="4"/>
  <c r="DS35" i="4"/>
  <c r="DD104" i="4"/>
  <c r="DI12" i="4"/>
  <c r="DD36" i="4"/>
  <c r="DD105" i="4"/>
  <c r="DI18" i="4"/>
  <c r="DD26" i="4"/>
  <c r="DX58" i="4"/>
  <c r="DS57" i="4"/>
  <c r="DX49" i="4"/>
  <c r="DS48" i="4"/>
  <c r="BU6" i="4"/>
  <c r="BP6" i="4"/>
  <c r="BK6" i="4"/>
  <c r="CA5" i="4"/>
  <c r="BZ5" i="4"/>
  <c r="BY5" i="4"/>
  <c r="BX5" i="4"/>
  <c r="BW5" i="4"/>
  <c r="BV5" i="4"/>
  <c r="BU5" i="4"/>
  <c r="BT5" i="4"/>
  <c r="BS5" i="4"/>
  <c r="BR5" i="4"/>
  <c r="BQ5" i="4"/>
  <c r="BP5" i="4"/>
  <c r="BO5" i="4"/>
  <c r="BN5" i="4"/>
  <c r="BM5" i="4"/>
  <c r="BL5" i="4"/>
  <c r="BK5" i="4"/>
  <c r="BJ5" i="4"/>
  <c r="BI5" i="4"/>
  <c r="BH5" i="4"/>
  <c r="BG5" i="4"/>
  <c r="BF5" i="4"/>
  <c r="BE5" i="4"/>
  <c r="BD5" i="4"/>
  <c r="BC5" i="4"/>
  <c r="BB5" i="4"/>
  <c r="BA5" i="4"/>
  <c r="AZ5" i="4"/>
  <c r="AY5" i="4"/>
  <c r="AX5" i="4"/>
  <c r="AW5" i="4"/>
  <c r="AV5" i="4"/>
  <c r="AU5" i="4"/>
  <c r="AT5" i="4"/>
  <c r="AS5" i="4"/>
  <c r="AR5" i="4"/>
  <c r="AQ5" i="4"/>
  <c r="AP5" i="4"/>
  <c r="AO5" i="4"/>
  <c r="AN5" i="4"/>
  <c r="AM5" i="4"/>
  <c r="AL5" i="4"/>
  <c r="AK5" i="4"/>
  <c r="AJ5" i="4"/>
  <c r="AI5" i="4"/>
  <c r="AH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CA3" i="4"/>
  <c r="BX3" i="4"/>
  <c r="BW3" i="4"/>
  <c r="BV3" i="4"/>
  <c r="BU3" i="4"/>
  <c r="BT3" i="4"/>
  <c r="BS3" i="4"/>
  <c r="BR3" i="4"/>
  <c r="BQ3" i="4"/>
  <c r="BP3" i="4"/>
  <c r="BO3" i="4"/>
  <c r="BN3" i="4"/>
  <c r="BM3" i="4"/>
  <c r="BL3" i="4"/>
  <c r="BK3" i="4"/>
  <c r="BJ3" i="4"/>
  <c r="BI3" i="4"/>
  <c r="BH3" i="4"/>
  <c r="BG3" i="4"/>
  <c r="BF3" i="4"/>
  <c r="BE3" i="4"/>
  <c r="BD3" i="4"/>
  <c r="BC3" i="4"/>
  <c r="BB3" i="4"/>
  <c r="BA3" i="4"/>
  <c r="AZ3" i="4"/>
  <c r="AY3" i="4"/>
  <c r="AX3" i="4"/>
  <c r="AW3" i="4"/>
  <c r="AV3" i="4"/>
  <c r="AU3" i="4"/>
  <c r="AT3" i="4"/>
  <c r="AS3" i="4"/>
  <c r="AR3" i="4"/>
  <c r="AQ3" i="4"/>
  <c r="AP3" i="4"/>
  <c r="AO3" i="4"/>
  <c r="AN3" i="4"/>
  <c r="AM3" i="4"/>
  <c r="AL3" i="4"/>
  <c r="AK3" i="4"/>
  <c r="AJ3" i="4"/>
  <c r="AI3" i="4"/>
  <c r="AH3" i="4"/>
  <c r="AG3" i="4"/>
  <c r="AF3" i="4"/>
  <c r="AE3" i="4"/>
  <c r="AD3" i="4"/>
  <c r="AC3" i="4"/>
  <c r="AB3" i="4"/>
  <c r="AA3" i="4"/>
  <c r="Z3" i="4"/>
  <c r="Y3" i="4"/>
  <c r="X3" i="4"/>
  <c r="W3" i="4"/>
  <c r="V3" i="4"/>
  <c r="U3" i="4"/>
  <c r="T3" i="4"/>
  <c r="S3" i="4"/>
  <c r="R3" i="4"/>
  <c r="Q3" i="4"/>
  <c r="P3" i="4"/>
  <c r="O3" i="4"/>
  <c r="N3" i="4"/>
  <c r="M3" i="4"/>
  <c r="L3" i="4"/>
  <c r="K3" i="4"/>
  <c r="J3" i="4"/>
  <c r="I3" i="4"/>
  <c r="H3" i="4"/>
  <c r="G3" i="4"/>
  <c r="G91" i="4" s="1"/>
  <c r="F3" i="4"/>
  <c r="F91" i="4" s="1"/>
  <c r="E3" i="4"/>
  <c r="E91" i="4" s="1"/>
  <c r="D3" i="4"/>
  <c r="D91" i="4" s="1"/>
  <c r="C3" i="4"/>
  <c r="C91" i="4" s="1"/>
  <c r="F6" i="17"/>
  <c r="E6" i="17"/>
  <c r="D6" i="17"/>
  <c r="D11" i="17" s="1"/>
  <c r="E5" i="17"/>
  <c r="F5" i="17" s="1"/>
  <c r="G5" i="17" s="1"/>
  <c r="H5" i="17" s="1"/>
  <c r="I5" i="17" s="1"/>
  <c r="J5" i="17" s="1"/>
  <c r="K5" i="17" s="1"/>
  <c r="L5" i="17" s="1"/>
  <c r="M5" i="17" s="1"/>
  <c r="N5" i="17" s="1"/>
  <c r="O5" i="17" s="1"/>
  <c r="P5" i="17" s="1"/>
  <c r="Q5" i="17" s="1"/>
  <c r="R5" i="17" s="1"/>
  <c r="S5" i="17" s="1"/>
  <c r="U5" i="17" s="1"/>
  <c r="Y40" i="11" l="1"/>
  <c r="AA205" i="14"/>
  <c r="AB37" i="14"/>
  <c r="AA94" i="14"/>
  <c r="AA56" i="14"/>
  <c r="X167" i="10"/>
  <c r="X5" i="11" s="1"/>
  <c r="R95" i="19"/>
  <c r="R101" i="19" s="1"/>
  <c r="I462" i="12"/>
  <c r="I465" i="12" s="1"/>
  <c r="U93" i="19"/>
  <c r="T91" i="20"/>
  <c r="AX263" i="12"/>
  <c r="AW265" i="12"/>
  <c r="W115" i="19"/>
  <c r="V118" i="19"/>
  <c r="AC165" i="10"/>
  <c r="AB17" i="10"/>
  <c r="DG135" i="1"/>
  <c r="DD135" i="1"/>
  <c r="H15" i="19"/>
  <c r="H19" i="19" s="1"/>
  <c r="H9" i="19"/>
  <c r="G10" i="19"/>
  <c r="G53" i="18"/>
  <c r="H52" i="18" s="1"/>
  <c r="G13" i="18"/>
  <c r="AV195" i="1"/>
  <c r="AV172" i="1" s="1"/>
  <c r="V46" i="14"/>
  <c r="V47" i="14" s="1"/>
  <c r="I6" i="4"/>
  <c r="I10" i="4" s="1"/>
  <c r="M6" i="4"/>
  <c r="M95" i="4" s="1"/>
  <c r="Q6" i="4"/>
  <c r="Q95" i="4" s="1"/>
  <c r="U6" i="4"/>
  <c r="U95" i="4" s="1"/>
  <c r="Y6" i="4"/>
  <c r="Y10" i="4" s="1"/>
  <c r="AC6" i="4"/>
  <c r="AC10" i="4" s="1"/>
  <c r="AG6" i="4"/>
  <c r="AG95" i="4" s="1"/>
  <c r="AK6" i="4"/>
  <c r="AK94" i="4" s="1"/>
  <c r="AO6" i="4"/>
  <c r="AO10" i="4" s="1"/>
  <c r="AS6" i="4"/>
  <c r="AS95" i="4" s="1"/>
  <c r="AW6" i="4"/>
  <c r="AW95" i="4" s="1"/>
  <c r="CA6" i="4"/>
  <c r="CA10" i="4" s="1"/>
  <c r="BA6" i="4"/>
  <c r="BA10" i="4" s="1"/>
  <c r="BE6" i="4"/>
  <c r="BE95" i="4" s="1"/>
  <c r="BI6" i="4"/>
  <c r="BI95" i="4" s="1"/>
  <c r="BN95" i="4" s="1"/>
  <c r="BS95" i="4" s="1"/>
  <c r="BX95" i="4" s="1"/>
  <c r="CC95" i="4" s="1"/>
  <c r="BM6" i="4"/>
  <c r="BM10" i="4" s="1"/>
  <c r="BQ6" i="4"/>
  <c r="BQ10" i="4" s="1"/>
  <c r="E8" i="17"/>
  <c r="X166" i="10"/>
  <c r="X168" i="10" s="1"/>
  <c r="AX313" i="12"/>
  <c r="AW315" i="12"/>
  <c r="AS320" i="12"/>
  <c r="X154" i="10"/>
  <c r="AA109" i="11"/>
  <c r="AA7" i="11"/>
  <c r="AA90" i="11" s="1"/>
  <c r="X174" i="10"/>
  <c r="X79" i="11"/>
  <c r="Y49" i="10"/>
  <c r="Y71" i="10" s="1"/>
  <c r="Y24" i="10" s="1"/>
  <c r="K6" i="4"/>
  <c r="K94" i="4" s="1"/>
  <c r="O6" i="4"/>
  <c r="O94" i="4" s="1"/>
  <c r="S6" i="4"/>
  <c r="S94" i="4" s="1"/>
  <c r="W6" i="4"/>
  <c r="W94" i="4" s="1"/>
  <c r="AA6" i="4"/>
  <c r="AA10" i="4" s="1"/>
  <c r="AE6" i="4"/>
  <c r="AE94" i="4" s="1"/>
  <c r="AI6" i="4"/>
  <c r="AI10" i="4" s="1"/>
  <c r="AM6" i="4"/>
  <c r="AM95" i="4" s="1"/>
  <c r="AQ6" i="4"/>
  <c r="AQ94" i="4" s="1"/>
  <c r="AU6" i="4"/>
  <c r="AU94" i="4" s="1"/>
  <c r="AY6" i="4"/>
  <c r="AY95" i="4" s="1"/>
  <c r="BC6" i="4"/>
  <c r="BC10" i="4" s="1"/>
  <c r="BG6" i="4"/>
  <c r="BG95" i="4" s="1"/>
  <c r="BO6" i="4"/>
  <c r="BO10" i="4" s="1"/>
  <c r="BS6" i="4"/>
  <c r="BS10" i="4" s="1"/>
  <c r="BW6" i="4"/>
  <c r="BW10" i="4" s="1"/>
  <c r="DM118" i="1"/>
  <c r="DS118" i="1"/>
  <c r="DK118" i="1"/>
  <c r="DL118" i="1"/>
  <c r="DJ118" i="1"/>
  <c r="R16" i="20"/>
  <c r="V63" i="20"/>
  <c r="C29" i="20"/>
  <c r="C37" i="20" s="1"/>
  <c r="C30" i="20"/>
  <c r="C38" i="20" s="1"/>
  <c r="C28" i="20"/>
  <c r="C36" i="20" s="1"/>
  <c r="C13" i="20" s="1"/>
  <c r="D23" i="20"/>
  <c r="Q87" i="20"/>
  <c r="Q93" i="20" s="1"/>
  <c r="Q99" i="20" s="1"/>
  <c r="W40" i="20"/>
  <c r="T75" i="20"/>
  <c r="S77" i="20"/>
  <c r="S76" i="20"/>
  <c r="G62" i="20"/>
  <c r="G25" i="20"/>
  <c r="S65" i="20"/>
  <c r="S28" i="20"/>
  <c r="S36" i="20" s="1"/>
  <c r="T25" i="20"/>
  <c r="R84" i="20"/>
  <c r="R83" i="20"/>
  <c r="S82" i="20"/>
  <c r="W89" i="20"/>
  <c r="L54" i="20"/>
  <c r="M33" i="20"/>
  <c r="M30" i="20" s="1"/>
  <c r="M38" i="20" s="1"/>
  <c r="N32" i="20"/>
  <c r="M29" i="20"/>
  <c r="M37" i="20" s="1"/>
  <c r="U41" i="20"/>
  <c r="V39" i="20"/>
  <c r="X78" i="20"/>
  <c r="W79" i="20"/>
  <c r="I59" i="19"/>
  <c r="S89" i="19"/>
  <c r="K54" i="19"/>
  <c r="L33" i="19"/>
  <c r="L30" i="19" s="1"/>
  <c r="L38" i="19" s="1"/>
  <c r="M32" i="19"/>
  <c r="L29" i="19"/>
  <c r="L37" i="19" s="1"/>
  <c r="T77" i="19"/>
  <c r="T78" i="19" s="1"/>
  <c r="T76" i="19"/>
  <c r="U75" i="19"/>
  <c r="H27" i="19"/>
  <c r="G26" i="19"/>
  <c r="F10" i="19"/>
  <c r="G9" i="19"/>
  <c r="G15" i="19"/>
  <c r="T92" i="19"/>
  <c r="T90" i="20" s="1"/>
  <c r="P31" i="19"/>
  <c r="O28" i="19"/>
  <c r="O36" i="19" s="1"/>
  <c r="U41" i="19"/>
  <c r="V39" i="19"/>
  <c r="T85" i="19"/>
  <c r="U84" i="19"/>
  <c r="T86" i="19"/>
  <c r="Z63" i="19"/>
  <c r="V91" i="19"/>
  <c r="W40" i="19"/>
  <c r="R65" i="19"/>
  <c r="S25" i="19"/>
  <c r="Q16" i="19"/>
  <c r="W88" i="19"/>
  <c r="X87" i="19"/>
  <c r="S82" i="19"/>
  <c r="S95" i="19" s="1"/>
  <c r="S101" i="19" s="1"/>
  <c r="Q91" i="18"/>
  <c r="Q96" i="18" s="1"/>
  <c r="Q102" i="18" s="1"/>
  <c r="X40" i="18"/>
  <c r="S16" i="18"/>
  <c r="S79" i="18"/>
  <c r="S80" i="18"/>
  <c r="S78" i="18"/>
  <c r="T77" i="18"/>
  <c r="W81" i="18"/>
  <c r="W79" i="19" s="1"/>
  <c r="W81" i="19" s="1"/>
  <c r="W80" i="19" s="1"/>
  <c r="V83" i="18"/>
  <c r="V82" i="18" s="1"/>
  <c r="W62" i="18"/>
  <c r="R87" i="18"/>
  <c r="S86" i="18"/>
  <c r="R88" i="18"/>
  <c r="V41" i="18"/>
  <c r="W39" i="18"/>
  <c r="R84" i="18"/>
  <c r="V90" i="18"/>
  <c r="W89" i="18"/>
  <c r="W85" i="20" s="1"/>
  <c r="W86" i="20" s="1"/>
  <c r="V93" i="18"/>
  <c r="U33" i="18"/>
  <c r="V32" i="18"/>
  <c r="H58" i="18"/>
  <c r="W120" i="18"/>
  <c r="W117" i="18" s="1"/>
  <c r="U65" i="12"/>
  <c r="AU104" i="12"/>
  <c r="AT106" i="12"/>
  <c r="AR341" i="12"/>
  <c r="AA145" i="12"/>
  <c r="AA150" i="12" s="1"/>
  <c r="AA462" i="12" s="1"/>
  <c r="AA465" i="12" s="1"/>
  <c r="AA83" i="12"/>
  <c r="AA139" i="12" s="1"/>
  <c r="AA140" i="12" s="1"/>
  <c r="AA31" i="12"/>
  <c r="AG185" i="12"/>
  <c r="AG154" i="12"/>
  <c r="BA206" i="12"/>
  <c r="AB174" i="12"/>
  <c r="AB178" i="12" s="1"/>
  <c r="AB179" i="12" s="1"/>
  <c r="AB43" i="12"/>
  <c r="AB69" i="12" s="1"/>
  <c r="AB83" i="12"/>
  <c r="AB139" i="12" s="1"/>
  <c r="AB140" i="12" s="1"/>
  <c r="AB145" i="12"/>
  <c r="AB150" i="12" s="1"/>
  <c r="AB462" i="12" s="1"/>
  <c r="AB465" i="12" s="1"/>
  <c r="AB31" i="12"/>
  <c r="K129" i="12"/>
  <c r="K165" i="12" s="1"/>
  <c r="K127" i="12"/>
  <c r="K146" i="12" s="1"/>
  <c r="K128" i="12"/>
  <c r="K154" i="12" s="1"/>
  <c r="K160" i="12" s="1"/>
  <c r="AT210" i="12"/>
  <c r="J359" i="12"/>
  <c r="J300" i="12"/>
  <c r="AH19" i="12"/>
  <c r="AH15" i="12"/>
  <c r="AH16" i="12" s="1"/>
  <c r="S130" i="12"/>
  <c r="S175" i="12" s="1"/>
  <c r="S178" i="12" s="1"/>
  <c r="S179" i="12" s="1"/>
  <c r="S128" i="12"/>
  <c r="S154" i="12" s="1"/>
  <c r="S157" i="12" s="1"/>
  <c r="S158" i="12" s="1"/>
  <c r="S127" i="12"/>
  <c r="S131" i="12"/>
  <c r="S185" i="12" s="1"/>
  <c r="S188" i="12" s="1"/>
  <c r="S189" i="12" s="1"/>
  <c r="S129" i="12"/>
  <c r="S165" i="12" s="1"/>
  <c r="S168" i="12" s="1"/>
  <c r="S169" i="12" s="1"/>
  <c r="AI244" i="12"/>
  <c r="AI241" i="12"/>
  <c r="AX31" i="12"/>
  <c r="AE154" i="12"/>
  <c r="AE185" i="12"/>
  <c r="AK245" i="12"/>
  <c r="AK21" i="12"/>
  <c r="AK27" i="12" s="1"/>
  <c r="AK82" i="12" s="1"/>
  <c r="AO246" i="12"/>
  <c r="AO23" i="12"/>
  <c r="AP24" i="12"/>
  <c r="AJ134" i="12"/>
  <c r="AJ133" i="12"/>
  <c r="AJ127" i="12"/>
  <c r="AJ136" i="12"/>
  <c r="AJ129" i="12"/>
  <c r="AJ132" i="12"/>
  <c r="AJ131" i="12"/>
  <c r="AJ128" i="12"/>
  <c r="AJ130" i="12"/>
  <c r="AX50" i="12"/>
  <c r="AX48" i="12"/>
  <c r="AY49" i="12"/>
  <c r="AX51" i="12"/>
  <c r="AX70" i="12" s="1"/>
  <c r="N304" i="12"/>
  <c r="M303" i="12"/>
  <c r="AV478" i="12"/>
  <c r="AU477" i="12"/>
  <c r="V65" i="12"/>
  <c r="W31" i="12"/>
  <c r="W65" i="12" s="1"/>
  <c r="AZ45" i="12"/>
  <c r="AY44" i="12"/>
  <c r="AZ44" i="12" s="1"/>
  <c r="BA44" i="12" s="1"/>
  <c r="AY47" i="12"/>
  <c r="T70" i="12"/>
  <c r="X47" i="12"/>
  <c r="X70" i="12" s="1"/>
  <c r="H462" i="12"/>
  <c r="H465" i="12" s="1"/>
  <c r="AA153" i="12"/>
  <c r="AA157" i="12" s="1"/>
  <c r="AA158" i="12" s="1"/>
  <c r="AA35" i="12"/>
  <c r="AA68" i="12" s="1"/>
  <c r="AA184" i="12"/>
  <c r="AA188" i="12" s="1"/>
  <c r="AA189" i="12" s="1"/>
  <c r="AA47" i="12"/>
  <c r="AA70" i="12" s="1"/>
  <c r="AF185" i="12"/>
  <c r="AF165" i="12"/>
  <c r="W15" i="12"/>
  <c r="W16" i="12" s="1"/>
  <c r="AZ326" i="12"/>
  <c r="BA325" i="12"/>
  <c r="AZ324" i="12"/>
  <c r="AZ327" i="12"/>
  <c r="AA13" i="12"/>
  <c r="AA19" i="12"/>
  <c r="AB9" i="12"/>
  <c r="AA15" i="12"/>
  <c r="AA16" i="12" s="1"/>
  <c r="AW113" i="12"/>
  <c r="AW111" i="12"/>
  <c r="AX112" i="12"/>
  <c r="AW114" i="12"/>
  <c r="T65" i="12"/>
  <c r="AY117" i="12"/>
  <c r="AY115" i="12"/>
  <c r="AZ116" i="12"/>
  <c r="AY118" i="12"/>
  <c r="K145" i="12"/>
  <c r="K150" i="12" s="1"/>
  <c r="K470" i="12" s="1"/>
  <c r="K471" i="12" s="1"/>
  <c r="K83" i="12"/>
  <c r="M250" i="12"/>
  <c r="L249" i="12"/>
  <c r="AP6" i="12"/>
  <c r="AJ13" i="12"/>
  <c r="AK6" i="12"/>
  <c r="AN244" i="12"/>
  <c r="AD185" i="12"/>
  <c r="AD137" i="12"/>
  <c r="AD175" i="12"/>
  <c r="AI245" i="12"/>
  <c r="AI243" i="12" s="1"/>
  <c r="AI21" i="12"/>
  <c r="AI27" i="12" s="1"/>
  <c r="AI82" i="12" s="1"/>
  <c r="AM146" i="12"/>
  <c r="AM137" i="12"/>
  <c r="AL134" i="12"/>
  <c r="AL133" i="12"/>
  <c r="AL127" i="12"/>
  <c r="AL136" i="12"/>
  <c r="AL128" i="12"/>
  <c r="AL130" i="12"/>
  <c r="AL129" i="12"/>
  <c r="AL132" i="12"/>
  <c r="AL131" i="12"/>
  <c r="Z153" i="12"/>
  <c r="Z157" i="12" s="1"/>
  <c r="Z158" i="12" s="1"/>
  <c r="Z35" i="12"/>
  <c r="Z68" i="12" s="1"/>
  <c r="AZ62" i="12"/>
  <c r="BA61" i="12"/>
  <c r="AZ60" i="12"/>
  <c r="AZ63" i="12"/>
  <c r="Y145" i="12"/>
  <c r="Y150" i="12" s="1"/>
  <c r="Y462" i="12" s="1"/>
  <c r="Y465" i="12" s="1"/>
  <c r="Y83" i="12"/>
  <c r="Y139" i="12" s="1"/>
  <c r="Y140" i="12" s="1"/>
  <c r="AC73" i="12"/>
  <c r="Y31" i="12"/>
  <c r="AX272" i="12"/>
  <c r="AX270" i="12"/>
  <c r="AY271" i="12"/>
  <c r="AX273" i="12"/>
  <c r="AW394" i="12"/>
  <c r="AX186" i="12"/>
  <c r="AR230" i="12"/>
  <c r="AR228" i="12" s="1"/>
  <c r="AR218" i="12"/>
  <c r="AT309" i="12"/>
  <c r="AS311" i="12"/>
  <c r="AA174" i="12"/>
  <c r="AA178" i="12" s="1"/>
  <c r="AA179" i="12" s="1"/>
  <c r="AA43" i="12"/>
  <c r="AA69" i="12" s="1"/>
  <c r="AA164" i="12"/>
  <c r="AA168" i="12" s="1"/>
  <c r="AA169" i="12" s="1"/>
  <c r="AA39" i="12"/>
  <c r="AG165" i="12"/>
  <c r="AG175" i="12"/>
  <c r="AG137" i="12"/>
  <c r="AW387" i="12"/>
  <c r="AX177" i="12"/>
  <c r="T68" i="12"/>
  <c r="X35" i="12"/>
  <c r="X68" i="12" s="1"/>
  <c r="AB184" i="12"/>
  <c r="AB188" i="12" s="1"/>
  <c r="AB189" i="12" s="1"/>
  <c r="AB47" i="12"/>
  <c r="AB70" i="12" s="1"/>
  <c r="S65" i="12"/>
  <c r="K353" i="12"/>
  <c r="K346" i="12"/>
  <c r="K377" i="12" s="1"/>
  <c r="K344" i="12"/>
  <c r="K345" i="12"/>
  <c r="K369" i="12" s="1"/>
  <c r="AU200" i="12"/>
  <c r="AV190" i="12"/>
  <c r="AJ237" i="12"/>
  <c r="K15" i="12"/>
  <c r="K16" i="12" s="1"/>
  <c r="AE175" i="12"/>
  <c r="AE165" i="12"/>
  <c r="AE137" i="12"/>
  <c r="AK136" i="12"/>
  <c r="AK127" i="12"/>
  <c r="AK128" i="12"/>
  <c r="AK134" i="12"/>
  <c r="AK59" i="12" s="1"/>
  <c r="AK133" i="12"/>
  <c r="AK55" i="12" s="1"/>
  <c r="AK130" i="12"/>
  <c r="AK131" i="12"/>
  <c r="AK132" i="12"/>
  <c r="AK129" i="12"/>
  <c r="AN245" i="12"/>
  <c r="AN243" i="12" s="1"/>
  <c r="AJ245" i="12"/>
  <c r="AJ21" i="12"/>
  <c r="AJ27" i="12" s="1"/>
  <c r="AJ82" i="12" s="1"/>
  <c r="Z164" i="12"/>
  <c r="Z168" i="12" s="1"/>
  <c r="Z169" i="12" s="1"/>
  <c r="Z39" i="12"/>
  <c r="Z184" i="12"/>
  <c r="Z188" i="12" s="1"/>
  <c r="Z189" i="12" s="1"/>
  <c r="Z47" i="12"/>
  <c r="Z70" i="12" s="1"/>
  <c r="L346" i="12"/>
  <c r="L377" i="12" s="1"/>
  <c r="L344" i="12"/>
  <c r="L353" i="12"/>
  <c r="L347" i="12"/>
  <c r="L345" i="12"/>
  <c r="L369" i="12" s="1"/>
  <c r="BA159" i="12"/>
  <c r="BA157" i="12" s="1"/>
  <c r="AZ157" i="12"/>
  <c r="Y184" i="12"/>
  <c r="Y188" i="12" s="1"/>
  <c r="Y189" i="12" s="1"/>
  <c r="Y47" i="12"/>
  <c r="AC77" i="12"/>
  <c r="AC184" i="12" s="1"/>
  <c r="AC188" i="12" s="1"/>
  <c r="AC189" i="12" s="1"/>
  <c r="Y164" i="12"/>
  <c r="Y168" i="12" s="1"/>
  <c r="Y169" i="12" s="1"/>
  <c r="AC75" i="12"/>
  <c r="AC164" i="12" s="1"/>
  <c r="AC168" i="12" s="1"/>
  <c r="AC169" i="12" s="1"/>
  <c r="Y39" i="12"/>
  <c r="J150" i="12"/>
  <c r="J462" i="12" s="1"/>
  <c r="AT433" i="12"/>
  <c r="BA196" i="12"/>
  <c r="AF154" i="12"/>
  <c r="AF137" i="12"/>
  <c r="AF175" i="12"/>
  <c r="X83" i="12"/>
  <c r="X139" i="12" s="1"/>
  <c r="X140" i="12" s="1"/>
  <c r="X145" i="12"/>
  <c r="X150" i="12" s="1"/>
  <c r="X43" i="12"/>
  <c r="X69" i="12" s="1"/>
  <c r="T69" i="12"/>
  <c r="AB164" i="12"/>
  <c r="AB168" i="12" s="1"/>
  <c r="AB169" i="12" s="1"/>
  <c r="AB39" i="12"/>
  <c r="AB153" i="12"/>
  <c r="AB157" i="12" s="1"/>
  <c r="AB158" i="12" s="1"/>
  <c r="AB35" i="12"/>
  <c r="AB68" i="12" s="1"/>
  <c r="J360" i="12"/>
  <c r="J354" i="12"/>
  <c r="K168" i="12"/>
  <c r="AV108" i="12"/>
  <c r="AU109" i="12"/>
  <c r="AU107" i="12"/>
  <c r="AU110" i="12"/>
  <c r="AZ330" i="12"/>
  <c r="BA329" i="12"/>
  <c r="AZ328" i="12"/>
  <c r="AZ331" i="12"/>
  <c r="AS220" i="12"/>
  <c r="AS208" i="12"/>
  <c r="K292" i="12"/>
  <c r="K376" i="12" s="1"/>
  <c r="K380" i="12" s="1"/>
  <c r="K290" i="12"/>
  <c r="K291" i="12"/>
  <c r="K368" i="12" s="1"/>
  <c r="K372" i="12" s="1"/>
  <c r="AO237" i="12"/>
  <c r="AP234" i="12"/>
  <c r="BA284" i="12"/>
  <c r="BA282" i="12"/>
  <c r="BA285" i="12"/>
  <c r="AD154" i="12"/>
  <c r="AD165" i="12"/>
  <c r="AI136" i="12"/>
  <c r="AI127" i="12"/>
  <c r="AI131" i="12"/>
  <c r="AI132" i="12"/>
  <c r="AI129" i="12"/>
  <c r="AI130" i="12"/>
  <c r="AI134" i="12"/>
  <c r="AI128" i="12"/>
  <c r="AI133" i="12"/>
  <c r="AL245" i="12"/>
  <c r="AL21" i="12"/>
  <c r="AL27" i="12" s="1"/>
  <c r="AL82" i="12" s="1"/>
  <c r="Z174" i="12"/>
  <c r="Z178" i="12" s="1"/>
  <c r="Z179" i="12" s="1"/>
  <c r="Z43" i="12"/>
  <c r="Z69" i="12" s="1"/>
  <c r="Z83" i="12"/>
  <c r="Z139" i="12" s="1"/>
  <c r="Z140" i="12" s="1"/>
  <c r="Z145" i="12"/>
  <c r="Z150" i="12" s="1"/>
  <c r="Z462" i="12" s="1"/>
  <c r="Z465" i="12" s="1"/>
  <c r="Z31" i="12"/>
  <c r="BA386" i="12"/>
  <c r="Y153" i="12"/>
  <c r="Y157" i="12" s="1"/>
  <c r="Y158" i="12" s="1"/>
  <c r="AC74" i="12"/>
  <c r="AC153" i="12" s="1"/>
  <c r="AC157" i="12" s="1"/>
  <c r="AC158" i="12" s="1"/>
  <c r="Y35" i="12"/>
  <c r="Y174" i="12"/>
  <c r="Y178" i="12" s="1"/>
  <c r="Y179" i="12" s="1"/>
  <c r="AC76" i="12"/>
  <c r="AC174" i="12" s="1"/>
  <c r="AC178" i="12" s="1"/>
  <c r="AC179" i="12" s="1"/>
  <c r="Y43" i="12"/>
  <c r="AS90" i="12"/>
  <c r="AR124" i="12"/>
  <c r="X39" i="12"/>
  <c r="AU307" i="12"/>
  <c r="AV340" i="12"/>
  <c r="AB95" i="14"/>
  <c r="AC38" i="14"/>
  <c r="AC206" i="14" s="1"/>
  <c r="AB42" i="14"/>
  <c r="S214" i="14"/>
  <c r="S212" i="14"/>
  <c r="W169" i="14"/>
  <c r="V208" i="14"/>
  <c r="Y1" i="14"/>
  <c r="X55" i="14"/>
  <c r="X57" i="14" s="1"/>
  <c r="X32" i="10" s="1"/>
  <c r="X187" i="10" s="1"/>
  <c r="X54" i="14"/>
  <c r="AA5" i="14"/>
  <c r="Z169" i="11"/>
  <c r="AB8" i="14"/>
  <c r="AB82" i="14"/>
  <c r="AC25" i="14"/>
  <c r="AB192" i="14"/>
  <c r="V131" i="14"/>
  <c r="U171" i="14"/>
  <c r="V135" i="14"/>
  <c r="U175" i="14"/>
  <c r="Z39" i="11"/>
  <c r="Z45" i="14"/>
  <c r="AB6" i="14"/>
  <c r="AA182" i="11"/>
  <c r="AA43" i="14"/>
  <c r="AA7" i="14"/>
  <c r="Z195" i="11"/>
  <c r="W136" i="14"/>
  <c r="V176" i="14"/>
  <c r="W134" i="14"/>
  <c r="V174" i="14"/>
  <c r="X137" i="14"/>
  <c r="W187" i="14"/>
  <c r="X151" i="14"/>
  <c r="W191" i="14"/>
  <c r="AA9" i="14"/>
  <c r="W132" i="14"/>
  <c r="V172" i="14"/>
  <c r="W148" i="14"/>
  <c r="V188" i="14"/>
  <c r="W30" i="10"/>
  <c r="W26" i="10"/>
  <c r="Y168" i="14"/>
  <c r="X207" i="14"/>
  <c r="V133" i="14"/>
  <c r="U173" i="14"/>
  <c r="W138" i="14"/>
  <c r="V177" i="14"/>
  <c r="T210" i="14"/>
  <c r="AA93" i="14"/>
  <c r="AA39" i="11" s="1"/>
  <c r="AB36" i="14"/>
  <c r="AB204" i="14" s="1"/>
  <c r="AB4" i="14"/>
  <c r="AA156" i="11"/>
  <c r="AB81" i="14"/>
  <c r="AC24" i="14"/>
  <c r="W178" i="14"/>
  <c r="X139" i="14"/>
  <c r="BN101" i="4"/>
  <c r="BP101" i="4"/>
  <c r="BT101" i="4"/>
  <c r="BV101" i="4"/>
  <c r="BX101" i="4"/>
  <c r="DN152" i="1"/>
  <c r="EH121" i="1"/>
  <c r="EB121" i="1"/>
  <c r="DZ121" i="1"/>
  <c r="EA121" i="1"/>
  <c r="DY121" i="1"/>
  <c r="BQ191" i="1"/>
  <c r="BR168" i="1"/>
  <c r="EI156" i="1"/>
  <c r="EI157" i="1"/>
  <c r="EI158" i="1"/>
  <c r="EI159" i="1"/>
  <c r="EH156" i="1"/>
  <c r="EH158" i="1"/>
  <c r="EL156" i="1"/>
  <c r="EL157" i="1"/>
  <c r="EL158" i="1"/>
  <c r="EL159" i="1"/>
  <c r="DX161" i="1"/>
  <c r="DX160" i="1"/>
  <c r="EC159" i="1"/>
  <c r="EM151" i="1"/>
  <c r="DL115" i="1"/>
  <c r="DJ115" i="1"/>
  <c r="DS115" i="1"/>
  <c r="DM115" i="1"/>
  <c r="DK115" i="1"/>
  <c r="BN178" i="1"/>
  <c r="BO154" i="1"/>
  <c r="BO178" i="1" s="1"/>
  <c r="EK156" i="1"/>
  <c r="EK157" i="1"/>
  <c r="EK158" i="1"/>
  <c r="EK159" i="1"/>
  <c r="DS194" i="1"/>
  <c r="DX171" i="1"/>
  <c r="EJ156" i="1"/>
  <c r="EJ157" i="1"/>
  <c r="EJ158" i="1"/>
  <c r="EJ159" i="1"/>
  <c r="BN193" i="1"/>
  <c r="BO170" i="1"/>
  <c r="BO193" i="1" s="1"/>
  <c r="BR178" i="1"/>
  <c r="BS154" i="1"/>
  <c r="BR193" i="1"/>
  <c r="BS170" i="1"/>
  <c r="BM191" i="1"/>
  <c r="BN168" i="1"/>
  <c r="DN162" i="1"/>
  <c r="DT135" i="1"/>
  <c r="DN155" i="1"/>
  <c r="BJ190" i="1"/>
  <c r="BK167" i="1"/>
  <c r="BG177" i="1"/>
  <c r="BH153" i="1"/>
  <c r="CA154" i="1"/>
  <c r="CJ170" i="1"/>
  <c r="CA170" i="1"/>
  <c r="BA192" i="1"/>
  <c r="BF169" i="1"/>
  <c r="BZ191" i="1"/>
  <c r="BX168" i="1"/>
  <c r="BX191" i="1" s="1"/>
  <c r="BV168" i="1"/>
  <c r="BV191" i="1" s="1"/>
  <c r="CE168" i="1"/>
  <c r="BY168" i="1"/>
  <c r="BY191" i="1" s="1"/>
  <c r="BW168" i="1"/>
  <c r="BW191" i="1" s="1"/>
  <c r="CB134" i="1"/>
  <c r="BK175" i="1"/>
  <c r="BP151" i="1"/>
  <c r="DL112" i="1"/>
  <c r="DJ112" i="1"/>
  <c r="DS112" i="1"/>
  <c r="DM112" i="1"/>
  <c r="DK112" i="1"/>
  <c r="DX84" i="1"/>
  <c r="DX195" i="1" s="1"/>
  <c r="EB135" i="1"/>
  <c r="EC157" i="1"/>
  <c r="EH172" i="1"/>
  <c r="AB83" i="11"/>
  <c r="AA152" i="11"/>
  <c r="AA86" i="11"/>
  <c r="AB69" i="11"/>
  <c r="DS128" i="4"/>
  <c r="DS129" i="4" s="1"/>
  <c r="DS130" i="4" s="1"/>
  <c r="AA88" i="11"/>
  <c r="CE131" i="4"/>
  <c r="AD22" i="11"/>
  <c r="J53" i="11"/>
  <c r="K48" i="11"/>
  <c r="K49" i="11" s="1"/>
  <c r="Z99" i="11"/>
  <c r="Z42" i="11"/>
  <c r="AC37" i="10"/>
  <c r="T121" i="10"/>
  <c r="AA129" i="10"/>
  <c r="AD63" i="10"/>
  <c r="AE72" i="10"/>
  <c r="Y167" i="10"/>
  <c r="AD126" i="10"/>
  <c r="Z13" i="10"/>
  <c r="Y133" i="10"/>
  <c r="AF122" i="10"/>
  <c r="AB79" i="10"/>
  <c r="AA77" i="10"/>
  <c r="H101" i="4"/>
  <c r="H91" i="4"/>
  <c r="J101" i="4"/>
  <c r="J91" i="4"/>
  <c r="L101" i="4"/>
  <c r="L91" i="4"/>
  <c r="N101" i="4"/>
  <c r="N91" i="4"/>
  <c r="P101" i="4"/>
  <c r="P91" i="4"/>
  <c r="R101" i="4"/>
  <c r="R91" i="4"/>
  <c r="T101" i="4"/>
  <c r="T91" i="4"/>
  <c r="V101" i="4"/>
  <c r="V91" i="4"/>
  <c r="X101" i="4"/>
  <c r="X91" i="4"/>
  <c r="Z101" i="4"/>
  <c r="Z91" i="4"/>
  <c r="AB101" i="4"/>
  <c r="AB91" i="4"/>
  <c r="AD101" i="4"/>
  <c r="AD91" i="4"/>
  <c r="AF101" i="4"/>
  <c r="AF91" i="4"/>
  <c r="AH101" i="4"/>
  <c r="AH91" i="4"/>
  <c r="AJ101" i="4"/>
  <c r="AJ91" i="4"/>
  <c r="AL101" i="4"/>
  <c r="AL91" i="4"/>
  <c r="AN101" i="4"/>
  <c r="AN91" i="4"/>
  <c r="AP101" i="4"/>
  <c r="AP91" i="4"/>
  <c r="AR101" i="4"/>
  <c r="AR91" i="4"/>
  <c r="AT101" i="4"/>
  <c r="AT91" i="4"/>
  <c r="AV101" i="4"/>
  <c r="AV91" i="4"/>
  <c r="AX101" i="4"/>
  <c r="AX91" i="4"/>
  <c r="AZ101" i="4"/>
  <c r="AZ91" i="4"/>
  <c r="BB101" i="4"/>
  <c r="BB91" i="4"/>
  <c r="BD101" i="4"/>
  <c r="BD91" i="4"/>
  <c r="BF101" i="4"/>
  <c r="BF91" i="4"/>
  <c r="BH101" i="4"/>
  <c r="BH91" i="4"/>
  <c r="BJ101" i="4"/>
  <c r="BJ91" i="4"/>
  <c r="BO91" i="4" s="1"/>
  <c r="BT91" i="4" s="1"/>
  <c r="BY91" i="4" s="1"/>
  <c r="CD91" i="4" s="1"/>
  <c r="CI91" i="4" s="1"/>
  <c r="BL101" i="4"/>
  <c r="BL91" i="4"/>
  <c r="BR101" i="4"/>
  <c r="BR91" i="4"/>
  <c r="BW91" i="4" s="1"/>
  <c r="CB91" i="4" s="1"/>
  <c r="CG91" i="4" s="1"/>
  <c r="C6" i="4"/>
  <c r="E6" i="4"/>
  <c r="G6" i="4"/>
  <c r="BK10" i="4"/>
  <c r="BK94" i="4"/>
  <c r="BP94" i="4" s="1"/>
  <c r="BU94" i="4" s="1"/>
  <c r="BZ94" i="4" s="1"/>
  <c r="CE94" i="4" s="1"/>
  <c r="CJ94" i="4" s="1"/>
  <c r="CO94" i="4" s="1"/>
  <c r="CT94" i="4" s="1"/>
  <c r="CY94" i="4" s="1"/>
  <c r="DD94" i="4" s="1"/>
  <c r="DI94" i="4" s="1"/>
  <c r="DN94" i="4" s="1"/>
  <c r="DS94" i="4" s="1"/>
  <c r="DX94" i="4" s="1"/>
  <c r="EC94" i="4" s="1"/>
  <c r="EH94" i="4" s="1"/>
  <c r="EM94" i="4" s="1"/>
  <c r="ER94" i="4" s="1"/>
  <c r="BK95" i="4"/>
  <c r="BP95" i="4" s="1"/>
  <c r="BU95" i="4" s="1"/>
  <c r="BZ95" i="4" s="1"/>
  <c r="CE95" i="4" s="1"/>
  <c r="CJ95" i="4" s="1"/>
  <c r="CO95" i="4" s="1"/>
  <c r="CT95" i="4" s="1"/>
  <c r="CY95" i="4" s="1"/>
  <c r="DD95" i="4" s="1"/>
  <c r="DI95" i="4" s="1"/>
  <c r="DN95" i="4" s="1"/>
  <c r="DS95" i="4" s="1"/>
  <c r="DX95" i="4" s="1"/>
  <c r="EC95" i="4" s="1"/>
  <c r="EH95" i="4" s="1"/>
  <c r="EM95" i="4" s="1"/>
  <c r="ER95" i="4" s="1"/>
  <c r="BU102" i="4"/>
  <c r="BU10" i="4"/>
  <c r="DI105" i="4"/>
  <c r="DN18" i="4"/>
  <c r="DI104" i="4"/>
  <c r="DN12" i="4"/>
  <c r="DI36" i="4"/>
  <c r="I101" i="4"/>
  <c r="I91" i="4"/>
  <c r="K101" i="4"/>
  <c r="K91" i="4"/>
  <c r="M101" i="4"/>
  <c r="M91" i="4"/>
  <c r="O101" i="4"/>
  <c r="O91" i="4"/>
  <c r="Q101" i="4"/>
  <c r="Q91" i="4"/>
  <c r="S101" i="4"/>
  <c r="S91" i="4"/>
  <c r="U101" i="4"/>
  <c r="U91" i="4"/>
  <c r="W101" i="4"/>
  <c r="W91" i="4"/>
  <c r="Y101" i="4"/>
  <c r="Y91" i="4"/>
  <c r="AA101" i="4"/>
  <c r="AA91" i="4"/>
  <c r="AC101" i="4"/>
  <c r="AC91" i="4"/>
  <c r="AE101" i="4"/>
  <c r="AE91" i="4"/>
  <c r="AG101" i="4"/>
  <c r="AG91" i="4"/>
  <c r="AI101" i="4"/>
  <c r="AI91" i="4"/>
  <c r="AK101" i="4"/>
  <c r="AK91" i="4"/>
  <c r="AM101" i="4"/>
  <c r="AM91" i="4"/>
  <c r="AO101" i="4"/>
  <c r="AO91" i="4"/>
  <c r="AQ101" i="4"/>
  <c r="AQ91" i="4"/>
  <c r="AS101" i="4"/>
  <c r="AS91" i="4"/>
  <c r="AU101" i="4"/>
  <c r="AU91" i="4"/>
  <c r="AW101" i="4"/>
  <c r="AW91" i="4"/>
  <c r="AY101" i="4"/>
  <c r="AY91" i="4"/>
  <c r="BA101" i="4"/>
  <c r="BA91" i="4"/>
  <c r="BC101" i="4"/>
  <c r="BC91" i="4"/>
  <c r="BE101" i="4"/>
  <c r="BE91" i="4"/>
  <c r="BG101" i="4"/>
  <c r="BG91" i="4"/>
  <c r="BI101" i="4"/>
  <c r="BI91" i="4"/>
  <c r="BN91" i="4" s="1"/>
  <c r="BS91" i="4" s="1"/>
  <c r="BX91" i="4" s="1"/>
  <c r="CC91" i="4" s="1"/>
  <c r="CH91" i="4" s="1"/>
  <c r="BK101" i="4"/>
  <c r="BK91" i="4"/>
  <c r="BP91" i="4" s="1"/>
  <c r="BU91" i="4" s="1"/>
  <c r="BZ91" i="4" s="1"/>
  <c r="CE91" i="4" s="1"/>
  <c r="CJ91" i="4" s="1"/>
  <c r="CO91" i="4" s="1"/>
  <c r="CT91" i="4" s="1"/>
  <c r="CY91" i="4" s="1"/>
  <c r="DD91" i="4" s="1"/>
  <c r="DI91" i="4" s="1"/>
  <c r="DN91" i="4" s="1"/>
  <c r="DS91" i="4" s="1"/>
  <c r="DX91" i="4" s="1"/>
  <c r="EC91" i="4" s="1"/>
  <c r="EH91" i="4" s="1"/>
  <c r="EM91" i="4" s="1"/>
  <c r="ER91" i="4" s="1"/>
  <c r="BM101" i="4"/>
  <c r="BM91" i="4"/>
  <c r="BO101" i="4"/>
  <c r="BQ101" i="4"/>
  <c r="BQ91" i="4"/>
  <c r="BV91" i="4" s="1"/>
  <c r="CA91" i="4" s="1"/>
  <c r="CF91" i="4" s="1"/>
  <c r="BS101" i="4"/>
  <c r="BU101" i="4"/>
  <c r="BW101" i="4"/>
  <c r="CA101" i="4"/>
  <c r="D6" i="4"/>
  <c r="F6" i="4"/>
  <c r="H6" i="4"/>
  <c r="J6" i="4"/>
  <c r="L6" i="4"/>
  <c r="N6" i="4"/>
  <c r="P6" i="4"/>
  <c r="R6" i="4"/>
  <c r="T6" i="4"/>
  <c r="V6" i="4"/>
  <c r="X6" i="4"/>
  <c r="Z6" i="4"/>
  <c r="AB6" i="4"/>
  <c r="AD6" i="4"/>
  <c r="AF6" i="4"/>
  <c r="AH6" i="4"/>
  <c r="AJ6" i="4"/>
  <c r="AL6" i="4"/>
  <c r="AN6" i="4"/>
  <c r="AP6" i="4"/>
  <c r="AR6" i="4"/>
  <c r="AT6" i="4"/>
  <c r="AV6" i="4"/>
  <c r="AX6" i="4"/>
  <c r="AZ6" i="4"/>
  <c r="BB6" i="4"/>
  <c r="BD6" i="4"/>
  <c r="BF6" i="4"/>
  <c r="BH6" i="4"/>
  <c r="BJ6" i="4"/>
  <c r="BL6" i="4"/>
  <c r="BN6" i="4"/>
  <c r="BP102" i="4"/>
  <c r="BP10" i="4"/>
  <c r="BR6" i="4"/>
  <c r="BT6" i="4"/>
  <c r="BV6" i="4"/>
  <c r="BX6" i="4"/>
  <c r="EC49" i="4"/>
  <c r="DX48" i="4"/>
  <c r="EC58" i="4"/>
  <c r="DX57" i="4"/>
  <c r="DI26" i="4"/>
  <c r="DX43" i="4"/>
  <c r="DX35" i="4"/>
  <c r="EC44" i="4"/>
  <c r="F11" i="17"/>
  <c r="F8" i="17"/>
  <c r="E11" i="17"/>
  <c r="AC39" i="12" l="1"/>
  <c r="AB205" i="14"/>
  <c r="AC37" i="14"/>
  <c r="AB94" i="14"/>
  <c r="AB56" i="14"/>
  <c r="CG154" i="1"/>
  <c r="CH154" i="1"/>
  <c r="CI154" i="1"/>
  <c r="CF154" i="1"/>
  <c r="CH170" i="1"/>
  <c r="CG170" i="1"/>
  <c r="CG193" i="1" s="1"/>
  <c r="CF170" i="1"/>
  <c r="CF193" i="1" s="1"/>
  <c r="CI170" i="1"/>
  <c r="AC56" i="14"/>
  <c r="V93" i="19"/>
  <c r="U91" i="20"/>
  <c r="K462" i="12"/>
  <c r="X31" i="12"/>
  <c r="R87" i="20"/>
  <c r="R93" i="20" s="1"/>
  <c r="R99" i="20" s="1"/>
  <c r="AX265" i="12"/>
  <c r="AY263" i="12"/>
  <c r="M94" i="4"/>
  <c r="Q10" i="4"/>
  <c r="Q20" i="4" s="1"/>
  <c r="X115" i="19"/>
  <c r="W118" i="19"/>
  <c r="X15" i="10"/>
  <c r="X183" i="10" s="1"/>
  <c r="AD165" i="10"/>
  <c r="AC17" i="10"/>
  <c r="DI135" i="1"/>
  <c r="DL135" i="1"/>
  <c r="AC95" i="4"/>
  <c r="BI94" i="4"/>
  <c r="BN94" i="4" s="1"/>
  <c r="BS94" i="4" s="1"/>
  <c r="BX94" i="4" s="1"/>
  <c r="CC94" i="4" s="1"/>
  <c r="AW10" i="4"/>
  <c r="AW92" i="4" s="1"/>
  <c r="AS94" i="4"/>
  <c r="BA195" i="1"/>
  <c r="BA172" i="1" s="1"/>
  <c r="AW94" i="4"/>
  <c r="AG10" i="4"/>
  <c r="AG20" i="4" s="1"/>
  <c r="BI10" i="4"/>
  <c r="BI92" i="4" s="1"/>
  <c r="Q94" i="4"/>
  <c r="W95" i="4"/>
  <c r="AM10" i="4"/>
  <c r="AM20" i="4" s="1"/>
  <c r="BC94" i="4"/>
  <c r="W10" i="4"/>
  <c r="W20" i="4" s="1"/>
  <c r="BC95" i="4"/>
  <c r="AM94" i="4"/>
  <c r="Y94" i="4"/>
  <c r="AY10" i="4"/>
  <c r="AY92" i="4" s="1"/>
  <c r="W46" i="14"/>
  <c r="W47" i="14" s="1"/>
  <c r="AS10" i="4"/>
  <c r="AS92" i="4" s="1"/>
  <c r="M10" i="4"/>
  <c r="M20" i="4" s="1"/>
  <c r="AC94" i="4"/>
  <c r="AI95" i="4"/>
  <c r="S10" i="4"/>
  <c r="S20" i="4" s="1"/>
  <c r="BM95" i="4"/>
  <c r="AK10" i="4"/>
  <c r="AK92" i="4" s="1"/>
  <c r="I95" i="4"/>
  <c r="BA95" i="4"/>
  <c r="Q102" i="4"/>
  <c r="BG94" i="4"/>
  <c r="AG94" i="4"/>
  <c r="U102" i="4"/>
  <c r="BM94" i="4"/>
  <c r="K95" i="4"/>
  <c r="AQ10" i="4"/>
  <c r="AQ92" i="4" s="1"/>
  <c r="AK95" i="4"/>
  <c r="AA95" i="4"/>
  <c r="U94" i="4"/>
  <c r="K10" i="4"/>
  <c r="K20" i="4" s="1"/>
  <c r="BQ95" i="4"/>
  <c r="BV95" i="4" s="1"/>
  <c r="CA95" i="4" s="1"/>
  <c r="BA94" i="4"/>
  <c r="AO94" i="4"/>
  <c r="Y95" i="4"/>
  <c r="I94" i="4"/>
  <c r="I102" i="4"/>
  <c r="BQ94" i="4"/>
  <c r="BV94" i="4" s="1"/>
  <c r="CA94" i="4" s="1"/>
  <c r="BG10" i="4"/>
  <c r="BG92" i="4" s="1"/>
  <c r="AQ95" i="4"/>
  <c r="AO95" i="4"/>
  <c r="AA94" i="4"/>
  <c r="U10" i="4"/>
  <c r="U20" i="4" s="1"/>
  <c r="BE10" i="4"/>
  <c r="BE20" i="4" s="1"/>
  <c r="AY94" i="4"/>
  <c r="AI94" i="4"/>
  <c r="BE94" i="4"/>
  <c r="S95" i="4"/>
  <c r="Y154" i="10"/>
  <c r="Y5" i="11"/>
  <c r="S84" i="18"/>
  <c r="AY313" i="12"/>
  <c r="AX315" i="12"/>
  <c r="AU10" i="4"/>
  <c r="AU92" i="4" s="1"/>
  <c r="AE10" i="4"/>
  <c r="AE92" i="4" s="1"/>
  <c r="O10" i="4"/>
  <c r="O92" i="4" s="1"/>
  <c r="AU95" i="4"/>
  <c r="AE95" i="4"/>
  <c r="O95" i="4"/>
  <c r="Y79" i="11"/>
  <c r="Y174" i="10"/>
  <c r="AB109" i="11"/>
  <c r="AB7" i="11"/>
  <c r="AB90" i="11" s="1"/>
  <c r="Z49" i="10"/>
  <c r="Z71" i="10" s="1"/>
  <c r="Z24" i="10" s="1"/>
  <c r="DQ118" i="1"/>
  <c r="DO118" i="1"/>
  <c r="DR118" i="1"/>
  <c r="DX118" i="1"/>
  <c r="DP118" i="1"/>
  <c r="X79" i="20"/>
  <c r="Y78" i="20"/>
  <c r="V41" i="20"/>
  <c r="W39" i="20"/>
  <c r="O32" i="20"/>
  <c r="N33" i="20"/>
  <c r="N30" i="20" s="1"/>
  <c r="N38" i="20" s="1"/>
  <c r="N29" i="20"/>
  <c r="N37" i="20" s="1"/>
  <c r="X89" i="20"/>
  <c r="S83" i="20"/>
  <c r="T82" i="20"/>
  <c r="S84" i="20"/>
  <c r="G30" i="20"/>
  <c r="G38" i="20" s="1"/>
  <c r="G28" i="20"/>
  <c r="G36" i="20" s="1"/>
  <c r="G29" i="20"/>
  <c r="G37" i="20" s="1"/>
  <c r="G23" i="20"/>
  <c r="S80" i="20"/>
  <c r="T77" i="20"/>
  <c r="T76" i="20"/>
  <c r="U75" i="20"/>
  <c r="M54" i="20"/>
  <c r="T65" i="20"/>
  <c r="T28" i="20"/>
  <c r="T36" i="20" s="1"/>
  <c r="U25" i="20"/>
  <c r="X40" i="20"/>
  <c r="C54" i="20"/>
  <c r="W63" i="20"/>
  <c r="S16" i="20"/>
  <c r="X88" i="19"/>
  <c r="Y87" i="19"/>
  <c r="R16" i="19"/>
  <c r="S65" i="19"/>
  <c r="T25" i="19"/>
  <c r="X40" i="19"/>
  <c r="W91" i="19"/>
  <c r="U86" i="19"/>
  <c r="U85" i="19"/>
  <c r="V84" i="19"/>
  <c r="V41" i="19"/>
  <c r="W39" i="19"/>
  <c r="Q31" i="19"/>
  <c r="P28" i="19"/>
  <c r="P36" i="19" s="1"/>
  <c r="U92" i="19"/>
  <c r="U90" i="20" s="1"/>
  <c r="T82" i="19"/>
  <c r="M33" i="19"/>
  <c r="M30" i="19" s="1"/>
  <c r="M38" i="19" s="1"/>
  <c r="N32" i="19"/>
  <c r="M29" i="19"/>
  <c r="M37" i="19" s="1"/>
  <c r="T89" i="19"/>
  <c r="G19" i="19"/>
  <c r="G27" i="19"/>
  <c r="E10" i="19"/>
  <c r="F9" i="19"/>
  <c r="F26" i="19"/>
  <c r="F15" i="19"/>
  <c r="U77" i="19"/>
  <c r="U78" i="19" s="1"/>
  <c r="U76" i="19"/>
  <c r="V75" i="19"/>
  <c r="L54" i="19"/>
  <c r="I25" i="19"/>
  <c r="I62" i="19"/>
  <c r="W41" i="18"/>
  <c r="X39" i="18"/>
  <c r="S88" i="18"/>
  <c r="S87" i="18"/>
  <c r="T86" i="18"/>
  <c r="T80" i="18"/>
  <c r="T78" i="18"/>
  <c r="U77" i="18"/>
  <c r="T79" i="18"/>
  <c r="T16" i="18"/>
  <c r="Y40" i="18"/>
  <c r="X120" i="18"/>
  <c r="X117" i="18" s="1"/>
  <c r="H61" i="18"/>
  <c r="H28" i="18"/>
  <c r="V33" i="18"/>
  <c r="W32" i="18"/>
  <c r="W93" i="18"/>
  <c r="W90" i="18"/>
  <c r="X89" i="18"/>
  <c r="X85" i="20" s="1"/>
  <c r="X86" i="20" s="1"/>
  <c r="R91" i="18"/>
  <c r="R96" i="18" s="1"/>
  <c r="R102" i="18" s="1"/>
  <c r="X62" i="18"/>
  <c r="W83" i="18"/>
  <c r="W82" i="18" s="1"/>
  <c r="X81" i="18"/>
  <c r="X79" i="19" s="1"/>
  <c r="AW340" i="12"/>
  <c r="AV307" i="12"/>
  <c r="AS124" i="12"/>
  <c r="AT90" i="12"/>
  <c r="Y68" i="12"/>
  <c r="AC35" i="12"/>
  <c r="AC68" i="12" s="1"/>
  <c r="Z65" i="12"/>
  <c r="AI154" i="12"/>
  <c r="AI175" i="12"/>
  <c r="AI195" i="12"/>
  <c r="AI137" i="12"/>
  <c r="AD164" i="12"/>
  <c r="AD168" i="12" s="1"/>
  <c r="AD169" i="12" s="1"/>
  <c r="AH75" i="12"/>
  <c r="AH164" i="12" s="1"/>
  <c r="AH168" i="12" s="1"/>
  <c r="AH169" i="12" s="1"/>
  <c r="AD39" i="12"/>
  <c r="AD153" i="12"/>
  <c r="AD157" i="12" s="1"/>
  <c r="AD158" i="12" s="1"/>
  <c r="AD35" i="12"/>
  <c r="AH74" i="12"/>
  <c r="AH153" i="12" s="1"/>
  <c r="AH157" i="12" s="1"/>
  <c r="AH158" i="12" s="1"/>
  <c r="AO244" i="12"/>
  <c r="K359" i="12"/>
  <c r="K300" i="12"/>
  <c r="BA330" i="12"/>
  <c r="BA328" i="12"/>
  <c r="BA331" i="12"/>
  <c r="X470" i="12"/>
  <c r="X471" i="12" s="1"/>
  <c r="X462" i="12"/>
  <c r="AF174" i="12"/>
  <c r="AF178" i="12" s="1"/>
  <c r="AF179" i="12" s="1"/>
  <c r="AF43" i="12"/>
  <c r="AF69" i="12" s="1"/>
  <c r="AF83" i="12"/>
  <c r="AF139" i="12" s="1"/>
  <c r="AF140" i="12" s="1"/>
  <c r="AF31" i="12"/>
  <c r="AF153" i="12"/>
  <c r="AF157" i="12" s="1"/>
  <c r="AF158" i="12" s="1"/>
  <c r="AF35" i="12"/>
  <c r="AF68" i="12" s="1"/>
  <c r="AU433" i="12"/>
  <c r="AK195" i="12"/>
  <c r="AK175" i="12"/>
  <c r="AK137" i="12"/>
  <c r="AE83" i="12"/>
  <c r="AE139" i="12" s="1"/>
  <c r="AE140" i="12" s="1"/>
  <c r="AE31" i="12"/>
  <c r="AE164" i="12"/>
  <c r="AE168" i="12" s="1"/>
  <c r="AE169" i="12" s="1"/>
  <c r="AE39" i="12"/>
  <c r="AE174" i="12"/>
  <c r="AE178" i="12" s="1"/>
  <c r="AE179" i="12" s="1"/>
  <c r="AE43" i="12"/>
  <c r="AE69" i="12" s="1"/>
  <c r="AW190" i="12"/>
  <c r="AV200" i="12"/>
  <c r="AU309" i="12"/>
  <c r="AT311" i="12"/>
  <c r="Y65" i="12"/>
  <c r="BA60" i="12"/>
  <c r="BA62" i="12"/>
  <c r="BA63" i="12"/>
  <c r="AL185" i="12"/>
  <c r="AL165" i="12"/>
  <c r="AL154" i="12"/>
  <c r="AL137" i="12"/>
  <c r="AL59" i="12"/>
  <c r="N250" i="12"/>
  <c r="M249" i="12"/>
  <c r="BA116" i="12"/>
  <c r="AZ117" i="12"/>
  <c r="AZ115" i="12"/>
  <c r="AZ118" i="12"/>
  <c r="X65" i="12"/>
  <c r="AC31" i="12"/>
  <c r="BA326" i="12"/>
  <c r="BA324" i="12"/>
  <c r="BA327" i="12"/>
  <c r="M353" i="12"/>
  <c r="M348" i="12"/>
  <c r="M347" i="12"/>
  <c r="M346" i="12"/>
  <c r="M377" i="12" s="1"/>
  <c r="M345" i="12"/>
  <c r="M369" i="12" s="1"/>
  <c r="M344" i="12"/>
  <c r="AJ175" i="12"/>
  <c r="AJ185" i="12"/>
  <c r="AJ165" i="12"/>
  <c r="AJ137" i="12"/>
  <c r="AJ59" i="12"/>
  <c r="AY31" i="12"/>
  <c r="S146" i="12"/>
  <c r="S150" i="12" s="1"/>
  <c r="S137" i="12"/>
  <c r="S139" i="12" s="1"/>
  <c r="S140" i="12" s="1"/>
  <c r="J364" i="12"/>
  <c r="J463" i="12" s="1"/>
  <c r="J465" i="12" s="1"/>
  <c r="AT220" i="12"/>
  <c r="AT208" i="12"/>
  <c r="AB65" i="12"/>
  <c r="AT320" i="12"/>
  <c r="Y69" i="12"/>
  <c r="AC43" i="12"/>
  <c r="AC69" i="12" s="1"/>
  <c r="AI55" i="12"/>
  <c r="AM79" i="12"/>
  <c r="AM204" i="12" s="1"/>
  <c r="AM211" i="12" s="1"/>
  <c r="AM80" i="12"/>
  <c r="AM214" i="12" s="1"/>
  <c r="AM221" i="12" s="1"/>
  <c r="AI59" i="12"/>
  <c r="AI165" i="12"/>
  <c r="AI185" i="12"/>
  <c r="AQ234" i="12"/>
  <c r="AP237" i="12"/>
  <c r="AS230" i="12"/>
  <c r="AS228" i="12" s="1"/>
  <c r="AS218" i="12"/>
  <c r="AW108" i="12"/>
  <c r="AV109" i="12"/>
  <c r="AV107" i="12"/>
  <c r="AV110" i="12"/>
  <c r="AC47" i="12"/>
  <c r="AC70" i="12" s="1"/>
  <c r="Y70" i="12"/>
  <c r="L360" i="12"/>
  <c r="L354" i="12"/>
  <c r="AK165" i="12"/>
  <c r="AK185" i="12"/>
  <c r="AK154" i="12"/>
  <c r="AJ243" i="12"/>
  <c r="AJ244" i="12"/>
  <c r="AJ241" i="12"/>
  <c r="AK237" i="12"/>
  <c r="AU210" i="12"/>
  <c r="K360" i="12"/>
  <c r="K354" i="12"/>
  <c r="AX387" i="12"/>
  <c r="AY177" i="12"/>
  <c r="AG83" i="12"/>
  <c r="AG139" i="12" s="1"/>
  <c r="AG140" i="12" s="1"/>
  <c r="AG31" i="12"/>
  <c r="AG174" i="12"/>
  <c r="AG178" i="12" s="1"/>
  <c r="AG179" i="12" s="1"/>
  <c r="AG43" i="12"/>
  <c r="AG69" i="12" s="1"/>
  <c r="AG164" i="12"/>
  <c r="AG168" i="12" s="1"/>
  <c r="AG169" i="12" s="1"/>
  <c r="AG39" i="12"/>
  <c r="AS341" i="12"/>
  <c r="AX394" i="12"/>
  <c r="AY186" i="12"/>
  <c r="AZ271" i="12"/>
  <c r="AY272" i="12"/>
  <c r="AZ272" i="12" s="1"/>
  <c r="BA272" i="12" s="1"/>
  <c r="AY270" i="12"/>
  <c r="AZ270" i="12" s="1"/>
  <c r="BA270" i="12" s="1"/>
  <c r="AY273" i="12"/>
  <c r="AC145" i="12"/>
  <c r="AC150" i="12" s="1"/>
  <c r="AC83" i="12"/>
  <c r="AC139" i="12" s="1"/>
  <c r="AC140" i="12" s="1"/>
  <c r="AL195" i="12"/>
  <c r="AL175" i="12"/>
  <c r="AL55" i="12"/>
  <c r="AM82" i="12"/>
  <c r="AD174" i="12"/>
  <c r="AD178" i="12" s="1"/>
  <c r="AD179" i="12" s="1"/>
  <c r="AD43" i="12"/>
  <c r="AH76" i="12"/>
  <c r="AH174" i="12" s="1"/>
  <c r="AH178" i="12" s="1"/>
  <c r="AH179" i="12" s="1"/>
  <c r="AD83" i="12"/>
  <c r="AD139" i="12" s="1"/>
  <c r="AD140" i="12" s="1"/>
  <c r="AH73" i="12"/>
  <c r="AD31" i="12"/>
  <c r="AD184" i="12"/>
  <c r="AD188" i="12" s="1"/>
  <c r="AD189" i="12" s="1"/>
  <c r="AH77" i="12"/>
  <c r="AH184" i="12" s="1"/>
  <c r="AH188" i="12" s="1"/>
  <c r="AH189" i="12" s="1"/>
  <c r="AD47" i="12"/>
  <c r="AK13" i="12"/>
  <c r="AL6" i="12"/>
  <c r="AL13" i="12" s="1"/>
  <c r="AQ6" i="12"/>
  <c r="L299" i="12"/>
  <c r="L293" i="12"/>
  <c r="L292" i="12"/>
  <c r="L376" i="12" s="1"/>
  <c r="L380" i="12" s="1"/>
  <c r="L291" i="12"/>
  <c r="L368" i="12" s="1"/>
  <c r="L372" i="12" s="1"/>
  <c r="L290" i="12"/>
  <c r="AY112" i="12"/>
  <c r="AX113" i="12"/>
  <c r="AX111" i="12"/>
  <c r="AX114" i="12"/>
  <c r="AB13" i="12"/>
  <c r="AB19" i="12"/>
  <c r="AB15" i="12"/>
  <c r="AB16" i="12" s="1"/>
  <c r="AF164" i="12"/>
  <c r="AF168" i="12" s="1"/>
  <c r="AF169" i="12" s="1"/>
  <c r="AF39" i="12"/>
  <c r="AF184" i="12"/>
  <c r="AF188" i="12" s="1"/>
  <c r="AF189" i="12" s="1"/>
  <c r="AF47" i="12"/>
  <c r="AF70" i="12" s="1"/>
  <c r="BA45" i="12"/>
  <c r="BA47" i="12" s="1"/>
  <c r="AZ47" i="12"/>
  <c r="AW478" i="12"/>
  <c r="AV477" i="12"/>
  <c r="O304" i="12"/>
  <c r="N303" i="12"/>
  <c r="AZ49" i="12"/>
  <c r="AY50" i="12"/>
  <c r="AY48" i="12"/>
  <c r="AY51" i="12"/>
  <c r="AY70" i="12" s="1"/>
  <c r="AJ154" i="12"/>
  <c r="AJ195" i="12"/>
  <c r="AJ55" i="12"/>
  <c r="AP246" i="12"/>
  <c r="AQ24" i="12"/>
  <c r="AP23" i="12"/>
  <c r="AO245" i="12"/>
  <c r="AO243" i="12" s="1"/>
  <c r="AE184" i="12"/>
  <c r="AE188" i="12" s="1"/>
  <c r="AE189" i="12" s="1"/>
  <c r="AE47" i="12"/>
  <c r="AE70" i="12" s="1"/>
  <c r="AE153" i="12"/>
  <c r="AE157" i="12" s="1"/>
  <c r="AE158" i="12" s="1"/>
  <c r="AE35" i="12"/>
  <c r="AE68" i="12" s="1"/>
  <c r="AG153" i="12"/>
  <c r="AG157" i="12" s="1"/>
  <c r="AG158" i="12" s="1"/>
  <c r="AG35" i="12"/>
  <c r="AG68" i="12" s="1"/>
  <c r="AG184" i="12"/>
  <c r="AG188" i="12" s="1"/>
  <c r="AG189" i="12" s="1"/>
  <c r="AG47" i="12"/>
  <c r="AG70" i="12" s="1"/>
  <c r="AA65" i="12"/>
  <c r="AV104" i="12"/>
  <c r="AU106" i="12"/>
  <c r="X178" i="14"/>
  <c r="Y139" i="14"/>
  <c r="AC81" i="14"/>
  <c r="AD24" i="14"/>
  <c r="AB156" i="11"/>
  <c r="AC4" i="14"/>
  <c r="AA100" i="14"/>
  <c r="AA40" i="11"/>
  <c r="AB9" i="14"/>
  <c r="AB182" i="11"/>
  <c r="AC6" i="14"/>
  <c r="U210" i="14"/>
  <c r="AB5" i="14"/>
  <c r="AA169" i="11"/>
  <c r="X30" i="10"/>
  <c r="X26" i="10"/>
  <c r="Y55" i="14"/>
  <c r="Y57" i="14" s="1"/>
  <c r="Y32" i="10" s="1"/>
  <c r="Y187" i="10" s="1"/>
  <c r="Y54" i="14"/>
  <c r="Z1" i="14"/>
  <c r="X169" i="14"/>
  <c r="W208" i="14"/>
  <c r="AC42" i="14"/>
  <c r="AC95" i="14"/>
  <c r="AD38" i="14"/>
  <c r="AD206" i="14" s="1"/>
  <c r="AA99" i="14"/>
  <c r="AA45" i="14"/>
  <c r="AB93" i="14"/>
  <c r="AB39" i="11" s="1"/>
  <c r="T212" i="14"/>
  <c r="CJ22" i="4"/>
  <c r="W177" i="14"/>
  <c r="X138" i="14"/>
  <c r="W133" i="14"/>
  <c r="V173" i="14"/>
  <c r="Z168" i="14"/>
  <c r="Y207" i="14"/>
  <c r="X148" i="14"/>
  <c r="W188" i="14"/>
  <c r="X132" i="14"/>
  <c r="W172" i="14"/>
  <c r="Y151" i="14"/>
  <c r="X191" i="14"/>
  <c r="Y137" i="14"/>
  <c r="X187" i="14"/>
  <c r="X134" i="14"/>
  <c r="W174" i="14"/>
  <c r="X136" i="14"/>
  <c r="W176" i="14"/>
  <c r="AA195" i="11"/>
  <c r="AB7" i="14"/>
  <c r="AB43" i="14"/>
  <c r="Z100" i="14"/>
  <c r="Z101" i="14" s="1"/>
  <c r="Z40" i="11"/>
  <c r="W135" i="14"/>
  <c r="V175" i="14"/>
  <c r="W131" i="14"/>
  <c r="V171" i="14"/>
  <c r="AC192" i="14"/>
  <c r="AC82" i="14"/>
  <c r="AD25" i="14"/>
  <c r="AC8" i="14"/>
  <c r="S213" i="14"/>
  <c r="T214" i="14" s="1"/>
  <c r="EM172" i="1"/>
  <c r="EH157" i="1"/>
  <c r="EG135" i="1"/>
  <c r="EC84" i="1"/>
  <c r="EC195" i="1" s="1"/>
  <c r="BP175" i="1"/>
  <c r="BL151" i="1"/>
  <c r="BU151" i="1"/>
  <c r="CB5" i="4"/>
  <c r="CO170" i="1"/>
  <c r="CA178" i="1"/>
  <c r="CB154" i="1"/>
  <c r="DY135" i="1"/>
  <c r="DS162" i="1"/>
  <c r="BN191" i="1"/>
  <c r="BO168" i="1"/>
  <c r="BO191" i="1" s="1"/>
  <c r="BS193" i="1"/>
  <c r="BT170" i="1"/>
  <c r="BT193" i="1" s="1"/>
  <c r="BS178" i="1"/>
  <c r="BT154" i="1"/>
  <c r="BT178" i="1" s="1"/>
  <c r="EO159" i="1"/>
  <c r="EO158" i="1"/>
  <c r="EO157" i="1"/>
  <c r="EO156" i="1"/>
  <c r="DX194" i="1"/>
  <c r="EC171" i="1"/>
  <c r="EP159" i="1"/>
  <c r="EP158" i="1"/>
  <c r="EP157" i="1"/>
  <c r="EP156" i="1"/>
  <c r="DX115" i="1"/>
  <c r="DR115" i="1"/>
  <c r="DP115" i="1"/>
  <c r="DQ115" i="1"/>
  <c r="DO115" i="1"/>
  <c r="BR191" i="1"/>
  <c r="BS168" i="1"/>
  <c r="EF121" i="1"/>
  <c r="ED121" i="1"/>
  <c r="EM121" i="1"/>
  <c r="EG121" i="1"/>
  <c r="EE121" i="1"/>
  <c r="DX112" i="1"/>
  <c r="DR112" i="1"/>
  <c r="DP112" i="1"/>
  <c r="DQ112" i="1"/>
  <c r="DO112" i="1"/>
  <c r="CE191" i="1"/>
  <c r="CJ168" i="1"/>
  <c r="CA168" i="1"/>
  <c r="BF192" i="1"/>
  <c r="BG169" i="1"/>
  <c r="CA193" i="1"/>
  <c r="CB170" i="1"/>
  <c r="CO154" i="1"/>
  <c r="BH177" i="1"/>
  <c r="BI153" i="1"/>
  <c r="BK190" i="1"/>
  <c r="BP167" i="1"/>
  <c r="DS155" i="1"/>
  <c r="ER151" i="1"/>
  <c r="EH159" i="1"/>
  <c r="EC160" i="1"/>
  <c r="EC161" i="1"/>
  <c r="EQ159" i="1"/>
  <c r="EQ158" i="1"/>
  <c r="EQ157" i="1"/>
  <c r="EQ156" i="1"/>
  <c r="EM158" i="1"/>
  <c r="EM156" i="1"/>
  <c r="EN159" i="1"/>
  <c r="EN158" i="1"/>
  <c r="EN157" i="1"/>
  <c r="EN156" i="1"/>
  <c r="DS152" i="1"/>
  <c r="K53" i="11"/>
  <c r="L48" i="11"/>
  <c r="L49" i="11" s="1"/>
  <c r="AE22" i="11"/>
  <c r="AA99" i="11"/>
  <c r="AA42" i="11"/>
  <c r="AB152" i="11"/>
  <c r="AB86" i="11"/>
  <c r="AC69" i="11"/>
  <c r="DX128" i="4"/>
  <c r="DX129" i="4" s="1"/>
  <c r="DX130" i="4" s="1"/>
  <c r="AB88" i="11"/>
  <c r="AC83" i="11"/>
  <c r="AB77" i="10"/>
  <c r="AC79" i="10"/>
  <c r="Z133" i="10"/>
  <c r="AE126" i="10"/>
  <c r="Y166" i="10"/>
  <c r="AF72" i="10"/>
  <c r="AE63" i="10"/>
  <c r="AB129" i="10"/>
  <c r="U121" i="10"/>
  <c r="AD37" i="10"/>
  <c r="AA13" i="10"/>
  <c r="BX102" i="4"/>
  <c r="BX10" i="4"/>
  <c r="BT102" i="4"/>
  <c r="BT10" i="4"/>
  <c r="BP92" i="4"/>
  <c r="BP20" i="4"/>
  <c r="P173" i="10" s="1"/>
  <c r="BN102" i="4"/>
  <c r="BN10" i="4"/>
  <c r="BJ102" i="4"/>
  <c r="BJ10" i="4"/>
  <c r="BJ95" i="4"/>
  <c r="BO95" i="4" s="1"/>
  <c r="BT95" i="4" s="1"/>
  <c r="BY95" i="4" s="1"/>
  <c r="CD95" i="4" s="1"/>
  <c r="BJ94" i="4"/>
  <c r="BO94" i="4" s="1"/>
  <c r="BT94" i="4" s="1"/>
  <c r="BY94" i="4" s="1"/>
  <c r="CD94" i="4" s="1"/>
  <c r="BF102" i="4"/>
  <c r="BF10" i="4"/>
  <c r="BF94" i="4"/>
  <c r="BF95" i="4"/>
  <c r="BB102" i="4"/>
  <c r="BB10" i="4"/>
  <c r="BB94" i="4"/>
  <c r="BB95" i="4"/>
  <c r="AX102" i="4"/>
  <c r="AX10" i="4"/>
  <c r="AX94" i="4"/>
  <c r="AX95" i="4"/>
  <c r="AT102" i="4"/>
  <c r="AT10" i="4"/>
  <c r="AT94" i="4"/>
  <c r="AT95" i="4"/>
  <c r="AP102" i="4"/>
  <c r="AP10" i="4"/>
  <c r="AP94" i="4"/>
  <c r="AP95" i="4"/>
  <c r="AL102" i="4"/>
  <c r="AL10" i="4"/>
  <c r="AL95" i="4"/>
  <c r="AL94" i="4"/>
  <c r="AH102" i="4"/>
  <c r="AH10" i="4"/>
  <c r="AH94" i="4"/>
  <c r="AH95" i="4"/>
  <c r="AD102" i="4"/>
  <c r="AD10" i="4"/>
  <c r="AD94" i="4"/>
  <c r="AD95" i="4"/>
  <c r="Z102" i="4"/>
  <c r="Z10" i="4"/>
  <c r="Z94" i="4"/>
  <c r="Z95" i="4"/>
  <c r="V102" i="4"/>
  <c r="V95" i="4"/>
  <c r="V94" i="4"/>
  <c r="V10" i="4"/>
  <c r="R102" i="4"/>
  <c r="R10" i="4"/>
  <c r="R95" i="4"/>
  <c r="R94" i="4"/>
  <c r="N102" i="4"/>
  <c r="N95" i="4"/>
  <c r="N94" i="4"/>
  <c r="N10" i="4"/>
  <c r="J102" i="4"/>
  <c r="J95" i="4"/>
  <c r="J94" i="4"/>
  <c r="J10" i="4"/>
  <c r="F95" i="4"/>
  <c r="F94" i="4"/>
  <c r="F10" i="4"/>
  <c r="DN105" i="4"/>
  <c r="DS18" i="4"/>
  <c r="BK102" i="4"/>
  <c r="E94" i="4"/>
  <c r="E95" i="4"/>
  <c r="E10" i="4"/>
  <c r="CA92" i="4"/>
  <c r="CA20" i="4"/>
  <c r="BW92" i="4"/>
  <c r="BW20" i="4"/>
  <c r="BS92" i="4"/>
  <c r="BS20" i="4"/>
  <c r="BQ92" i="4"/>
  <c r="BQ20" i="4"/>
  <c r="BO92" i="4"/>
  <c r="BO20" i="4"/>
  <c r="BM92" i="4"/>
  <c r="BM20" i="4"/>
  <c r="BC92" i="4"/>
  <c r="BC20" i="4"/>
  <c r="BA92" i="4"/>
  <c r="BA20" i="4"/>
  <c r="M173" i="10" s="1"/>
  <c r="AO92" i="4"/>
  <c r="AO20" i="4"/>
  <c r="AI92" i="4"/>
  <c r="AI20" i="4"/>
  <c r="AC92" i="4"/>
  <c r="AC20" i="4"/>
  <c r="AA92" i="4"/>
  <c r="AA20" i="4"/>
  <c r="Y92" i="4"/>
  <c r="Y20" i="4"/>
  <c r="I92" i="4"/>
  <c r="I20" i="4"/>
  <c r="EC43" i="4"/>
  <c r="EH44" i="4"/>
  <c r="EC35" i="4"/>
  <c r="DN26" i="4"/>
  <c r="EH58" i="4"/>
  <c r="EC57" i="4"/>
  <c r="EH49" i="4"/>
  <c r="EC48" i="4"/>
  <c r="BV102" i="4"/>
  <c r="BV10" i="4"/>
  <c r="BR102" i="4"/>
  <c r="BR10" i="4"/>
  <c r="BR94" i="4"/>
  <c r="BW94" i="4" s="1"/>
  <c r="CB94" i="4" s="1"/>
  <c r="BR95" i="4"/>
  <c r="BW95" i="4" s="1"/>
  <c r="CB95" i="4" s="1"/>
  <c r="BL102" i="4"/>
  <c r="BL10" i="4"/>
  <c r="BL95" i="4"/>
  <c r="BL94" i="4"/>
  <c r="BH102" i="4"/>
  <c r="BH10" i="4"/>
  <c r="BH95" i="4"/>
  <c r="BH94" i="4"/>
  <c r="BD102" i="4"/>
  <c r="BD10" i="4"/>
  <c r="BD94" i="4"/>
  <c r="BD95" i="4"/>
  <c r="AZ102" i="4"/>
  <c r="AZ10" i="4"/>
  <c r="AZ95" i="4"/>
  <c r="AZ94" i="4"/>
  <c r="AV102" i="4"/>
  <c r="AV10" i="4"/>
  <c r="AV94" i="4"/>
  <c r="AV95" i="4"/>
  <c r="AR102" i="4"/>
  <c r="AR10" i="4"/>
  <c r="AR94" i="4"/>
  <c r="AR95" i="4"/>
  <c r="AN102" i="4"/>
  <c r="AN10" i="4"/>
  <c r="AN94" i="4"/>
  <c r="AN95" i="4"/>
  <c r="AJ102" i="4"/>
  <c r="AJ10" i="4"/>
  <c r="AJ95" i="4"/>
  <c r="AJ94" i="4"/>
  <c r="AF102" i="4"/>
  <c r="AF10" i="4"/>
  <c r="AF95" i="4"/>
  <c r="AF94" i="4"/>
  <c r="AB102" i="4"/>
  <c r="AB10" i="4"/>
  <c r="AB95" i="4"/>
  <c r="AB94" i="4"/>
  <c r="X102" i="4"/>
  <c r="X10" i="4"/>
  <c r="X94" i="4"/>
  <c r="X95" i="4"/>
  <c r="T102" i="4"/>
  <c r="T95" i="4"/>
  <c r="T94" i="4"/>
  <c r="T10" i="4"/>
  <c r="P102" i="4"/>
  <c r="P10" i="4"/>
  <c r="P95" i="4"/>
  <c r="P94" i="4"/>
  <c r="L102" i="4"/>
  <c r="L95" i="4"/>
  <c r="L94" i="4"/>
  <c r="L10" i="4"/>
  <c r="H102" i="4"/>
  <c r="H10" i="4"/>
  <c r="H94" i="4"/>
  <c r="H95" i="4"/>
  <c r="D95" i="4"/>
  <c r="D94" i="4"/>
  <c r="D10" i="4"/>
  <c r="DN104" i="4"/>
  <c r="DS12" i="4"/>
  <c r="DN36" i="4"/>
  <c r="BU92" i="4"/>
  <c r="BU20" i="4"/>
  <c r="Q173" i="10" s="1"/>
  <c r="BK92" i="4"/>
  <c r="BK20" i="4"/>
  <c r="O173" i="10" s="1"/>
  <c r="G94" i="4"/>
  <c r="G95" i="4"/>
  <c r="G10" i="4"/>
  <c r="C95" i="4"/>
  <c r="C10" i="4"/>
  <c r="C94" i="4"/>
  <c r="CA102" i="4"/>
  <c r="BW102" i="4"/>
  <c r="BS102" i="4"/>
  <c r="BQ102" i="4"/>
  <c r="BO102" i="4"/>
  <c r="BM102" i="4"/>
  <c r="BI102" i="4"/>
  <c r="BG102" i="4"/>
  <c r="BE102" i="4"/>
  <c r="BC102" i="4"/>
  <c r="BA102" i="4"/>
  <c r="AY102" i="4"/>
  <c r="AW102" i="4"/>
  <c r="AU102" i="4"/>
  <c r="AS102" i="4"/>
  <c r="AQ102" i="4"/>
  <c r="AO102" i="4"/>
  <c r="AM102" i="4"/>
  <c r="AK102" i="4"/>
  <c r="AI102" i="4"/>
  <c r="AG102" i="4"/>
  <c r="AE102" i="4"/>
  <c r="AC102" i="4"/>
  <c r="AA102" i="4"/>
  <c r="Y102" i="4"/>
  <c r="W102" i="4"/>
  <c r="S102" i="4"/>
  <c r="O102" i="4"/>
  <c r="M102" i="4"/>
  <c r="K102" i="4"/>
  <c r="AM13" i="12" l="1"/>
  <c r="AA101" i="14"/>
  <c r="AC205" i="14"/>
  <c r="AC94" i="14"/>
  <c r="AD37" i="14"/>
  <c r="Q92" i="4"/>
  <c r="CH168" i="1"/>
  <c r="CH191" i="1" s="1"/>
  <c r="CG168" i="1"/>
  <c r="CG191" i="1" s="1"/>
  <c r="CF168" i="1"/>
  <c r="CF191" i="1" s="1"/>
  <c r="CI168" i="1"/>
  <c r="CI191" i="1" s="1"/>
  <c r="AD56" i="14"/>
  <c r="CF22" i="4"/>
  <c r="CH22" i="4"/>
  <c r="CG22" i="4"/>
  <c r="AB45" i="14"/>
  <c r="W93" i="19"/>
  <c r="V91" i="20"/>
  <c r="T95" i="19"/>
  <c r="T101" i="19" s="1"/>
  <c r="AZ263" i="12"/>
  <c r="AY265" i="12"/>
  <c r="M92" i="4"/>
  <c r="AG92" i="4"/>
  <c r="Y115" i="19"/>
  <c r="X118" i="19"/>
  <c r="AE165" i="10"/>
  <c r="AD17" i="10"/>
  <c r="AW20" i="4"/>
  <c r="AW96" i="4" s="1"/>
  <c r="DN135" i="1"/>
  <c r="DQ135" i="1"/>
  <c r="AM92" i="4"/>
  <c r="BI20" i="4"/>
  <c r="BI24" i="4" s="1"/>
  <c r="AY20" i="4"/>
  <c r="AY96" i="4" s="1"/>
  <c r="S92" i="4"/>
  <c r="AS20" i="4"/>
  <c r="AS96" i="4" s="1"/>
  <c r="BE92" i="4"/>
  <c r="W92" i="4"/>
  <c r="AK20" i="4"/>
  <c r="AK24" i="4" s="1"/>
  <c r="X46" i="14"/>
  <c r="X47" i="14" s="1"/>
  <c r="T213" i="14"/>
  <c r="U214" i="14" s="1"/>
  <c r="AQ20" i="4"/>
  <c r="K173" i="10" s="1"/>
  <c r="K92" i="4"/>
  <c r="U92" i="4"/>
  <c r="AE20" i="4"/>
  <c r="AE110" i="4" s="1"/>
  <c r="AE97" i="4" s="1"/>
  <c r="BG20" i="4"/>
  <c r="BG110" i="4" s="1"/>
  <c r="BG97" i="4" s="1"/>
  <c r="AU20" i="4"/>
  <c r="AU110" i="4" s="1"/>
  <c r="AU97" i="4" s="1"/>
  <c r="O20" i="4"/>
  <c r="O110" i="4" s="1"/>
  <c r="O97" i="4" s="1"/>
  <c r="S91" i="18"/>
  <c r="S96" i="18" s="1"/>
  <c r="S102" i="18" s="1"/>
  <c r="AU320" i="12"/>
  <c r="AZ313" i="12"/>
  <c r="AY315" i="12"/>
  <c r="X81" i="19"/>
  <c r="X80" i="19" s="1"/>
  <c r="AA49" i="10"/>
  <c r="AA71" i="10" s="1"/>
  <c r="AA24" i="10" s="1"/>
  <c r="Z79" i="11"/>
  <c r="AA79" i="11"/>
  <c r="Z174" i="10"/>
  <c r="AC7" i="11"/>
  <c r="AC90" i="11" s="1"/>
  <c r="AC109" i="11"/>
  <c r="EC118" i="1"/>
  <c r="DU118" i="1"/>
  <c r="DV118" i="1"/>
  <c r="DT118" i="1"/>
  <c r="DW118" i="1"/>
  <c r="X63" i="20"/>
  <c r="U65" i="20"/>
  <c r="U28" i="20"/>
  <c r="U36" i="20" s="1"/>
  <c r="V25" i="20"/>
  <c r="T80" i="20"/>
  <c r="T84" i="20"/>
  <c r="T83" i="20"/>
  <c r="U82" i="20"/>
  <c r="Y89" i="20"/>
  <c r="N54" i="20"/>
  <c r="O33" i="20"/>
  <c r="O30" i="20" s="1"/>
  <c r="O38" i="20" s="1"/>
  <c r="P32" i="20"/>
  <c r="O29" i="20"/>
  <c r="O37" i="20" s="1"/>
  <c r="T16" i="20"/>
  <c r="Y40" i="20"/>
  <c r="V75" i="20"/>
  <c r="U77" i="20"/>
  <c r="U76" i="20"/>
  <c r="G13" i="20"/>
  <c r="G10" i="20" s="1"/>
  <c r="G54" i="20"/>
  <c r="H53" i="20" s="1"/>
  <c r="S87" i="20"/>
  <c r="W41" i="20"/>
  <c r="X39" i="20"/>
  <c r="Z78" i="20"/>
  <c r="Y79" i="20"/>
  <c r="I30" i="19"/>
  <c r="I38" i="19" s="1"/>
  <c r="I28" i="19"/>
  <c r="I36" i="19" s="1"/>
  <c r="I26" i="19"/>
  <c r="I27" i="19"/>
  <c r="I23" i="19"/>
  <c r="I29" i="19"/>
  <c r="I37" i="19" s="1"/>
  <c r="U82" i="19"/>
  <c r="F27" i="19"/>
  <c r="F19" i="19"/>
  <c r="M54" i="19"/>
  <c r="U89" i="19"/>
  <c r="Y88" i="19"/>
  <c r="Z87" i="19"/>
  <c r="Z88" i="19" s="1"/>
  <c r="V77" i="19"/>
  <c r="V78" i="19" s="1"/>
  <c r="V76" i="19"/>
  <c r="W75" i="19"/>
  <c r="E26" i="19"/>
  <c r="D10" i="19"/>
  <c r="E9" i="19"/>
  <c r="E15" i="19"/>
  <c r="N33" i="19"/>
  <c r="N30" i="19" s="1"/>
  <c r="N38" i="19" s="1"/>
  <c r="O32" i="19"/>
  <c r="N29" i="19"/>
  <c r="N37" i="19" s="1"/>
  <c r="V92" i="19"/>
  <c r="V90" i="20" s="1"/>
  <c r="R31" i="19"/>
  <c r="Q28" i="19"/>
  <c r="Q36" i="19" s="1"/>
  <c r="W41" i="19"/>
  <c r="X39" i="19"/>
  <c r="V85" i="19"/>
  <c r="W84" i="19"/>
  <c r="V86" i="19"/>
  <c r="X91" i="19"/>
  <c r="Y40" i="19"/>
  <c r="T65" i="19"/>
  <c r="U25" i="19"/>
  <c r="S16" i="19"/>
  <c r="Y81" i="18"/>
  <c r="Y79" i="19" s="1"/>
  <c r="Y81" i="19" s="1"/>
  <c r="Y80" i="19" s="1"/>
  <c r="X83" i="18"/>
  <c r="X82" i="18" s="1"/>
  <c r="Y62" i="18"/>
  <c r="X90" i="18"/>
  <c r="Y89" i="18"/>
  <c r="Y85" i="20" s="1"/>
  <c r="Y86" i="20" s="1"/>
  <c r="X93" i="18"/>
  <c r="W33" i="18"/>
  <c r="X32" i="18"/>
  <c r="H36" i="18"/>
  <c r="H25" i="18"/>
  <c r="Z40" i="18"/>
  <c r="U16" i="18"/>
  <c r="T84" i="18"/>
  <c r="T87" i="18"/>
  <c r="U86" i="18"/>
  <c r="T88" i="18"/>
  <c r="Y120" i="18"/>
  <c r="Y117" i="18" s="1"/>
  <c r="U79" i="18"/>
  <c r="U78" i="18"/>
  <c r="V77" i="18"/>
  <c r="U80" i="18"/>
  <c r="X41" i="18"/>
  <c r="Y39" i="18"/>
  <c r="AN11" i="12"/>
  <c r="AM9" i="12"/>
  <c r="AQ246" i="12"/>
  <c r="AQ23" i="12"/>
  <c r="AR24" i="12"/>
  <c r="AZ50" i="12"/>
  <c r="AZ48" i="12"/>
  <c r="BA49" i="12"/>
  <c r="AZ51" i="12"/>
  <c r="AZ70" i="12" s="1"/>
  <c r="P304" i="12"/>
  <c r="O303" i="12"/>
  <c r="AX478" i="12"/>
  <c r="AW477" i="12"/>
  <c r="L359" i="12"/>
  <c r="L364" i="12" s="1"/>
  <c r="L300" i="12"/>
  <c r="AD65" i="12"/>
  <c r="AH43" i="12"/>
  <c r="AH69" i="12" s="1"/>
  <c r="AD69" i="12"/>
  <c r="AL174" i="12"/>
  <c r="AL178" i="12" s="1"/>
  <c r="AL179" i="12" s="1"/>
  <c r="AL43" i="12"/>
  <c r="AL69" i="12" s="1"/>
  <c r="AL194" i="12"/>
  <c r="AL198" i="12" s="1"/>
  <c r="AL199" i="12" s="1"/>
  <c r="AL51" i="12"/>
  <c r="AG65" i="12"/>
  <c r="AY387" i="12"/>
  <c r="AZ177" i="12"/>
  <c r="AU220" i="12"/>
  <c r="AU208" i="12"/>
  <c r="AK244" i="12"/>
  <c r="AK241" i="12"/>
  <c r="AK243" i="12"/>
  <c r="AL237" i="12"/>
  <c r="AK153" i="12"/>
  <c r="AK157" i="12" s="1"/>
  <c r="AK158" i="12" s="1"/>
  <c r="AK35" i="12"/>
  <c r="AK68" i="12" s="1"/>
  <c r="AK184" i="12"/>
  <c r="AK188" i="12" s="1"/>
  <c r="AK189" i="12" s="1"/>
  <c r="AK47" i="12"/>
  <c r="AK164" i="12"/>
  <c r="AK168" i="12" s="1"/>
  <c r="AK169" i="12" s="1"/>
  <c r="AK39" i="12"/>
  <c r="AP244" i="12"/>
  <c r="AI184" i="12"/>
  <c r="AI188" i="12" s="1"/>
  <c r="AI189" i="12" s="1"/>
  <c r="AI47" i="12"/>
  <c r="AM77" i="12"/>
  <c r="AM184" i="12" s="1"/>
  <c r="AM188" i="12" s="1"/>
  <c r="AM189" i="12" s="1"/>
  <c r="AN189" i="12" s="1"/>
  <c r="AI164" i="12"/>
  <c r="AI168" i="12" s="1"/>
  <c r="AI169" i="12" s="1"/>
  <c r="AI39" i="12"/>
  <c r="AM75" i="12"/>
  <c r="AM164" i="12" s="1"/>
  <c r="AM168" i="12" s="1"/>
  <c r="AM59" i="12"/>
  <c r="AT230" i="12"/>
  <c r="AT228" i="12" s="1"/>
  <c r="AT218" i="12"/>
  <c r="AZ31" i="12"/>
  <c r="BA117" i="12"/>
  <c r="BA115" i="12"/>
  <c r="BA118" i="12"/>
  <c r="O250" i="12"/>
  <c r="N249" i="12"/>
  <c r="AV309" i="12"/>
  <c r="AU311" i="12"/>
  <c r="AW200" i="12"/>
  <c r="AX190" i="12"/>
  <c r="AK174" i="12"/>
  <c r="AK178" i="12" s="1"/>
  <c r="AK179" i="12" s="1"/>
  <c r="AK43" i="12"/>
  <c r="AK69" i="12" s="1"/>
  <c r="AK194" i="12"/>
  <c r="AK198" i="12" s="1"/>
  <c r="AK199" i="12" s="1"/>
  <c r="AK51" i="12"/>
  <c r="AK70" i="12" s="1"/>
  <c r="AV433" i="12"/>
  <c r="AC471" i="12"/>
  <c r="AH471" i="12" s="1"/>
  <c r="AM471" i="12" s="1"/>
  <c r="AI83" i="12"/>
  <c r="AI139" i="12" s="1"/>
  <c r="AI140" i="12" s="1"/>
  <c r="AI31" i="12"/>
  <c r="AM73" i="12"/>
  <c r="AI194" i="12"/>
  <c r="AI198" i="12" s="1"/>
  <c r="AI199" i="12" s="1"/>
  <c r="AM78" i="12"/>
  <c r="AM194" i="12" s="1"/>
  <c r="AM198" i="12" s="1"/>
  <c r="AM199" i="12" s="1"/>
  <c r="AN199" i="12" s="1"/>
  <c r="AI51" i="12"/>
  <c r="AI174" i="12"/>
  <c r="AI178" i="12" s="1"/>
  <c r="AI179" i="12" s="1"/>
  <c r="AM76" i="12"/>
  <c r="AM174" i="12" s="1"/>
  <c r="AM178" i="12" s="1"/>
  <c r="AM179" i="12" s="1"/>
  <c r="AN179" i="12" s="1"/>
  <c r="AI43" i="12"/>
  <c r="AI153" i="12"/>
  <c r="AI157" i="12" s="1"/>
  <c r="AI158" i="12" s="1"/>
  <c r="AM74" i="12"/>
  <c r="AM153" i="12" s="1"/>
  <c r="AM157" i="12" s="1"/>
  <c r="AM158" i="12" s="1"/>
  <c r="AN158" i="12" s="1"/>
  <c r="AI35" i="12"/>
  <c r="AW307" i="12"/>
  <c r="AX340" i="12"/>
  <c r="AW104" i="12"/>
  <c r="AV106" i="12"/>
  <c r="AP245" i="12"/>
  <c r="AP243" i="12" s="1"/>
  <c r="AJ194" i="12"/>
  <c r="AJ198" i="12" s="1"/>
  <c r="AJ199" i="12" s="1"/>
  <c r="AJ51" i="12"/>
  <c r="AJ153" i="12"/>
  <c r="AJ157" i="12" s="1"/>
  <c r="AJ158" i="12" s="1"/>
  <c r="AJ35" i="12"/>
  <c r="AJ68" i="12" s="1"/>
  <c r="N348" i="12"/>
  <c r="N347" i="12"/>
  <c r="N385" i="12" s="1"/>
  <c r="N346" i="12"/>
  <c r="N377" i="12" s="1"/>
  <c r="N345" i="12"/>
  <c r="N369" i="12" s="1"/>
  <c r="N344" i="12"/>
  <c r="N353" i="12"/>
  <c r="AY113" i="12"/>
  <c r="AY111" i="12"/>
  <c r="AZ112" i="12"/>
  <c r="AY114" i="12"/>
  <c r="AR6" i="12"/>
  <c r="AD70" i="12"/>
  <c r="AH47" i="12"/>
  <c r="AH70" i="12" s="1"/>
  <c r="AH83" i="12"/>
  <c r="AH139" i="12" s="1"/>
  <c r="AH140" i="12" s="1"/>
  <c r="AH145" i="12"/>
  <c r="AH150" i="12" s="1"/>
  <c r="AC470" i="12"/>
  <c r="AC462" i="12"/>
  <c r="BA271" i="12"/>
  <c r="BA273" i="12" s="1"/>
  <c r="AZ273" i="12"/>
  <c r="AY394" i="12"/>
  <c r="AZ186" i="12"/>
  <c r="AW109" i="12"/>
  <c r="AW107" i="12"/>
  <c r="AX108" i="12"/>
  <c r="AW110" i="12"/>
  <c r="AQ237" i="12"/>
  <c r="AR234" i="12"/>
  <c r="AM55" i="12"/>
  <c r="S470" i="12"/>
  <c r="S471" i="12" s="1"/>
  <c r="S472" i="12" s="1"/>
  <c r="S462" i="12"/>
  <c r="AJ83" i="12"/>
  <c r="AJ139" i="12" s="1"/>
  <c r="AJ140" i="12" s="1"/>
  <c r="AJ31" i="12"/>
  <c r="AJ164" i="12"/>
  <c r="AJ168" i="12" s="1"/>
  <c r="AJ169" i="12" s="1"/>
  <c r="AJ39" i="12"/>
  <c r="AJ184" i="12"/>
  <c r="AJ188" i="12" s="1"/>
  <c r="AJ189" i="12" s="1"/>
  <c r="AJ47" i="12"/>
  <c r="AJ174" i="12"/>
  <c r="AJ178" i="12" s="1"/>
  <c r="AJ179" i="12" s="1"/>
  <c r="AJ43" i="12"/>
  <c r="AJ69" i="12" s="1"/>
  <c r="M354" i="12"/>
  <c r="M360" i="12"/>
  <c r="AC65" i="12"/>
  <c r="M293" i="12"/>
  <c r="M292" i="12"/>
  <c r="M376" i="12" s="1"/>
  <c r="M380" i="12" s="1"/>
  <c r="M291" i="12"/>
  <c r="M368" i="12" s="1"/>
  <c r="M372" i="12" s="1"/>
  <c r="M290" i="12"/>
  <c r="M299" i="12"/>
  <c r="AL83" i="12"/>
  <c r="AL139" i="12" s="1"/>
  <c r="AL140" i="12" s="1"/>
  <c r="AL31" i="12"/>
  <c r="AL153" i="12"/>
  <c r="AL157" i="12" s="1"/>
  <c r="AL158" i="12" s="1"/>
  <c r="AL35" i="12"/>
  <c r="AL68" i="12" s="1"/>
  <c r="AL164" i="12"/>
  <c r="AL168" i="12" s="1"/>
  <c r="AL169" i="12" s="1"/>
  <c r="AL39" i="12"/>
  <c r="AL184" i="12"/>
  <c r="AL188" i="12" s="1"/>
  <c r="AL189" i="12" s="1"/>
  <c r="AL47" i="12"/>
  <c r="AT341" i="12"/>
  <c r="AV210" i="12"/>
  <c r="AE65" i="12"/>
  <c r="AK83" i="12"/>
  <c r="AK139" i="12" s="1"/>
  <c r="AK140" i="12" s="1"/>
  <c r="AK31" i="12"/>
  <c r="AK65" i="12" s="1"/>
  <c r="AF65" i="12"/>
  <c r="K364" i="12"/>
  <c r="AD68" i="12"/>
  <c r="AH35" i="12"/>
  <c r="AH68" i="12" s="1"/>
  <c r="AH39" i="12"/>
  <c r="AU90" i="12"/>
  <c r="AT124" i="12"/>
  <c r="AB100" i="14"/>
  <c r="AB40" i="11"/>
  <c r="AD8" i="14"/>
  <c r="AD192" i="14"/>
  <c r="AD82" i="14"/>
  <c r="AE25" i="14"/>
  <c r="X131" i="14"/>
  <c r="W171" i="14"/>
  <c r="X135" i="14"/>
  <c r="W175" i="14"/>
  <c r="X177" i="14"/>
  <c r="Y138" i="14"/>
  <c r="AB99" i="14"/>
  <c r="Y169" i="14"/>
  <c r="X208" i="14"/>
  <c r="Y30" i="10"/>
  <c r="Y26" i="10"/>
  <c r="AD6" i="14"/>
  <c r="AC182" i="11"/>
  <c r="Y178" i="14"/>
  <c r="Z139" i="14"/>
  <c r="V210" i="14"/>
  <c r="AC43" i="14"/>
  <c r="AC7" i="14"/>
  <c r="AB195" i="11"/>
  <c r="Y136" i="14"/>
  <c r="X176" i="14"/>
  <c r="Y134" i="14"/>
  <c r="X174" i="14"/>
  <c r="Y187" i="14"/>
  <c r="Z137" i="14"/>
  <c r="Z151" i="14"/>
  <c r="Y191" i="14"/>
  <c r="Y132" i="14"/>
  <c r="X172" i="14"/>
  <c r="Y148" i="14"/>
  <c r="AA168" i="14"/>
  <c r="Z207" i="14"/>
  <c r="X133" i="14"/>
  <c r="W173" i="14"/>
  <c r="AD93" i="14"/>
  <c r="AC93" i="14"/>
  <c r="AC39" i="11" s="1"/>
  <c r="AD95" i="14"/>
  <c r="AE38" i="14"/>
  <c r="AE206" i="14" s="1"/>
  <c r="AD42" i="14"/>
  <c r="AA1" i="14"/>
  <c r="Z55" i="14"/>
  <c r="Z57" i="14" s="1"/>
  <c r="Z32" i="10" s="1"/>
  <c r="Z187" i="10" s="1"/>
  <c r="Z54" i="14"/>
  <c r="AC5" i="14"/>
  <c r="AB169" i="11"/>
  <c r="U212" i="14"/>
  <c r="CO22" i="4"/>
  <c r="AC9" i="14"/>
  <c r="AD4" i="14"/>
  <c r="AC156" i="11"/>
  <c r="AE24" i="14"/>
  <c r="AD81" i="14"/>
  <c r="DX155" i="1"/>
  <c r="BP190" i="1"/>
  <c r="BU167" i="1"/>
  <c r="BL167" i="1"/>
  <c r="BI177" i="1"/>
  <c r="BJ153" i="1"/>
  <c r="CT154" i="1"/>
  <c r="CB193" i="1"/>
  <c r="CC170" i="1"/>
  <c r="BG192" i="1"/>
  <c r="BH169" i="1"/>
  <c r="CA191" i="1"/>
  <c r="CB168" i="1"/>
  <c r="DV112" i="1"/>
  <c r="DT112" i="1"/>
  <c r="EC112" i="1"/>
  <c r="DW112" i="1"/>
  <c r="DU112" i="1"/>
  <c r="ER121" i="1"/>
  <c r="EL121" i="1"/>
  <c r="EJ121" i="1"/>
  <c r="EK121" i="1"/>
  <c r="EI121" i="1"/>
  <c r="EC194" i="1"/>
  <c r="EH171" i="1"/>
  <c r="DX162" i="1"/>
  <c r="ED135" i="1"/>
  <c r="BL175" i="1"/>
  <c r="BM151" i="1"/>
  <c r="EM157" i="1"/>
  <c r="ER172" i="1"/>
  <c r="DX152" i="1"/>
  <c r="ER156" i="1"/>
  <c r="ER158" i="1"/>
  <c r="EH161" i="1"/>
  <c r="EH160" i="1"/>
  <c r="EM159" i="1"/>
  <c r="CJ191" i="1"/>
  <c r="CO168" i="1"/>
  <c r="CE5" i="4"/>
  <c r="BS191" i="1"/>
  <c r="BT168" i="1"/>
  <c r="BT191" i="1" s="1"/>
  <c r="DV115" i="1"/>
  <c r="DT115" i="1"/>
  <c r="EC115" i="1"/>
  <c r="DW115" i="1"/>
  <c r="DU115" i="1"/>
  <c r="CC154" i="1"/>
  <c r="CT170" i="1"/>
  <c r="BU175" i="1"/>
  <c r="BZ151" i="1"/>
  <c r="BQ151" i="1"/>
  <c r="EH84" i="1"/>
  <c r="EH195" i="1" s="1"/>
  <c r="EL135" i="1"/>
  <c r="AF22" i="11"/>
  <c r="L53" i="11"/>
  <c r="M48" i="11"/>
  <c r="M49" i="11" s="1"/>
  <c r="AD83" i="11"/>
  <c r="AB99" i="11"/>
  <c r="AB42" i="11"/>
  <c r="AC152" i="11"/>
  <c r="AD69" i="11"/>
  <c r="AC86" i="11"/>
  <c r="EC128" i="4"/>
  <c r="EC129" i="4" s="1"/>
  <c r="EC130" i="4" s="1"/>
  <c r="AC88" i="11"/>
  <c r="AE37" i="10"/>
  <c r="AC129" i="10"/>
  <c r="AF63" i="10"/>
  <c r="AD79" i="10"/>
  <c r="AC77" i="10"/>
  <c r="V121" i="10"/>
  <c r="Y168" i="10"/>
  <c r="Z167" i="10"/>
  <c r="Z166" i="10" s="1"/>
  <c r="Y15" i="10"/>
  <c r="Y183" i="10" s="1"/>
  <c r="AF126" i="10"/>
  <c r="AA133" i="10"/>
  <c r="AB13" i="10"/>
  <c r="K110" i="4"/>
  <c r="K97" i="4" s="1"/>
  <c r="K96" i="4"/>
  <c r="K24" i="4"/>
  <c r="C92" i="4"/>
  <c r="C20" i="4"/>
  <c r="BK110" i="4"/>
  <c r="O49" i="14" s="1"/>
  <c r="O50" i="14" s="1"/>
  <c r="BK96" i="4"/>
  <c r="BU110" i="4"/>
  <c r="Q49" i="14" s="1"/>
  <c r="Q50" i="14" s="1"/>
  <c r="BU96" i="4"/>
  <c r="BU24" i="4"/>
  <c r="BU28" i="4" s="1"/>
  <c r="BU30" i="4" s="1"/>
  <c r="Q51" i="10" s="1"/>
  <c r="DS104" i="4"/>
  <c r="DX12" i="4"/>
  <c r="DS36" i="4"/>
  <c r="H92" i="4"/>
  <c r="H20" i="4"/>
  <c r="L92" i="4"/>
  <c r="L20" i="4"/>
  <c r="P92" i="4"/>
  <c r="P20" i="4"/>
  <c r="T92" i="4"/>
  <c r="T20" i="4"/>
  <c r="X92" i="4"/>
  <c r="X20" i="4"/>
  <c r="AB92" i="4"/>
  <c r="AB20" i="4"/>
  <c r="AF92" i="4"/>
  <c r="AF20" i="4"/>
  <c r="AJ92" i="4"/>
  <c r="AJ20" i="4"/>
  <c r="AN92" i="4"/>
  <c r="AN20" i="4"/>
  <c r="AR92" i="4"/>
  <c r="AR20" i="4"/>
  <c r="AV92" i="4"/>
  <c r="AV20" i="4"/>
  <c r="L173" i="10" s="1"/>
  <c r="AZ92" i="4"/>
  <c r="AZ20" i="4"/>
  <c r="BD92" i="4"/>
  <c r="BD20" i="4"/>
  <c r="BH92" i="4"/>
  <c r="BH20" i="4"/>
  <c r="BL92" i="4"/>
  <c r="BL20" i="4"/>
  <c r="BR92" i="4"/>
  <c r="BR20" i="4"/>
  <c r="BV92" i="4"/>
  <c r="BV20" i="4"/>
  <c r="DS105" i="4"/>
  <c r="DX18" i="4"/>
  <c r="F92" i="4"/>
  <c r="F20" i="4"/>
  <c r="G92" i="4"/>
  <c r="G20" i="4"/>
  <c r="D92" i="4"/>
  <c r="D20" i="4"/>
  <c r="EM49" i="4"/>
  <c r="EH48" i="4"/>
  <c r="EM58" i="4"/>
  <c r="EH57" i="4"/>
  <c r="DS26" i="4"/>
  <c r="EH43" i="4"/>
  <c r="EH35" i="4"/>
  <c r="EM44" i="4"/>
  <c r="I110" i="4"/>
  <c r="I97" i="4" s="1"/>
  <c r="I96" i="4"/>
  <c r="I24" i="4"/>
  <c r="M110" i="4"/>
  <c r="M96" i="4"/>
  <c r="M24" i="4"/>
  <c r="Q110" i="4"/>
  <c r="Q97" i="4" s="1"/>
  <c r="Q96" i="4"/>
  <c r="Q24" i="4"/>
  <c r="S110" i="4"/>
  <c r="S97" i="4" s="1"/>
  <c r="S96" i="4"/>
  <c r="S24" i="4"/>
  <c r="U110" i="4"/>
  <c r="U97" i="4" s="1"/>
  <c r="U96" i="4"/>
  <c r="U24" i="4"/>
  <c r="W110" i="4"/>
  <c r="W96" i="4"/>
  <c r="W24" i="4"/>
  <c r="Y110" i="4"/>
  <c r="Y97" i="4" s="1"/>
  <c r="Y96" i="4"/>
  <c r="Y24" i="4"/>
  <c r="AA110" i="4"/>
  <c r="AA97" i="4" s="1"/>
  <c r="AA96" i="4"/>
  <c r="AA24" i="4"/>
  <c r="AC110" i="4"/>
  <c r="AC97" i="4" s="1"/>
  <c r="AC96" i="4"/>
  <c r="AC24" i="4"/>
  <c r="AG110" i="4"/>
  <c r="AG96" i="4"/>
  <c r="AG24" i="4"/>
  <c r="AI110" i="4"/>
  <c r="AI97" i="4" s="1"/>
  <c r="AI96" i="4"/>
  <c r="AI24" i="4"/>
  <c r="AM110" i="4"/>
  <c r="AM97" i="4" s="1"/>
  <c r="AM96" i="4"/>
  <c r="AM24" i="4"/>
  <c r="AO110" i="4"/>
  <c r="AO97" i="4" s="1"/>
  <c r="AO96" i="4"/>
  <c r="AO24" i="4"/>
  <c r="AS110" i="4"/>
  <c r="AS97" i="4" s="1"/>
  <c r="BA110" i="4"/>
  <c r="M49" i="14" s="1"/>
  <c r="M50" i="14" s="1"/>
  <c r="BA96" i="4"/>
  <c r="BA24" i="4"/>
  <c r="BC110" i="4"/>
  <c r="BC97" i="4" s="1"/>
  <c r="BC96" i="4"/>
  <c r="BC24" i="4"/>
  <c r="BE110" i="4"/>
  <c r="BE97" i="4" s="1"/>
  <c r="BE96" i="4"/>
  <c r="BE24" i="4"/>
  <c r="BM110" i="4"/>
  <c r="BM97" i="4" s="1"/>
  <c r="BM96" i="4"/>
  <c r="BM24" i="4"/>
  <c r="BO110" i="4"/>
  <c r="BO97" i="4" s="1"/>
  <c r="BO96" i="4"/>
  <c r="BO24" i="4"/>
  <c r="BO28" i="4" s="1"/>
  <c r="BO30" i="4" s="1"/>
  <c r="BQ110" i="4"/>
  <c r="BQ97" i="4" s="1"/>
  <c r="BQ96" i="4"/>
  <c r="BQ24" i="4"/>
  <c r="BS110" i="4"/>
  <c r="BS97" i="4" s="1"/>
  <c r="BS96" i="4"/>
  <c r="BS24" i="4"/>
  <c r="BS28" i="4" s="1"/>
  <c r="BS30" i="4" s="1"/>
  <c r="BW110" i="4"/>
  <c r="BW97" i="4" s="1"/>
  <c r="BW96" i="4"/>
  <c r="BW24" i="4"/>
  <c r="CA96" i="4"/>
  <c r="CA24" i="4"/>
  <c r="E92" i="4"/>
  <c r="E20" i="4"/>
  <c r="J92" i="4"/>
  <c r="J20" i="4"/>
  <c r="N92" i="4"/>
  <c r="N20" i="4"/>
  <c r="R92" i="4"/>
  <c r="R20" i="4"/>
  <c r="V92" i="4"/>
  <c r="V20" i="4"/>
  <c r="Z92" i="4"/>
  <c r="Z20" i="4"/>
  <c r="AD92" i="4"/>
  <c r="AD20" i="4"/>
  <c r="AH92" i="4"/>
  <c r="AH20" i="4"/>
  <c r="AL92" i="4"/>
  <c r="AL20" i="4"/>
  <c r="J173" i="10" s="1"/>
  <c r="AP92" i="4"/>
  <c r="AP20" i="4"/>
  <c r="AT92" i="4"/>
  <c r="AT20" i="4"/>
  <c r="AX92" i="4"/>
  <c r="AX20" i="4"/>
  <c r="BB92" i="4"/>
  <c r="BB20" i="4"/>
  <c r="BF92" i="4"/>
  <c r="BF20" i="4"/>
  <c r="N173" i="10" s="1"/>
  <c r="BJ92" i="4"/>
  <c r="BJ20" i="4"/>
  <c r="BN92" i="4"/>
  <c r="BN20" i="4"/>
  <c r="BP110" i="4"/>
  <c r="P49" i="14" s="1"/>
  <c r="P50" i="14" s="1"/>
  <c r="BP96" i="4"/>
  <c r="BP24" i="4"/>
  <c r="BP28" i="4" s="1"/>
  <c r="BP30" i="4" s="1"/>
  <c r="P51" i="10" s="1"/>
  <c r="BT92" i="4"/>
  <c r="BT20" i="4"/>
  <c r="BX92" i="4"/>
  <c r="BX20" i="4"/>
  <c r="AB101" i="14" l="1"/>
  <c r="AD205" i="14"/>
  <c r="AD94" i="14"/>
  <c r="AE37" i="14"/>
  <c r="AS24" i="4"/>
  <c r="BI110" i="4"/>
  <c r="BI97" i="4" s="1"/>
  <c r="AQ110" i="4"/>
  <c r="AW110" i="4"/>
  <c r="AW97" i="4" s="1"/>
  <c r="CI22" i="4"/>
  <c r="AC99" i="14"/>
  <c r="BI96" i="4"/>
  <c r="AC45" i="14"/>
  <c r="AZ265" i="12"/>
  <c r="BA263" i="12"/>
  <c r="BA265" i="12" s="1"/>
  <c r="X93" i="19"/>
  <c r="W91" i="20"/>
  <c r="AH65" i="12"/>
  <c r="U95" i="19"/>
  <c r="U101" i="19" s="1"/>
  <c r="AW24" i="4"/>
  <c r="Z115" i="19"/>
  <c r="Z118" i="19" s="1"/>
  <c r="Y118" i="19"/>
  <c r="AF165" i="10"/>
  <c r="AF17" i="10" s="1"/>
  <c r="AE17" i="10"/>
  <c r="AY110" i="4"/>
  <c r="AY97" i="4" s="1"/>
  <c r="DV135" i="1"/>
  <c r="DS135" i="1"/>
  <c r="S93" i="20"/>
  <c r="S99" i="20" s="1"/>
  <c r="AY24" i="4"/>
  <c r="AY26" i="4" s="1"/>
  <c r="BG195" i="1"/>
  <c r="BG172" i="1" s="1"/>
  <c r="AK96" i="4"/>
  <c r="AK110" i="4"/>
  <c r="AK97" i="4" s="1"/>
  <c r="BG24" i="4"/>
  <c r="BG28" i="4" s="1"/>
  <c r="BG30" i="4" s="1"/>
  <c r="BG96" i="4"/>
  <c r="AQ24" i="4"/>
  <c r="AQ28" i="4" s="1"/>
  <c r="AQ30" i="4" s="1"/>
  <c r="K51" i="10" s="1"/>
  <c r="AQ96" i="4"/>
  <c r="AU96" i="4"/>
  <c r="Y46" i="14"/>
  <c r="Y47" i="14" s="1"/>
  <c r="U213" i="14"/>
  <c r="V214" i="14" s="1"/>
  <c r="AE24" i="4"/>
  <c r="AE26" i="4" s="1"/>
  <c r="AE96" i="4"/>
  <c r="AU24" i="4"/>
  <c r="AU28" i="4" s="1"/>
  <c r="AU30" i="4" s="1"/>
  <c r="O24" i="4"/>
  <c r="O26" i="4" s="1"/>
  <c r="O96" i="4"/>
  <c r="BP106" i="4"/>
  <c r="AC469" i="12"/>
  <c r="AC480" i="12" s="1"/>
  <c r="AN471" i="12"/>
  <c r="AO471" i="12" s="1"/>
  <c r="AP471" i="12" s="1"/>
  <c r="AQ471" i="12" s="1"/>
  <c r="AR471" i="12" s="1"/>
  <c r="AS471" i="12" s="1"/>
  <c r="AT471" i="12" s="1"/>
  <c r="AU471" i="12" s="1"/>
  <c r="AV471" i="12" s="1"/>
  <c r="AW471" i="12" s="1"/>
  <c r="AX471" i="12" s="1"/>
  <c r="AY471" i="12" s="1"/>
  <c r="AZ471" i="12" s="1"/>
  <c r="BA471" i="12" s="1"/>
  <c r="Z154" i="10"/>
  <c r="Z5" i="11"/>
  <c r="BA313" i="12"/>
  <c r="BA315" i="12" s="1"/>
  <c r="AZ315" i="12"/>
  <c r="AD7" i="11"/>
  <c r="AD90" i="11" s="1"/>
  <c r="AD109" i="11"/>
  <c r="AA174" i="10"/>
  <c r="AB79" i="11"/>
  <c r="AB49" i="10"/>
  <c r="AB71" i="10" s="1"/>
  <c r="AB24" i="10" s="1"/>
  <c r="EH118" i="1"/>
  <c r="DZ118" i="1"/>
  <c r="EA118" i="1"/>
  <c r="DY118" i="1"/>
  <c r="EB118" i="1"/>
  <c r="Z79" i="20"/>
  <c r="X41" i="20"/>
  <c r="Y39" i="20"/>
  <c r="H59" i="20"/>
  <c r="U80" i="20"/>
  <c r="V77" i="20"/>
  <c r="V76" i="20"/>
  <c r="W75" i="20"/>
  <c r="Z40" i="20"/>
  <c r="U16" i="20"/>
  <c r="O54" i="20"/>
  <c r="T87" i="20"/>
  <c r="T93" i="20" s="1"/>
  <c r="T99" i="20" s="1"/>
  <c r="F10" i="20"/>
  <c r="G9" i="20"/>
  <c r="G15" i="20"/>
  <c r="G26" i="20"/>
  <c r="Q32" i="20"/>
  <c r="P33" i="20"/>
  <c r="P30" i="20" s="1"/>
  <c r="P38" i="20" s="1"/>
  <c r="P29" i="20"/>
  <c r="P37" i="20" s="1"/>
  <c r="Z89" i="20"/>
  <c r="U83" i="20"/>
  <c r="V82" i="20"/>
  <c r="U84" i="20"/>
  <c r="V65" i="20"/>
  <c r="V28" i="20"/>
  <c r="V36" i="20" s="1"/>
  <c r="W25" i="20"/>
  <c r="Y63" i="20"/>
  <c r="V89" i="19"/>
  <c r="N54" i="19"/>
  <c r="V82" i="19"/>
  <c r="V95" i="19" s="1"/>
  <c r="V101" i="19" s="1"/>
  <c r="T16" i="19"/>
  <c r="U65" i="19"/>
  <c r="V25" i="19"/>
  <c r="Z40" i="19"/>
  <c r="Y91" i="19"/>
  <c r="W86" i="19"/>
  <c r="W85" i="19"/>
  <c r="X84" i="19"/>
  <c r="X41" i="19"/>
  <c r="Y39" i="19"/>
  <c r="S31" i="19"/>
  <c r="R28" i="19"/>
  <c r="R36" i="19" s="1"/>
  <c r="W92" i="19"/>
  <c r="W90" i="20" s="1"/>
  <c r="P32" i="19"/>
  <c r="O33" i="19"/>
  <c r="O30" i="19" s="1"/>
  <c r="O38" i="19" s="1"/>
  <c r="O29" i="19"/>
  <c r="O37" i="19" s="1"/>
  <c r="E19" i="19"/>
  <c r="E27" i="19"/>
  <c r="D26" i="19"/>
  <c r="D9" i="19"/>
  <c r="C10" i="19"/>
  <c r="D15" i="19"/>
  <c r="W76" i="19"/>
  <c r="X75" i="19"/>
  <c r="W77" i="19"/>
  <c r="W78" i="19" s="1"/>
  <c r="I13" i="19"/>
  <c r="J10" i="19" s="1"/>
  <c r="I54" i="19"/>
  <c r="J53" i="19" s="1"/>
  <c r="Z39" i="18"/>
  <c r="Y41" i="18"/>
  <c r="V80" i="18"/>
  <c r="V78" i="18"/>
  <c r="W77" i="18"/>
  <c r="V79" i="18"/>
  <c r="U88" i="18"/>
  <c r="U87" i="18"/>
  <c r="V86" i="18"/>
  <c r="V16" i="18"/>
  <c r="H29" i="18"/>
  <c r="H37" i="18" s="1"/>
  <c r="H30" i="18"/>
  <c r="H38" i="18" s="1"/>
  <c r="H23" i="18"/>
  <c r="H18" i="18"/>
  <c r="X33" i="18"/>
  <c r="Y32" i="18"/>
  <c r="Y93" i="18"/>
  <c r="Y90" i="18"/>
  <c r="Z89" i="18"/>
  <c r="U84" i="18"/>
  <c r="Z120" i="18"/>
  <c r="Z117" i="18" s="1"/>
  <c r="T91" i="18"/>
  <c r="T96" i="18" s="1"/>
  <c r="T102" i="18" s="1"/>
  <c r="Z62" i="18"/>
  <c r="Y83" i="18"/>
  <c r="Y82" i="18" s="1"/>
  <c r="Z81" i="18"/>
  <c r="Z79" i="19" s="1"/>
  <c r="Z81" i="19" s="1"/>
  <c r="Z80" i="19" s="1"/>
  <c r="K474" i="12"/>
  <c r="K475" i="12" s="1"/>
  <c r="K481" i="12" s="1"/>
  <c r="K463" i="12"/>
  <c r="K465" i="12" s="1"/>
  <c r="AV220" i="12"/>
  <c r="AV208" i="12"/>
  <c r="M359" i="12"/>
  <c r="M364" i="12" s="1"/>
  <c r="M300" i="12"/>
  <c r="AS234" i="12"/>
  <c r="AR237" i="12"/>
  <c r="AH470" i="12"/>
  <c r="AH469" i="12" s="1"/>
  <c r="AH480" i="12" s="1"/>
  <c r="AH462" i="12"/>
  <c r="AS6" i="12"/>
  <c r="N360" i="12"/>
  <c r="N354" i="12"/>
  <c r="AX104" i="12"/>
  <c r="AW106" i="12"/>
  <c r="AY340" i="12"/>
  <c r="AX307" i="12"/>
  <c r="AM35" i="12"/>
  <c r="AN33" i="12" s="1"/>
  <c r="AO179" i="12"/>
  <c r="AN178" i="12"/>
  <c r="AI70" i="12"/>
  <c r="AM51" i="12"/>
  <c r="AI65" i="12"/>
  <c r="AW433" i="12"/>
  <c r="AY190" i="12"/>
  <c r="AX200" i="12"/>
  <c r="AU341" i="12"/>
  <c r="P250" i="12"/>
  <c r="O249" i="12"/>
  <c r="AI68" i="12"/>
  <c r="AN168" i="12"/>
  <c r="AO168" i="12" s="1"/>
  <c r="AP168" i="12" s="1"/>
  <c r="AQ168" i="12" s="1"/>
  <c r="AR168" i="12" s="1"/>
  <c r="AS168" i="12" s="1"/>
  <c r="AT168" i="12" s="1"/>
  <c r="AU168" i="12" s="1"/>
  <c r="AV168" i="12" s="1"/>
  <c r="AW168" i="12" s="1"/>
  <c r="AX168" i="12" s="1"/>
  <c r="AY168" i="12" s="1"/>
  <c r="AZ168" i="12" s="1"/>
  <c r="BA168" i="12" s="1"/>
  <c r="AM169" i="12"/>
  <c r="AN169" i="12" s="1"/>
  <c r="AO169" i="12" s="1"/>
  <c r="AP169" i="12" s="1"/>
  <c r="AQ169" i="12" s="1"/>
  <c r="AM47" i="12"/>
  <c r="AL243" i="12"/>
  <c r="AL244" i="12"/>
  <c r="AL241" i="12"/>
  <c r="AZ387" i="12"/>
  <c r="BA177" i="12"/>
  <c r="BA387" i="12" s="1"/>
  <c r="O353" i="12"/>
  <c r="O348" i="12"/>
  <c r="O347" i="12"/>
  <c r="O344" i="12"/>
  <c r="O345" i="12"/>
  <c r="O346" i="12"/>
  <c r="AR246" i="12"/>
  <c r="AS24" i="12"/>
  <c r="AR23" i="12"/>
  <c r="AQ245" i="12"/>
  <c r="AM19" i="12"/>
  <c r="AN19" i="12" s="1"/>
  <c r="AO19" i="12" s="1"/>
  <c r="AP19" i="12" s="1"/>
  <c r="AQ19" i="12" s="1"/>
  <c r="AR19" i="12" s="1"/>
  <c r="AS19" i="12" s="1"/>
  <c r="AT19" i="12" s="1"/>
  <c r="AU19" i="12" s="1"/>
  <c r="AV19" i="12" s="1"/>
  <c r="AW19" i="12" s="1"/>
  <c r="AX19" i="12" s="1"/>
  <c r="AY19" i="12" s="1"/>
  <c r="AZ19" i="12" s="1"/>
  <c r="BA19" i="12" s="1"/>
  <c r="AM15" i="12"/>
  <c r="AM16" i="12" s="1"/>
  <c r="AU124" i="12"/>
  <c r="AV90" i="12"/>
  <c r="AL65" i="12"/>
  <c r="AJ65" i="12"/>
  <c r="AQ244" i="12"/>
  <c r="AQ243" i="12"/>
  <c r="AY108" i="12"/>
  <c r="AX109" i="12"/>
  <c r="AX107" i="12"/>
  <c r="AX110" i="12"/>
  <c r="AZ394" i="12"/>
  <c r="BA186" i="12"/>
  <c r="BA112" i="12"/>
  <c r="AZ113" i="12"/>
  <c r="AZ111" i="12"/>
  <c r="AZ114" i="12"/>
  <c r="AJ70" i="12"/>
  <c r="AN157" i="12"/>
  <c r="AO158" i="12"/>
  <c r="AI69" i="12"/>
  <c r="AM43" i="12"/>
  <c r="AO199" i="12"/>
  <c r="AN198" i="12"/>
  <c r="AM145" i="12"/>
  <c r="AM150" i="12" s="1"/>
  <c r="AM83" i="12"/>
  <c r="AM139" i="12" s="1"/>
  <c r="AM140" i="12" s="1"/>
  <c r="X472" i="12"/>
  <c r="AW210" i="12"/>
  <c r="AW309" i="12"/>
  <c r="AV311" i="12"/>
  <c r="N299" i="12"/>
  <c r="N293" i="12"/>
  <c r="N384" i="12" s="1"/>
  <c r="N388" i="12" s="1"/>
  <c r="N291" i="12"/>
  <c r="N368" i="12" s="1"/>
  <c r="N372" i="12" s="1"/>
  <c r="N294" i="12"/>
  <c r="N292" i="12"/>
  <c r="N376" i="12" s="1"/>
  <c r="N380" i="12" s="1"/>
  <c r="N290" i="12"/>
  <c r="BA31" i="12"/>
  <c r="AV320" i="12"/>
  <c r="AW320" i="12" s="1"/>
  <c r="AX320" i="12" s="1"/>
  <c r="AY320" i="12" s="1"/>
  <c r="AZ320" i="12" s="1"/>
  <c r="BA320" i="12" s="1"/>
  <c r="AM68" i="12"/>
  <c r="AM39" i="12"/>
  <c r="AN37" i="12" s="1"/>
  <c r="AO37" i="12" s="1"/>
  <c r="AO189" i="12"/>
  <c r="AN188" i="12"/>
  <c r="AU230" i="12"/>
  <c r="AU228" i="12" s="1"/>
  <c r="AU218" i="12"/>
  <c r="AL70" i="12"/>
  <c r="L474" i="12"/>
  <c r="L475" i="12" s="1"/>
  <c r="L481" i="12" s="1"/>
  <c r="L463" i="12"/>
  <c r="L465" i="12" s="1"/>
  <c r="AY478" i="12"/>
  <c r="AX477" i="12"/>
  <c r="Q304" i="12"/>
  <c r="P303" i="12"/>
  <c r="BA50" i="12"/>
  <c r="BA48" i="12"/>
  <c r="BA51" i="12"/>
  <c r="BA70" i="12" s="1"/>
  <c r="AN12" i="12"/>
  <c r="AO12" i="12" s="1"/>
  <c r="AP12" i="12" s="1"/>
  <c r="AQ12" i="12" s="1"/>
  <c r="AR12" i="12" s="1"/>
  <c r="AS12" i="12" s="1"/>
  <c r="AT12" i="12" s="1"/>
  <c r="AU12" i="12" s="1"/>
  <c r="AV12" i="12" s="1"/>
  <c r="AW12" i="12" s="1"/>
  <c r="AX12" i="12" s="1"/>
  <c r="AY12" i="12" s="1"/>
  <c r="AZ12" i="12" s="1"/>
  <c r="BA12" i="12" s="1"/>
  <c r="AN10" i="12"/>
  <c r="AO10" i="12" s="1"/>
  <c r="AP10" i="12" s="1"/>
  <c r="AQ10" i="12" s="1"/>
  <c r="AR10" i="12" s="1"/>
  <c r="AS10" i="12" s="1"/>
  <c r="AT10" i="12" s="1"/>
  <c r="AU10" i="12" s="1"/>
  <c r="AV10" i="12" s="1"/>
  <c r="AW10" i="12" s="1"/>
  <c r="AX10" i="12" s="1"/>
  <c r="AY10" i="12" s="1"/>
  <c r="AZ10" i="12" s="1"/>
  <c r="BA10" i="12" s="1"/>
  <c r="AO11" i="12"/>
  <c r="AN13" i="12"/>
  <c r="AN9" i="12" s="1"/>
  <c r="AE81" i="14"/>
  <c r="AF24" i="14"/>
  <c r="AD9" i="14"/>
  <c r="AD5" i="14"/>
  <c r="AC169" i="11"/>
  <c r="Z26" i="10"/>
  <c r="Z30" i="10"/>
  <c r="AA55" i="14"/>
  <c r="AA57" i="14" s="1"/>
  <c r="AA32" i="10" s="1"/>
  <c r="AA187" i="10" s="1"/>
  <c r="AA54" i="14"/>
  <c r="AB1" i="14"/>
  <c r="AE42" i="14"/>
  <c r="Y133" i="14"/>
  <c r="X173" i="14"/>
  <c r="AB168" i="14"/>
  <c r="AA207" i="14"/>
  <c r="Y188" i="14"/>
  <c r="Z148" i="14"/>
  <c r="Z132" i="14"/>
  <c r="Y172" i="14"/>
  <c r="AA151" i="14"/>
  <c r="Z191" i="14"/>
  <c r="Z134" i="14"/>
  <c r="Y174" i="14"/>
  <c r="Z136" i="14"/>
  <c r="Y176" i="14"/>
  <c r="AC195" i="11"/>
  <c r="AD7" i="14"/>
  <c r="AD43" i="14"/>
  <c r="AD45" i="14" s="1"/>
  <c r="V212" i="14"/>
  <c r="CT22" i="4"/>
  <c r="AD182" i="11"/>
  <c r="AE6" i="14"/>
  <c r="Y135" i="14"/>
  <c r="X175" i="14"/>
  <c r="Y131" i="14"/>
  <c r="X171" i="14"/>
  <c r="AE8" i="14"/>
  <c r="AC100" i="14"/>
  <c r="AC40" i="11"/>
  <c r="AD39" i="11"/>
  <c r="AD99" i="14"/>
  <c r="AD156" i="11"/>
  <c r="AE4" i="14"/>
  <c r="AE95" i="14"/>
  <c r="AF38" i="14"/>
  <c r="Z187" i="14"/>
  <c r="AA137" i="14"/>
  <c r="Z178" i="14"/>
  <c r="AA139" i="14"/>
  <c r="Z169" i="14"/>
  <c r="Y208" i="14"/>
  <c r="Y177" i="14"/>
  <c r="Z138" i="14"/>
  <c r="W210" i="14"/>
  <c r="AE192" i="14"/>
  <c r="AE82" i="14"/>
  <c r="AF25" i="14"/>
  <c r="AG97" i="4"/>
  <c r="I101" i="10"/>
  <c r="I100" i="10"/>
  <c r="M97" i="4"/>
  <c r="E101" i="10"/>
  <c r="E100" i="10"/>
  <c r="Q92" i="10"/>
  <c r="Q95" i="10"/>
  <c r="Q93" i="10"/>
  <c r="EQ135" i="1"/>
  <c r="EM84" i="1"/>
  <c r="EM195" i="1" s="1"/>
  <c r="BZ175" i="1"/>
  <c r="BX151" i="1"/>
  <c r="BX175" i="1" s="1"/>
  <c r="BV151" i="1"/>
  <c r="BV175" i="1" s="1"/>
  <c r="CE151" i="1"/>
  <c r="BY151" i="1"/>
  <c r="BY175" i="1" s="1"/>
  <c r="BW151" i="1"/>
  <c r="BW175" i="1" s="1"/>
  <c r="CY170" i="1"/>
  <c r="CD154" i="1"/>
  <c r="ER159" i="1"/>
  <c r="EM160" i="1"/>
  <c r="EM161" i="1"/>
  <c r="EC152" i="1"/>
  <c r="EI135" i="1"/>
  <c r="EC162" i="1"/>
  <c r="EH194" i="1"/>
  <c r="EM171" i="1"/>
  <c r="EP121" i="1"/>
  <c r="EN121" i="1"/>
  <c r="EQ121" i="1"/>
  <c r="EO121" i="1"/>
  <c r="BU190" i="1"/>
  <c r="BZ167" i="1"/>
  <c r="BQ167" i="1"/>
  <c r="EC155" i="1"/>
  <c r="P92" i="10"/>
  <c r="P95" i="10"/>
  <c r="P93" i="10"/>
  <c r="AQ97" i="4"/>
  <c r="K101" i="10"/>
  <c r="K100" i="10"/>
  <c r="W97" i="4"/>
  <c r="G101" i="10"/>
  <c r="G100" i="10"/>
  <c r="BQ175" i="1"/>
  <c r="BR151" i="1"/>
  <c r="EH115" i="1"/>
  <c r="EB115" i="1"/>
  <c r="DZ115" i="1"/>
  <c r="EA115" i="1"/>
  <c r="DY115" i="1"/>
  <c r="CO191" i="1"/>
  <c r="CT168" i="1"/>
  <c r="ER157" i="1"/>
  <c r="BM175" i="1"/>
  <c r="BN151" i="1"/>
  <c r="EH112" i="1"/>
  <c r="EB112" i="1"/>
  <c r="DZ112" i="1"/>
  <c r="EA112" i="1"/>
  <c r="DY112" i="1"/>
  <c r="CB191" i="1"/>
  <c r="CC168" i="1"/>
  <c r="BH192" i="1"/>
  <c r="BI169" i="1"/>
  <c r="CC193" i="1"/>
  <c r="CC195" i="1" s="1"/>
  <c r="CC172" i="1" s="1"/>
  <c r="CD170" i="1"/>
  <c r="CY154" i="1"/>
  <c r="BJ177" i="1"/>
  <c r="BK153" i="1"/>
  <c r="BL190" i="1"/>
  <c r="BM167" i="1"/>
  <c r="BP97" i="4"/>
  <c r="P101" i="10"/>
  <c r="P100" i="10"/>
  <c r="AD152" i="11"/>
  <c r="AD86" i="11"/>
  <c r="AE69" i="11"/>
  <c r="EH128" i="4"/>
  <c r="EH129" i="4" s="1"/>
  <c r="EH130" i="4" s="1"/>
  <c r="AD88" i="11"/>
  <c r="M53" i="11"/>
  <c r="N48" i="11"/>
  <c r="N49" i="11" s="1"/>
  <c r="BA97" i="4"/>
  <c r="M101" i="10"/>
  <c r="M100" i="10"/>
  <c r="BU97" i="4"/>
  <c r="BU107" i="4" s="1"/>
  <c r="Q101" i="10"/>
  <c r="Q100" i="10"/>
  <c r="BK97" i="4"/>
  <c r="O101" i="10"/>
  <c r="O100" i="10"/>
  <c r="AC99" i="11"/>
  <c r="AC42" i="11"/>
  <c r="AE83" i="11"/>
  <c r="AB133" i="10"/>
  <c r="AC13" i="10"/>
  <c r="AD129" i="10"/>
  <c r="AF37" i="10"/>
  <c r="Z168" i="10"/>
  <c r="AA167" i="10"/>
  <c r="AA166" i="10" s="1"/>
  <c r="Z15" i="10"/>
  <c r="Z183" i="10" s="1"/>
  <c r="AD77" i="10"/>
  <c r="AE79" i="10"/>
  <c r="BN110" i="4"/>
  <c r="BN97" i="4" s="1"/>
  <c r="BN96" i="4"/>
  <c r="BN106" i="4" s="1"/>
  <c r="BN24" i="4"/>
  <c r="BN28" i="4" s="1"/>
  <c r="BN30" i="4" s="1"/>
  <c r="BJ110" i="4"/>
  <c r="BJ97" i="4" s="1"/>
  <c r="BJ107" i="4" s="1"/>
  <c r="BJ96" i="4"/>
  <c r="BJ106" i="4" s="1"/>
  <c r="BJ24" i="4"/>
  <c r="BJ28" i="4" s="1"/>
  <c r="BJ30" i="4" s="1"/>
  <c r="BF110" i="4"/>
  <c r="N49" i="14" s="1"/>
  <c r="N50" i="14" s="1"/>
  <c r="BF96" i="4"/>
  <c r="BF106" i="4" s="1"/>
  <c r="BF24" i="4"/>
  <c r="BB110" i="4"/>
  <c r="BB97" i="4" s="1"/>
  <c r="BB107" i="4" s="1"/>
  <c r="BB96" i="4"/>
  <c r="BB106" i="4" s="1"/>
  <c r="BB24" i="4"/>
  <c r="AX110" i="4"/>
  <c r="AX97" i="4" s="1"/>
  <c r="AX107" i="4" s="1"/>
  <c r="AX96" i="4"/>
  <c r="AX106" i="4" s="1"/>
  <c r="AX24" i="4"/>
  <c r="AT110" i="4"/>
  <c r="AT97" i="4" s="1"/>
  <c r="AT107" i="4" s="1"/>
  <c r="AT96" i="4"/>
  <c r="AT106" i="4" s="1"/>
  <c r="AT24" i="4"/>
  <c r="AP110" i="4"/>
  <c r="AP97" i="4" s="1"/>
  <c r="AP96" i="4"/>
  <c r="AP24" i="4"/>
  <c r="AL110" i="4"/>
  <c r="AL96" i="4"/>
  <c r="AL106" i="4" s="1"/>
  <c r="AL24" i="4"/>
  <c r="AH110" i="4"/>
  <c r="AH97" i="4" s="1"/>
  <c r="AH107" i="4" s="1"/>
  <c r="AH96" i="4"/>
  <c r="AH106" i="4" s="1"/>
  <c r="AH24" i="4"/>
  <c r="AD110" i="4"/>
  <c r="AD97" i="4" s="1"/>
  <c r="AD107" i="4" s="1"/>
  <c r="AD96" i="4"/>
  <c r="AD106" i="4" s="1"/>
  <c r="AD24" i="4"/>
  <c r="Z110" i="4"/>
  <c r="Z97" i="4" s="1"/>
  <c r="Z107" i="4" s="1"/>
  <c r="Z96" i="4"/>
  <c r="Z106" i="4" s="1"/>
  <c r="Z24" i="4"/>
  <c r="V110" i="4"/>
  <c r="V97" i="4" s="1"/>
  <c r="V107" i="4" s="1"/>
  <c r="V96" i="4"/>
  <c r="V106" i="4" s="1"/>
  <c r="V24" i="4"/>
  <c r="R110" i="4"/>
  <c r="R96" i="4"/>
  <c r="R106" i="4" s="1"/>
  <c r="R24" i="4"/>
  <c r="N110" i="4"/>
  <c r="N97" i="4" s="1"/>
  <c r="N107" i="4" s="1"/>
  <c r="N96" i="4"/>
  <c r="N106" i="4" s="1"/>
  <c r="N24" i="4"/>
  <c r="J110" i="4"/>
  <c r="J97" i="4" s="1"/>
  <c r="O107" i="4" s="1"/>
  <c r="J96" i="4"/>
  <c r="J24" i="4"/>
  <c r="E110" i="4"/>
  <c r="E97" i="4" s="1"/>
  <c r="E96" i="4"/>
  <c r="E24" i="4"/>
  <c r="CA28" i="4"/>
  <c r="CA30" i="4" s="1"/>
  <c r="CA26" i="4"/>
  <c r="CA37" i="4" s="1"/>
  <c r="BW28" i="4"/>
  <c r="BW30" i="4" s="1"/>
  <c r="BW26" i="4"/>
  <c r="BW37" i="4" s="1"/>
  <c r="BQ28" i="4"/>
  <c r="BQ30" i="4" s="1"/>
  <c r="BQ26" i="4"/>
  <c r="BM28" i="4"/>
  <c r="BM30" i="4" s="1"/>
  <c r="BM26" i="4"/>
  <c r="BC28" i="4"/>
  <c r="BC30" i="4" s="1"/>
  <c r="BC26" i="4"/>
  <c r="AU26" i="4"/>
  <c r="AM28" i="4"/>
  <c r="AM30" i="4" s="1"/>
  <c r="AM26" i="4"/>
  <c r="AI28" i="4"/>
  <c r="AI30" i="4" s="1"/>
  <c r="AI26" i="4"/>
  <c r="AA28" i="4"/>
  <c r="AA30" i="4" s="1"/>
  <c r="AA26" i="4"/>
  <c r="W28" i="4"/>
  <c r="W30" i="4" s="1"/>
  <c r="G51" i="10" s="1"/>
  <c r="W26" i="4"/>
  <c r="G79" i="11" s="1"/>
  <c r="S28" i="4"/>
  <c r="S30" i="4" s="1"/>
  <c r="S26" i="4"/>
  <c r="O28" i="4"/>
  <c r="O30" i="4" s="1"/>
  <c r="I28" i="4"/>
  <c r="I30" i="4" s="1"/>
  <c r="I26" i="4"/>
  <c r="D110" i="4"/>
  <c r="D97" i="4" s="1"/>
  <c r="D96" i="4"/>
  <c r="D24" i="4"/>
  <c r="G110" i="4"/>
  <c r="G97" i="4" s="1"/>
  <c r="G96" i="4"/>
  <c r="G24" i="4"/>
  <c r="BV110" i="4"/>
  <c r="BV97" i="4" s="1"/>
  <c r="BV107" i="4" s="1"/>
  <c r="BV96" i="4"/>
  <c r="BV106" i="4" s="1"/>
  <c r="BV24" i="4"/>
  <c r="BR110" i="4"/>
  <c r="BR97" i="4" s="1"/>
  <c r="BR107" i="4" s="1"/>
  <c r="BR96" i="4"/>
  <c r="BR106" i="4" s="1"/>
  <c r="BR24" i="4"/>
  <c r="BL110" i="4"/>
  <c r="BL97" i="4" s="1"/>
  <c r="BL107" i="4" s="1"/>
  <c r="BL96" i="4"/>
  <c r="BL24" i="4"/>
  <c r="BH110" i="4"/>
  <c r="BH97" i="4" s="1"/>
  <c r="BH107" i="4" s="1"/>
  <c r="BH96" i="4"/>
  <c r="BH106" i="4" s="1"/>
  <c r="BH24" i="4"/>
  <c r="BD110" i="4"/>
  <c r="BD97" i="4" s="1"/>
  <c r="BD107" i="4" s="1"/>
  <c r="BD96" i="4"/>
  <c r="BD106" i="4" s="1"/>
  <c r="BD24" i="4"/>
  <c r="AZ110" i="4"/>
  <c r="AZ97" i="4" s="1"/>
  <c r="AZ107" i="4" s="1"/>
  <c r="AZ96" i="4"/>
  <c r="AZ24" i="4"/>
  <c r="AV110" i="4"/>
  <c r="L49" i="14" s="1"/>
  <c r="L50" i="14" s="1"/>
  <c r="AV96" i="4"/>
  <c r="AV24" i="4"/>
  <c r="AR110" i="4"/>
  <c r="AR97" i="4" s="1"/>
  <c r="AR107" i="4" s="1"/>
  <c r="AR96" i="4"/>
  <c r="AR106" i="4" s="1"/>
  <c r="AR24" i="4"/>
  <c r="AN110" i="4"/>
  <c r="AN97" i="4" s="1"/>
  <c r="AN107" i="4" s="1"/>
  <c r="AN96" i="4"/>
  <c r="AN106" i="4" s="1"/>
  <c r="AN24" i="4"/>
  <c r="AJ110" i="4"/>
  <c r="AJ97" i="4" s="1"/>
  <c r="AJ107" i="4" s="1"/>
  <c r="AJ96" i="4"/>
  <c r="AJ24" i="4"/>
  <c r="AF110" i="4"/>
  <c r="AF97" i="4" s="1"/>
  <c r="AF107" i="4" s="1"/>
  <c r="AF96" i="4"/>
  <c r="AF106" i="4" s="1"/>
  <c r="AF24" i="4"/>
  <c r="AB110" i="4"/>
  <c r="AB96" i="4"/>
  <c r="AB106" i="4" s="1"/>
  <c r="AB24" i="4"/>
  <c r="X110" i="4"/>
  <c r="X97" i="4" s="1"/>
  <c r="X107" i="4" s="1"/>
  <c r="X96" i="4"/>
  <c r="X106" i="4" s="1"/>
  <c r="X24" i="4"/>
  <c r="T110" i="4"/>
  <c r="T97" i="4" s="1"/>
  <c r="T107" i="4" s="1"/>
  <c r="T96" i="4"/>
  <c r="T24" i="4"/>
  <c r="P110" i="4"/>
  <c r="P97" i="4" s="1"/>
  <c r="P107" i="4" s="1"/>
  <c r="P96" i="4"/>
  <c r="P106" i="4" s="1"/>
  <c r="P24" i="4"/>
  <c r="L110" i="4"/>
  <c r="L97" i="4" s="1"/>
  <c r="L107" i="4" s="1"/>
  <c r="L96" i="4"/>
  <c r="L106" i="4" s="1"/>
  <c r="L24" i="4"/>
  <c r="H110" i="4"/>
  <c r="H96" i="4"/>
  <c r="M106" i="4" s="1"/>
  <c r="H24" i="4"/>
  <c r="DX104" i="4"/>
  <c r="EC12" i="4"/>
  <c r="DX36" i="4"/>
  <c r="BU98" i="4"/>
  <c r="BU82" i="4"/>
  <c r="Q117" i="11" s="1"/>
  <c r="BU32" i="4"/>
  <c r="BX110" i="4"/>
  <c r="BX97" i="4" s="1"/>
  <c r="BX107" i="4" s="1"/>
  <c r="BX96" i="4"/>
  <c r="BX106" i="4" s="1"/>
  <c r="BX24" i="4"/>
  <c r="BX28" i="4" s="1"/>
  <c r="BX30" i="4" s="1"/>
  <c r="BT110" i="4"/>
  <c r="BT97" i="4" s="1"/>
  <c r="BT107" i="4" s="1"/>
  <c r="BT96" i="4"/>
  <c r="BT106" i="4" s="1"/>
  <c r="BT24" i="4"/>
  <c r="BT28" i="4" s="1"/>
  <c r="BT30" i="4" s="1"/>
  <c r="BP98" i="4"/>
  <c r="BP82" i="4"/>
  <c r="P117" i="11" s="1"/>
  <c r="BP38" i="4"/>
  <c r="BP39" i="4" s="1"/>
  <c r="BP32" i="4"/>
  <c r="P108" i="11" s="1"/>
  <c r="P110" i="11" s="1"/>
  <c r="P111" i="11" s="1"/>
  <c r="BS98" i="4"/>
  <c r="BS82" i="4"/>
  <c r="BS32" i="4"/>
  <c r="BO98" i="4"/>
  <c r="BO38" i="4"/>
  <c r="BO39" i="4" s="1"/>
  <c r="BO82" i="4"/>
  <c r="BO32" i="4"/>
  <c r="BI28" i="4"/>
  <c r="BI30" i="4" s="1"/>
  <c r="BI26" i="4"/>
  <c r="BE28" i="4"/>
  <c r="BE30" i="4" s="1"/>
  <c r="BE26" i="4"/>
  <c r="BJ26" i="4" s="1"/>
  <c r="BJ37" i="4" s="1"/>
  <c r="BA28" i="4"/>
  <c r="BA30" i="4" s="1"/>
  <c r="M51" i="10" s="1"/>
  <c r="BA26" i="4"/>
  <c r="AW28" i="4"/>
  <c r="AW30" i="4" s="1"/>
  <c r="AW26" i="4"/>
  <c r="AS28" i="4"/>
  <c r="AS30" i="4" s="1"/>
  <c r="AS26" i="4"/>
  <c r="AO28" i="4"/>
  <c r="AO30" i="4" s="1"/>
  <c r="AO26" i="4"/>
  <c r="AK28" i="4"/>
  <c r="AK30" i="4" s="1"/>
  <c r="AK26" i="4"/>
  <c r="AG28" i="4"/>
  <c r="AG30" i="4" s="1"/>
  <c r="I51" i="10" s="1"/>
  <c r="AG26" i="4"/>
  <c r="I79" i="11" s="1"/>
  <c r="AC28" i="4"/>
  <c r="AC30" i="4" s="1"/>
  <c r="AC26" i="4"/>
  <c r="Y28" i="4"/>
  <c r="Y30" i="4" s="1"/>
  <c r="Y26" i="4"/>
  <c r="U28" i="4"/>
  <c r="U30" i="4" s="1"/>
  <c r="U26" i="4"/>
  <c r="Q28" i="4"/>
  <c r="Q30" i="4" s="1"/>
  <c r="Q26" i="4"/>
  <c r="M28" i="4"/>
  <c r="M30" i="4" s="1"/>
  <c r="E51" i="10" s="1"/>
  <c r="M26" i="4"/>
  <c r="E79" i="11" s="1"/>
  <c r="EM43" i="4"/>
  <c r="ER44" i="4"/>
  <c r="EM35" i="4"/>
  <c r="DX26" i="4"/>
  <c r="ER58" i="4"/>
  <c r="ER57" i="4" s="1"/>
  <c r="EM57" i="4"/>
  <c r="ER49" i="4"/>
  <c r="ER48" i="4" s="1"/>
  <c r="EM48" i="4"/>
  <c r="F110" i="4"/>
  <c r="F97" i="4" s="1"/>
  <c r="K107" i="4" s="1"/>
  <c r="F96" i="4"/>
  <c r="K106" i="4" s="1"/>
  <c r="F24" i="4"/>
  <c r="DX105" i="4"/>
  <c r="EC18" i="4"/>
  <c r="BU106" i="4"/>
  <c r="C110" i="4"/>
  <c r="C96" i="4"/>
  <c r="C24" i="4"/>
  <c r="K28" i="4"/>
  <c r="K30" i="4" s="1"/>
  <c r="K26" i="4"/>
  <c r="AF95" i="14" l="1"/>
  <c r="AF206" i="14"/>
  <c r="AE205" i="14"/>
  <c r="AE94" i="14"/>
  <c r="AF37" i="14"/>
  <c r="AE56" i="14"/>
  <c r="H53" i="18"/>
  <c r="I52" i="18" s="1"/>
  <c r="BN107" i="4"/>
  <c r="AY28" i="4"/>
  <c r="AY30" i="4" s="1"/>
  <c r="AF81" i="14"/>
  <c r="AF56" i="14"/>
  <c r="AC101" i="14"/>
  <c r="Y93" i="19"/>
  <c r="X91" i="20"/>
  <c r="BG26" i="4"/>
  <c r="BC107" i="4"/>
  <c r="EA135" i="1"/>
  <c r="DX135" i="1"/>
  <c r="AZ106" i="4"/>
  <c r="Z90" i="18"/>
  <c r="Z85" i="20"/>
  <c r="Z86" i="20" s="1"/>
  <c r="H13" i="18"/>
  <c r="H10" i="18" s="1"/>
  <c r="H26" i="18" s="1"/>
  <c r="AQ26" i="4"/>
  <c r="K79" i="11" s="1"/>
  <c r="BL106" i="4"/>
  <c r="AE28" i="4"/>
  <c r="AE30" i="4" s="1"/>
  <c r="AE98" i="4" s="1"/>
  <c r="O106" i="4"/>
  <c r="AP106" i="4"/>
  <c r="AP107" i="4"/>
  <c r="BH195" i="1"/>
  <c r="BH172" i="1" s="1"/>
  <c r="S106" i="4"/>
  <c r="AV106" i="4"/>
  <c r="AY106" i="4"/>
  <c r="AJ106" i="4"/>
  <c r="T106" i="4"/>
  <c r="X210" i="14"/>
  <c r="X212" i="14" s="1"/>
  <c r="V213" i="14"/>
  <c r="W214" i="14" s="1"/>
  <c r="AI106" i="4"/>
  <c r="BQ106" i="4"/>
  <c r="AO107" i="4"/>
  <c r="W106" i="4"/>
  <c r="BC106" i="4"/>
  <c r="AE106" i="4"/>
  <c r="AM106" i="4"/>
  <c r="BW106" i="4"/>
  <c r="AC107" i="4"/>
  <c r="U107" i="4"/>
  <c r="BM106" i="4"/>
  <c r="AK107" i="4"/>
  <c r="AA107" i="4"/>
  <c r="AU106" i="4"/>
  <c r="BK106" i="4"/>
  <c r="BS107" i="4"/>
  <c r="BE107" i="4"/>
  <c r="BO107" i="4"/>
  <c r="AA154" i="10"/>
  <c r="AA5" i="11"/>
  <c r="Y107" i="4"/>
  <c r="AM107" i="4"/>
  <c r="BO106" i="4"/>
  <c r="Q107" i="4"/>
  <c r="AE107" i="4"/>
  <c r="AB174" i="10"/>
  <c r="AC79" i="11"/>
  <c r="CA106" i="4"/>
  <c r="AC49" i="10"/>
  <c r="AC71" i="10" s="1"/>
  <c r="AC24" i="10" s="1"/>
  <c r="AA106" i="4"/>
  <c r="AS107" i="4"/>
  <c r="AW107" i="4"/>
  <c r="BG106" i="4"/>
  <c r="AE109" i="11"/>
  <c r="AE7" i="11"/>
  <c r="AE90" i="11" s="1"/>
  <c r="AQ106" i="4"/>
  <c r="BI107" i="4"/>
  <c r="AU107" i="4"/>
  <c r="BG107" i="4"/>
  <c r="BS106" i="4"/>
  <c r="S107" i="4"/>
  <c r="AY107" i="4"/>
  <c r="AI107" i="4"/>
  <c r="J107" i="4"/>
  <c r="EM118" i="1"/>
  <c r="EE118" i="1"/>
  <c r="EF118" i="1"/>
  <c r="ED118" i="1"/>
  <c r="EG118" i="1"/>
  <c r="Z63" i="20"/>
  <c r="U87" i="20"/>
  <c r="U93" i="20" s="1"/>
  <c r="U99" i="20" s="1"/>
  <c r="V16" i="20"/>
  <c r="V80" i="20"/>
  <c r="H25" i="20"/>
  <c r="H62" i="20"/>
  <c r="Y41" i="20"/>
  <c r="Z39" i="20"/>
  <c r="W65" i="20"/>
  <c r="W28" i="20"/>
  <c r="W36" i="20" s="1"/>
  <c r="X25" i="20"/>
  <c r="V84" i="20"/>
  <c r="V83" i="20"/>
  <c r="W82" i="20"/>
  <c r="P54" i="20"/>
  <c r="Q33" i="20"/>
  <c r="Q30" i="20" s="1"/>
  <c r="Q38" i="20" s="1"/>
  <c r="R32" i="20"/>
  <c r="Q29" i="20"/>
  <c r="Q37" i="20" s="1"/>
  <c r="G18" i="20"/>
  <c r="G27" i="20"/>
  <c r="F9" i="20"/>
  <c r="E10" i="20"/>
  <c r="F15" i="20"/>
  <c r="F26" i="20"/>
  <c r="X75" i="20"/>
  <c r="W77" i="20"/>
  <c r="W76" i="20"/>
  <c r="J59" i="19"/>
  <c r="K53" i="19" s="1"/>
  <c r="W82" i="19"/>
  <c r="C26" i="19"/>
  <c r="C9" i="19"/>
  <c r="C15" i="19"/>
  <c r="W89" i="19"/>
  <c r="Z91" i="19"/>
  <c r="V65" i="19"/>
  <c r="W25" i="19"/>
  <c r="U16" i="19"/>
  <c r="J9" i="19"/>
  <c r="J26" i="19"/>
  <c r="J15" i="19"/>
  <c r="J27" i="19" s="1"/>
  <c r="X77" i="19"/>
  <c r="X78" i="19" s="1"/>
  <c r="X76" i="19"/>
  <c r="Y75" i="19"/>
  <c r="D27" i="19"/>
  <c r="D19" i="19"/>
  <c r="O54" i="19"/>
  <c r="P33" i="19"/>
  <c r="P30" i="19" s="1"/>
  <c r="P38" i="19" s="1"/>
  <c r="Q32" i="19"/>
  <c r="P29" i="19"/>
  <c r="P37" i="19" s="1"/>
  <c r="X92" i="19"/>
  <c r="X90" i="20" s="1"/>
  <c r="T31" i="19"/>
  <c r="S28" i="19"/>
  <c r="S36" i="19" s="1"/>
  <c r="Y41" i="19"/>
  <c r="Z39" i="19"/>
  <c r="X85" i="19"/>
  <c r="Y84" i="19"/>
  <c r="X86" i="19"/>
  <c r="I58" i="18"/>
  <c r="Z93" i="18"/>
  <c r="Y33" i="18"/>
  <c r="Z32" i="18"/>
  <c r="Z33" i="18" s="1"/>
  <c r="W16" i="18"/>
  <c r="U91" i="18"/>
  <c r="U96" i="18" s="1"/>
  <c r="U102" i="18" s="1"/>
  <c r="V84" i="18"/>
  <c r="Z83" i="18"/>
  <c r="Z82" i="18" s="1"/>
  <c r="G10" i="18"/>
  <c r="V87" i="18"/>
  <c r="W86" i="18"/>
  <c r="V88" i="18"/>
  <c r="W79" i="18"/>
  <c r="W80" i="18"/>
  <c r="W78" i="18"/>
  <c r="X77" i="18"/>
  <c r="Z41" i="18"/>
  <c r="AN18" i="12"/>
  <c r="AN15" i="12"/>
  <c r="AN16" i="12" s="1"/>
  <c r="R304" i="12"/>
  <c r="Q303" i="12"/>
  <c r="AZ478" i="12"/>
  <c r="AY477" i="12"/>
  <c r="AM65" i="12"/>
  <c r="AX309" i="12"/>
  <c r="AW311" i="12"/>
  <c r="AM69" i="12"/>
  <c r="AM66" i="12"/>
  <c r="AP158" i="12"/>
  <c r="AO157" i="12"/>
  <c r="AW90" i="12"/>
  <c r="AV124" i="12"/>
  <c r="AR245" i="12"/>
  <c r="AR243" i="12" s="1"/>
  <c r="O369" i="12"/>
  <c r="O385" i="12"/>
  <c r="Q250" i="12"/>
  <c r="P249" i="12"/>
  <c r="AY200" i="12"/>
  <c r="AZ190" i="12"/>
  <c r="AM70" i="12"/>
  <c r="AN32" i="12"/>
  <c r="AO32" i="12" s="1"/>
  <c r="AP32" i="12" s="1"/>
  <c r="AQ32" i="12" s="1"/>
  <c r="AR32" i="12" s="1"/>
  <c r="AS32" i="12" s="1"/>
  <c r="AT32" i="12" s="1"/>
  <c r="AU32" i="12" s="1"/>
  <c r="AV32" i="12" s="1"/>
  <c r="AW32" i="12" s="1"/>
  <c r="AX32" i="12" s="1"/>
  <c r="AY32" i="12" s="1"/>
  <c r="AZ32" i="12" s="1"/>
  <c r="BA32" i="12" s="1"/>
  <c r="AN34" i="12"/>
  <c r="AO34" i="12" s="1"/>
  <c r="AP34" i="12" s="1"/>
  <c r="AQ34" i="12" s="1"/>
  <c r="AR34" i="12" s="1"/>
  <c r="AS34" i="12" s="1"/>
  <c r="AT34" i="12" s="1"/>
  <c r="AU34" i="12" s="1"/>
  <c r="AV34" i="12" s="1"/>
  <c r="AW34" i="12" s="1"/>
  <c r="AX34" i="12" s="1"/>
  <c r="AY34" i="12" s="1"/>
  <c r="AZ34" i="12" s="1"/>
  <c r="BA34" i="12" s="1"/>
  <c r="AO33" i="12"/>
  <c r="AN35" i="12"/>
  <c r="AN68" i="12" s="1"/>
  <c r="AY104" i="12"/>
  <c r="AX106" i="12"/>
  <c r="AS237" i="12"/>
  <c r="AT234" i="12"/>
  <c r="M474" i="12"/>
  <c r="M475" i="12" s="1"/>
  <c r="M481" i="12" s="1"/>
  <c r="M463" i="12"/>
  <c r="M465" i="12" s="1"/>
  <c r="AV230" i="12"/>
  <c r="AV228" i="12" s="1"/>
  <c r="AV218" i="12"/>
  <c r="AP11" i="12"/>
  <c r="AO13" i="12"/>
  <c r="AO9" i="12" s="1"/>
  <c r="P348" i="12"/>
  <c r="P347" i="12"/>
  <c r="P353" i="12"/>
  <c r="P344" i="12"/>
  <c r="P345" i="12"/>
  <c r="P346" i="12"/>
  <c r="AP189" i="12"/>
  <c r="AO188" i="12"/>
  <c r="N359" i="12"/>
  <c r="N364" i="12" s="1"/>
  <c r="N300" i="12"/>
  <c r="AV341" i="12"/>
  <c r="AW220" i="12"/>
  <c r="AW208" i="12"/>
  <c r="AM470" i="12"/>
  <c r="AM469" i="12" s="1"/>
  <c r="AM480" i="12" s="1"/>
  <c r="AM462" i="12"/>
  <c r="AP199" i="12"/>
  <c r="AO198" i="12"/>
  <c r="BA113" i="12"/>
  <c r="BA111" i="12"/>
  <c r="BA114" i="12"/>
  <c r="BA394" i="12"/>
  <c r="AY109" i="12"/>
  <c r="AY107" i="12"/>
  <c r="AZ108" i="12"/>
  <c r="AY110" i="12"/>
  <c r="AS246" i="12"/>
  <c r="AS23" i="12"/>
  <c r="AT24" i="12"/>
  <c r="O377" i="12"/>
  <c r="O354" i="12"/>
  <c r="O299" i="12"/>
  <c r="O269" i="12"/>
  <c r="AX210" i="12"/>
  <c r="AX433" i="12"/>
  <c r="AP179" i="12"/>
  <c r="AO178" i="12"/>
  <c r="AY307" i="12"/>
  <c r="AZ340" i="12"/>
  <c r="AT6" i="12"/>
  <c r="AR244" i="12"/>
  <c r="W212" i="14"/>
  <c r="CY22" i="4"/>
  <c r="W213" i="14" s="1"/>
  <c r="AA169" i="14"/>
  <c r="Z208" i="14"/>
  <c r="AD100" i="14"/>
  <c r="AD101" i="14" s="1"/>
  <c r="AD40" i="11"/>
  <c r="Z131" i="14"/>
  <c r="Y171" i="14"/>
  <c r="Z135" i="14"/>
  <c r="Y175" i="14"/>
  <c r="AA148" i="14"/>
  <c r="Z188" i="14"/>
  <c r="AF42" i="14"/>
  <c r="AC1" i="14"/>
  <c r="AB55" i="14"/>
  <c r="AB57" i="14" s="1"/>
  <c r="AB32" i="10" s="1"/>
  <c r="AB187" i="10" s="1"/>
  <c r="AB54" i="14"/>
  <c r="Z46" i="14"/>
  <c r="Z47" i="14" s="1"/>
  <c r="AE5" i="14"/>
  <c r="AD169" i="11"/>
  <c r="AE9" i="14"/>
  <c r="AF192" i="14"/>
  <c r="AF82" i="14"/>
  <c r="AA138" i="14"/>
  <c r="Z177" i="14"/>
  <c r="AA178" i="14"/>
  <c r="AB139" i="14"/>
  <c r="AA187" i="14"/>
  <c r="AB137" i="14"/>
  <c r="AF4" i="14"/>
  <c r="AE156" i="11"/>
  <c r="AF8" i="14"/>
  <c r="AF6" i="14"/>
  <c r="AF182" i="11" s="1"/>
  <c r="AE182" i="11"/>
  <c r="AE43" i="14"/>
  <c r="AE7" i="14"/>
  <c r="AD195" i="11"/>
  <c r="AA136" i="14"/>
  <c r="Z176" i="14"/>
  <c r="AA134" i="14"/>
  <c r="Z174" i="14"/>
  <c r="AB151" i="14"/>
  <c r="AA191" i="14"/>
  <c r="AA132" i="14"/>
  <c r="Z172" i="14"/>
  <c r="AC168" i="14"/>
  <c r="AB207" i="14"/>
  <c r="Z133" i="14"/>
  <c r="Y173" i="14"/>
  <c r="AA30" i="10"/>
  <c r="AA26" i="10"/>
  <c r="AE39" i="11"/>
  <c r="AE99" i="14"/>
  <c r="M79" i="11"/>
  <c r="M174" i="10"/>
  <c r="M175" i="10" s="1"/>
  <c r="M176" i="10" s="1"/>
  <c r="M177" i="10" s="1"/>
  <c r="M170" i="10" s="1"/>
  <c r="P118" i="11"/>
  <c r="P120" i="11"/>
  <c r="Q118" i="11"/>
  <c r="Q120" i="11"/>
  <c r="AB97" i="4"/>
  <c r="H100" i="10"/>
  <c r="H101" i="10"/>
  <c r="G92" i="10"/>
  <c r="G95" i="10"/>
  <c r="G93" i="10"/>
  <c r="AL97" i="4"/>
  <c r="J100" i="10"/>
  <c r="J101" i="10"/>
  <c r="EF112" i="1"/>
  <c r="ED112" i="1"/>
  <c r="EM112" i="1"/>
  <c r="EG112" i="1"/>
  <c r="EE112" i="1"/>
  <c r="BN175" i="1"/>
  <c r="BO151" i="1"/>
  <c r="BO175" i="1" s="1"/>
  <c r="BR175" i="1"/>
  <c r="BS151" i="1"/>
  <c r="EH155" i="1"/>
  <c r="BQ190" i="1"/>
  <c r="BR167" i="1"/>
  <c r="EM194" i="1"/>
  <c r="ER171" i="1"/>
  <c r="ER194" i="1" s="1"/>
  <c r="EH162" i="1"/>
  <c r="EN135" i="1"/>
  <c r="DD170" i="1"/>
  <c r="CA151" i="1"/>
  <c r="ER84" i="1"/>
  <c r="ER195" i="1" s="1"/>
  <c r="C97" i="4"/>
  <c r="C101" i="10"/>
  <c r="C100" i="10"/>
  <c r="E92" i="10"/>
  <c r="E95" i="10"/>
  <c r="E93" i="10"/>
  <c r="I92" i="10"/>
  <c r="I95" i="10"/>
  <c r="I93" i="10"/>
  <c r="M92" i="10"/>
  <c r="M95" i="10"/>
  <c r="M93" i="10"/>
  <c r="BU132" i="4"/>
  <c r="Q108" i="11"/>
  <c r="H97" i="4"/>
  <c r="M107" i="4" s="1"/>
  <c r="D101" i="10"/>
  <c r="D100" i="10"/>
  <c r="AV97" i="4"/>
  <c r="L101" i="10"/>
  <c r="L100" i="10"/>
  <c r="K92" i="10"/>
  <c r="K95" i="10"/>
  <c r="K93" i="10"/>
  <c r="R97" i="4"/>
  <c r="F100" i="10"/>
  <c r="F101" i="10"/>
  <c r="BM190" i="1"/>
  <c r="BN167" i="1"/>
  <c r="BK177" i="1"/>
  <c r="BP153" i="1"/>
  <c r="DD154" i="1"/>
  <c r="BI192" i="1"/>
  <c r="BJ169" i="1"/>
  <c r="CC191" i="1"/>
  <c r="CD168" i="1"/>
  <c r="CD191" i="1" s="1"/>
  <c r="CT191" i="1"/>
  <c r="CY168" i="1"/>
  <c r="EF115" i="1"/>
  <c r="ED115" i="1"/>
  <c r="EM115" i="1"/>
  <c r="EG115" i="1"/>
  <c r="EE115" i="1"/>
  <c r="BZ190" i="1"/>
  <c r="BX167" i="1"/>
  <c r="BX190" i="1" s="1"/>
  <c r="BV167" i="1"/>
  <c r="BV190" i="1" s="1"/>
  <c r="CE167" i="1"/>
  <c r="BY167" i="1"/>
  <c r="BY190" i="1" s="1"/>
  <c r="BW167" i="1"/>
  <c r="BW190" i="1" s="1"/>
  <c r="EH152" i="1"/>
  <c r="ER161" i="1"/>
  <c r="ER160" i="1"/>
  <c r="BF97" i="4"/>
  <c r="N100" i="10"/>
  <c r="N101" i="10"/>
  <c r="AF83" i="11"/>
  <c r="N53" i="11"/>
  <c r="O48" i="11"/>
  <c r="O49" i="11" s="1"/>
  <c r="O53" i="11" s="1"/>
  <c r="AD99" i="11"/>
  <c r="AD42" i="11"/>
  <c r="AE152" i="11"/>
  <c r="AE86" i="11"/>
  <c r="AF69" i="11"/>
  <c r="EM128" i="4"/>
  <c r="EM129" i="4" s="1"/>
  <c r="EM130" i="4" s="1"/>
  <c r="AE88" i="11"/>
  <c r="BP107" i="4"/>
  <c r="AD13" i="10"/>
  <c r="AA168" i="10"/>
  <c r="AB167" i="10"/>
  <c r="AA15" i="10"/>
  <c r="AA183" i="10" s="1"/>
  <c r="AF79" i="10"/>
  <c r="AE77" i="10"/>
  <c r="AE129" i="10"/>
  <c r="AC133" i="10"/>
  <c r="C28" i="4"/>
  <c r="C30" i="4" s="1"/>
  <c r="C51" i="10" s="1"/>
  <c r="C26" i="4"/>
  <c r="C79" i="11" s="1"/>
  <c r="BX98" i="4"/>
  <c r="BX82" i="4"/>
  <c r="BX38" i="4"/>
  <c r="BX39" i="4" s="1"/>
  <c r="BX32" i="4"/>
  <c r="EC104" i="4"/>
  <c r="EC36" i="4"/>
  <c r="L28" i="4"/>
  <c r="L30" i="4" s="1"/>
  <c r="L26" i="4"/>
  <c r="T26" i="4"/>
  <c r="T28" i="4"/>
  <c r="T30" i="4" s="1"/>
  <c r="AB28" i="4"/>
  <c r="AB30" i="4" s="1"/>
  <c r="H51" i="10" s="1"/>
  <c r="AB26" i="4"/>
  <c r="H79" i="11" s="1"/>
  <c r="AJ28" i="4"/>
  <c r="AJ30" i="4" s="1"/>
  <c r="AJ26" i="4"/>
  <c r="AR28" i="4"/>
  <c r="AR30" i="4" s="1"/>
  <c r="AR26" i="4"/>
  <c r="AZ28" i="4"/>
  <c r="AZ30" i="4" s="1"/>
  <c r="AZ26" i="4"/>
  <c r="BH28" i="4"/>
  <c r="BH30" i="4" s="1"/>
  <c r="BH26" i="4"/>
  <c r="BR28" i="4"/>
  <c r="BR30" i="4" s="1"/>
  <c r="BR26" i="4"/>
  <c r="G28" i="4"/>
  <c r="G30" i="4" s="1"/>
  <c r="G26" i="4"/>
  <c r="I98" i="4"/>
  <c r="I38" i="4"/>
  <c r="I32" i="4"/>
  <c r="O98" i="4"/>
  <c r="O38" i="4"/>
  <c r="O32" i="4"/>
  <c r="S98" i="4"/>
  <c r="S38" i="4"/>
  <c r="S32" i="4"/>
  <c r="W98" i="4"/>
  <c r="W38" i="4"/>
  <c r="W32" i="4"/>
  <c r="G108" i="11" s="1"/>
  <c r="G110" i="11" s="1"/>
  <c r="G111" i="11" s="1"/>
  <c r="AA98" i="4"/>
  <c r="AA38" i="4"/>
  <c r="AA32" i="4"/>
  <c r="AE38" i="4"/>
  <c r="AI98" i="4"/>
  <c r="AI38" i="4"/>
  <c r="AI32" i="4"/>
  <c r="AM98" i="4"/>
  <c r="AM38" i="4"/>
  <c r="AM32" i="4"/>
  <c r="AQ98" i="4"/>
  <c r="AQ38" i="4"/>
  <c r="AQ32" i="4"/>
  <c r="K108" i="11" s="1"/>
  <c r="K110" i="11" s="1"/>
  <c r="K111" i="11" s="1"/>
  <c r="AU98" i="4"/>
  <c r="AU38" i="4"/>
  <c r="AU32" i="4"/>
  <c r="AY98" i="4"/>
  <c r="AY38" i="4"/>
  <c r="AY32" i="4"/>
  <c r="BC98" i="4"/>
  <c r="BC38" i="4"/>
  <c r="BC32" i="4"/>
  <c r="BG98" i="4"/>
  <c r="BG38" i="4"/>
  <c r="BG32" i="4"/>
  <c r="BI106" i="4"/>
  <c r="BQ37" i="4"/>
  <c r="E28" i="4"/>
  <c r="E30" i="4" s="1"/>
  <c r="E26" i="4"/>
  <c r="J106" i="4"/>
  <c r="N28" i="4"/>
  <c r="N30" i="4" s="1"/>
  <c r="N26" i="4"/>
  <c r="V28" i="4"/>
  <c r="V30" i="4" s="1"/>
  <c r="V26" i="4"/>
  <c r="AD28" i="4"/>
  <c r="AD30" i="4" s="1"/>
  <c r="AD26" i="4"/>
  <c r="AL28" i="4"/>
  <c r="AL30" i="4" s="1"/>
  <c r="J51" i="10" s="1"/>
  <c r="AL26" i="4"/>
  <c r="AT28" i="4"/>
  <c r="AT30" i="4" s="1"/>
  <c r="AT26" i="4"/>
  <c r="BB28" i="4"/>
  <c r="BB30" i="4" s="1"/>
  <c r="BB26" i="4"/>
  <c r="BJ98" i="4"/>
  <c r="BJ82" i="4"/>
  <c r="BJ38" i="4"/>
  <c r="BJ39" i="4" s="1"/>
  <c r="BJ32" i="4"/>
  <c r="K98" i="4"/>
  <c r="K38" i="4"/>
  <c r="K32" i="4"/>
  <c r="EC105" i="4"/>
  <c r="EH18" i="4"/>
  <c r="F28" i="4"/>
  <c r="F30" i="4" s="1"/>
  <c r="F26" i="4"/>
  <c r="EC26" i="4"/>
  <c r="ER43" i="4"/>
  <c r="ER35" i="4"/>
  <c r="M98" i="4"/>
  <c r="M38" i="4"/>
  <c r="M32" i="4"/>
  <c r="E108" i="11" s="1"/>
  <c r="E110" i="11" s="1"/>
  <c r="E111" i="11" s="1"/>
  <c r="Q98" i="4"/>
  <c r="Q38" i="4"/>
  <c r="Q32" i="4"/>
  <c r="U98" i="4"/>
  <c r="U38" i="4"/>
  <c r="U32" i="4"/>
  <c r="Y98" i="4"/>
  <c r="Y38" i="4"/>
  <c r="Y32" i="4"/>
  <c r="AC98" i="4"/>
  <c r="AC38" i="4"/>
  <c r="AC32" i="4"/>
  <c r="AG98" i="4"/>
  <c r="AG38" i="4"/>
  <c r="AG32" i="4"/>
  <c r="I108" i="11" s="1"/>
  <c r="I110" i="11" s="1"/>
  <c r="I111" i="11" s="1"/>
  <c r="AK98" i="4"/>
  <c r="AK38" i="4"/>
  <c r="AK32" i="4"/>
  <c r="AO98" i="4"/>
  <c r="AO38" i="4"/>
  <c r="AO32" i="4"/>
  <c r="AS98" i="4"/>
  <c r="AS38" i="4"/>
  <c r="AS32" i="4"/>
  <c r="AW98" i="4"/>
  <c r="AW38" i="4"/>
  <c r="AW32" i="4"/>
  <c r="BA98" i="4"/>
  <c r="BA38" i="4"/>
  <c r="BA32" i="4"/>
  <c r="M108" i="11" s="1"/>
  <c r="M110" i="11" s="1"/>
  <c r="M111" i="11" s="1"/>
  <c r="BE98" i="4"/>
  <c r="BE38" i="4"/>
  <c r="BE32" i="4"/>
  <c r="BI98" i="4"/>
  <c r="BI38" i="4"/>
  <c r="BI39" i="4" s="1"/>
  <c r="BI82" i="4"/>
  <c r="BI32" i="4"/>
  <c r="BO136" i="4"/>
  <c r="BO84" i="4"/>
  <c r="BS136" i="4"/>
  <c r="BS84" i="4"/>
  <c r="BP136" i="4"/>
  <c r="BP84" i="4"/>
  <c r="BT98" i="4"/>
  <c r="BT82" i="4"/>
  <c r="BT32" i="4"/>
  <c r="BU136" i="4"/>
  <c r="BU84" i="4"/>
  <c r="H28" i="4"/>
  <c r="H30" i="4" s="1"/>
  <c r="D51" i="10" s="1"/>
  <c r="H26" i="4"/>
  <c r="D79" i="11" s="1"/>
  <c r="P28" i="4"/>
  <c r="P30" i="4" s="1"/>
  <c r="P26" i="4"/>
  <c r="X28" i="4"/>
  <c r="X30" i="4" s="1"/>
  <c r="X26" i="4"/>
  <c r="AF28" i="4"/>
  <c r="AF30" i="4" s="1"/>
  <c r="AF26" i="4"/>
  <c r="AN28" i="4"/>
  <c r="AN30" i="4" s="1"/>
  <c r="AN26" i="4"/>
  <c r="AV28" i="4"/>
  <c r="AV30" i="4" s="1"/>
  <c r="L51" i="10" s="1"/>
  <c r="AV26" i="4"/>
  <c r="BD28" i="4"/>
  <c r="BD30" i="4" s="1"/>
  <c r="BD26" i="4"/>
  <c r="BL28" i="4"/>
  <c r="BL30" i="4" s="1"/>
  <c r="BL26" i="4"/>
  <c r="BP26" i="4" s="1"/>
  <c r="BV28" i="4"/>
  <c r="BV30" i="4" s="1"/>
  <c r="BV26" i="4"/>
  <c r="BV37" i="4" s="1"/>
  <c r="BZ37" i="4" s="1"/>
  <c r="R109" i="11" s="1"/>
  <c r="D28" i="4"/>
  <c r="D30" i="4" s="1"/>
  <c r="D26" i="4"/>
  <c r="Q106" i="4"/>
  <c r="U106" i="4"/>
  <c r="Y106" i="4"/>
  <c r="AC106" i="4"/>
  <c r="AG106" i="4"/>
  <c r="AK106" i="4"/>
  <c r="AO106" i="4"/>
  <c r="AS106" i="4"/>
  <c r="AW106" i="4"/>
  <c r="BA106" i="4"/>
  <c r="BE106" i="4"/>
  <c r="BK24" i="4"/>
  <c r="BM107" i="4"/>
  <c r="BM98" i="4"/>
  <c r="BM38" i="4"/>
  <c r="BM39" i="4" s="1"/>
  <c r="BM82" i="4"/>
  <c r="BM32" i="4"/>
  <c r="BQ107" i="4"/>
  <c r="BQ98" i="4"/>
  <c r="BQ38" i="4"/>
  <c r="BQ39" i="4" s="1"/>
  <c r="BQ82" i="4"/>
  <c r="BQ32" i="4"/>
  <c r="BW107" i="4"/>
  <c r="BW98" i="4"/>
  <c r="BW38" i="4"/>
  <c r="BW39" i="4" s="1"/>
  <c r="BW82" i="4"/>
  <c r="BW32" i="4"/>
  <c r="CA98" i="4"/>
  <c r="CA38" i="4"/>
  <c r="CA39" i="4" s="1"/>
  <c r="CA82" i="4"/>
  <c r="CA32" i="4"/>
  <c r="J26" i="4"/>
  <c r="J28" i="4"/>
  <c r="J30" i="4" s="1"/>
  <c r="R28" i="4"/>
  <c r="R30" i="4" s="1"/>
  <c r="F51" i="10" s="1"/>
  <c r="R26" i="4"/>
  <c r="F79" i="11" s="1"/>
  <c r="Z28" i="4"/>
  <c r="Z30" i="4" s="1"/>
  <c r="Z26" i="4"/>
  <c r="AH28" i="4"/>
  <c r="AH30" i="4" s="1"/>
  <c r="AH26" i="4"/>
  <c r="AP28" i="4"/>
  <c r="AP30" i="4" s="1"/>
  <c r="AP26" i="4"/>
  <c r="AX28" i="4"/>
  <c r="AX30" i="4" s="1"/>
  <c r="AX26" i="4"/>
  <c r="BF28" i="4"/>
  <c r="BF30" i="4" s="1"/>
  <c r="N51" i="10" s="1"/>
  <c r="BF26" i="4"/>
  <c r="BN98" i="4"/>
  <c r="BN82" i="4"/>
  <c r="BN38" i="4"/>
  <c r="BN39" i="4" s="1"/>
  <c r="BN32" i="4"/>
  <c r="AF94" i="14" l="1"/>
  <c r="AF99" i="14" s="1"/>
  <c r="AF205" i="14"/>
  <c r="AF77" i="10"/>
  <c r="X214" i="14"/>
  <c r="W95" i="19"/>
  <c r="W101" i="19" s="1"/>
  <c r="V87" i="20"/>
  <c r="W80" i="20"/>
  <c r="Z93" i="19"/>
  <c r="Z91" i="20" s="1"/>
  <c r="Y91" i="20"/>
  <c r="EC135" i="1"/>
  <c r="EF135" i="1"/>
  <c r="H15" i="18"/>
  <c r="H27" i="18" s="1"/>
  <c r="H9" i="18"/>
  <c r="AE32" i="4"/>
  <c r="K174" i="10"/>
  <c r="K175" i="10" s="1"/>
  <c r="K176" i="10" s="1"/>
  <c r="K177" i="10" s="1"/>
  <c r="K170" i="10" s="1"/>
  <c r="BI195" i="1"/>
  <c r="BI172" i="1" s="1"/>
  <c r="DD22" i="4"/>
  <c r="X213" i="14" s="1"/>
  <c r="AE45" i="14"/>
  <c r="AB154" i="10"/>
  <c r="AB5" i="11"/>
  <c r="W84" i="18"/>
  <c r="AF7" i="11"/>
  <c r="AF90" i="11" s="1"/>
  <c r="AF109" i="11"/>
  <c r="AD49" i="10"/>
  <c r="AD71" i="10" s="1"/>
  <c r="AD24" i="10" s="1"/>
  <c r="AD79" i="11"/>
  <c r="AC174" i="10"/>
  <c r="ER118" i="1"/>
  <c r="EJ118" i="1"/>
  <c r="EK118" i="1"/>
  <c r="EI118" i="1"/>
  <c r="EL118" i="1"/>
  <c r="F18" i="20"/>
  <c r="F27" i="20"/>
  <c r="S32" i="20"/>
  <c r="R33" i="20"/>
  <c r="R30" i="20" s="1"/>
  <c r="R38" i="20" s="1"/>
  <c r="R29" i="20"/>
  <c r="R37" i="20" s="1"/>
  <c r="W83" i="20"/>
  <c r="X82" i="20"/>
  <c r="W84" i="20"/>
  <c r="Z41" i="20"/>
  <c r="H29" i="20"/>
  <c r="H37" i="20" s="1"/>
  <c r="H27" i="20"/>
  <c r="H30" i="20"/>
  <c r="H38" i="20" s="1"/>
  <c r="H28" i="20"/>
  <c r="H36" i="20" s="1"/>
  <c r="H26" i="20"/>
  <c r="H23" i="20"/>
  <c r="X77" i="20"/>
  <c r="X76" i="20"/>
  <c r="Y75" i="20"/>
  <c r="D10" i="20"/>
  <c r="E9" i="20"/>
  <c r="E26" i="20"/>
  <c r="E15" i="20"/>
  <c r="Q54" i="20"/>
  <c r="X65" i="20"/>
  <c r="X28" i="20"/>
  <c r="X36" i="20" s="1"/>
  <c r="Y25" i="20"/>
  <c r="V93" i="20"/>
  <c r="V99" i="20" s="1"/>
  <c r="W16" i="20"/>
  <c r="K59" i="19"/>
  <c r="L53" i="19" s="1"/>
  <c r="X89" i="19"/>
  <c r="P54" i="19"/>
  <c r="X82" i="19"/>
  <c r="V16" i="19"/>
  <c r="W65" i="19"/>
  <c r="X25" i="19"/>
  <c r="C19" i="19"/>
  <c r="C27" i="19"/>
  <c r="Y86" i="19"/>
  <c r="Y85" i="19"/>
  <c r="Z84" i="19"/>
  <c r="Z41" i="19"/>
  <c r="U31" i="19"/>
  <c r="T28" i="19"/>
  <c r="T36" i="19" s="1"/>
  <c r="Y92" i="19"/>
  <c r="Y90" i="20" s="1"/>
  <c r="Q33" i="19"/>
  <c r="Q30" i="19" s="1"/>
  <c r="Q38" i="19" s="1"/>
  <c r="R32" i="19"/>
  <c r="Q29" i="19"/>
  <c r="Q37" i="19" s="1"/>
  <c r="Y77" i="19"/>
  <c r="Y78" i="19" s="1"/>
  <c r="Y76" i="19"/>
  <c r="Z75" i="19"/>
  <c r="J62" i="19"/>
  <c r="J13" i="19" s="1"/>
  <c r="K10" i="19" s="1"/>
  <c r="J66" i="19"/>
  <c r="J102" i="19" s="1"/>
  <c r="J18" i="19"/>
  <c r="J19" i="19" s="1"/>
  <c r="X80" i="18"/>
  <c r="X78" i="18"/>
  <c r="Y77" i="18"/>
  <c r="X79" i="18"/>
  <c r="V91" i="18"/>
  <c r="V96" i="18" s="1"/>
  <c r="V102" i="18" s="1"/>
  <c r="X16" i="18"/>
  <c r="I25" i="18"/>
  <c r="I61" i="18"/>
  <c r="W88" i="18"/>
  <c r="W87" i="18"/>
  <c r="X86" i="18"/>
  <c r="G9" i="18"/>
  <c r="F10" i="18"/>
  <c r="G15" i="18"/>
  <c r="G26" i="18"/>
  <c r="BA340" i="12"/>
  <c r="AZ307" i="12"/>
  <c r="AY433" i="12"/>
  <c r="O300" i="12"/>
  <c r="O253" i="12"/>
  <c r="O376" i="12"/>
  <c r="O380" i="12" s="1"/>
  <c r="O261" i="12"/>
  <c r="AT246" i="12"/>
  <c r="AU24" i="12"/>
  <c r="AT23" i="12"/>
  <c r="AS245" i="12"/>
  <c r="AQ189" i="12"/>
  <c r="AP188" i="12"/>
  <c r="P377" i="12"/>
  <c r="P354" i="12"/>
  <c r="P385" i="12"/>
  <c r="AO18" i="12"/>
  <c r="AO15" i="12"/>
  <c r="AO16" i="12" s="1"/>
  <c r="AU234" i="12"/>
  <c r="AT237" i="12"/>
  <c r="AY210" i="12"/>
  <c r="AZ200" i="12"/>
  <c r="R250" i="12"/>
  <c r="Q249" i="12"/>
  <c r="AW124" i="12"/>
  <c r="AX90" i="12"/>
  <c r="AN40" i="12"/>
  <c r="AN42" i="12"/>
  <c r="AO42" i="12" s="1"/>
  <c r="AP42" i="12" s="1"/>
  <c r="AQ42" i="12" s="1"/>
  <c r="AR42" i="12" s="1"/>
  <c r="AS42" i="12" s="1"/>
  <c r="AT42" i="12" s="1"/>
  <c r="AU42" i="12" s="1"/>
  <c r="AV42" i="12" s="1"/>
  <c r="AW42" i="12" s="1"/>
  <c r="AX42" i="12" s="1"/>
  <c r="AY42" i="12" s="1"/>
  <c r="AZ42" i="12" s="1"/>
  <c r="BA42" i="12" s="1"/>
  <c r="AO41" i="12"/>
  <c r="AN43" i="12"/>
  <c r="AY309" i="12"/>
  <c r="AX311" i="12"/>
  <c r="AN36" i="12"/>
  <c r="AN38" i="12"/>
  <c r="AO38" i="12" s="1"/>
  <c r="AP38" i="12" s="1"/>
  <c r="AQ38" i="12" s="1"/>
  <c r="AR38" i="12" s="1"/>
  <c r="AS38" i="12" s="1"/>
  <c r="AT38" i="12" s="1"/>
  <c r="AU38" i="12" s="1"/>
  <c r="AV38" i="12" s="1"/>
  <c r="AW38" i="12" s="1"/>
  <c r="AX38" i="12" s="1"/>
  <c r="AY38" i="12" s="1"/>
  <c r="AZ38" i="12" s="1"/>
  <c r="BA38" i="12" s="1"/>
  <c r="AN39" i="12"/>
  <c r="BA478" i="12"/>
  <c r="BA477" i="12" s="1"/>
  <c r="AZ477" i="12"/>
  <c r="S304" i="12"/>
  <c r="R303" i="12"/>
  <c r="AN22" i="12"/>
  <c r="AN86" i="12" s="1"/>
  <c r="AN21" i="12"/>
  <c r="AN27" i="12" s="1"/>
  <c r="AU6" i="12"/>
  <c r="AQ179" i="12"/>
  <c r="AP178" i="12"/>
  <c r="AX220" i="12"/>
  <c r="AX208" i="12"/>
  <c r="BA108" i="12"/>
  <c r="AZ109" i="12"/>
  <c r="AZ107" i="12"/>
  <c r="AZ110" i="12"/>
  <c r="AQ199" i="12"/>
  <c r="AP198" i="12"/>
  <c r="AW230" i="12"/>
  <c r="AW228" i="12" s="1"/>
  <c r="AW218" i="12"/>
  <c r="N474" i="12"/>
  <c r="N475" i="12" s="1"/>
  <c r="N481" i="12" s="1"/>
  <c r="N463" i="12"/>
  <c r="N465" i="12" s="1"/>
  <c r="P369" i="12"/>
  <c r="AQ11" i="12"/>
  <c r="AP13" i="12"/>
  <c r="AP9" i="12" s="1"/>
  <c r="AS244" i="12"/>
  <c r="AS243" i="12"/>
  <c r="AZ104" i="12"/>
  <c r="AY106" i="12"/>
  <c r="AP33" i="12"/>
  <c r="AO35" i="12"/>
  <c r="AO68" i="12" s="1"/>
  <c r="BA190" i="12"/>
  <c r="BA188" i="12" s="1"/>
  <c r="AZ188" i="12"/>
  <c r="P299" i="12"/>
  <c r="P269" i="12"/>
  <c r="O384" i="12"/>
  <c r="O388" i="12" s="1"/>
  <c r="O265" i="12"/>
  <c r="O368" i="12"/>
  <c r="O372" i="12" s="1"/>
  <c r="O257" i="12"/>
  <c r="AP157" i="12"/>
  <c r="AQ158" i="12"/>
  <c r="AQ157" i="12" s="1"/>
  <c r="AW341" i="12"/>
  <c r="Q353" i="12"/>
  <c r="Q348" i="12"/>
  <c r="Q347" i="12"/>
  <c r="Q345" i="12"/>
  <c r="Q346" i="12"/>
  <c r="Q344" i="12"/>
  <c r="AA46" i="14"/>
  <c r="AA47" i="14" s="1"/>
  <c r="AF43" i="14"/>
  <c r="AB187" i="14"/>
  <c r="AC137" i="14"/>
  <c r="AB178" i="14"/>
  <c r="AC139" i="14"/>
  <c r="AF9" i="14"/>
  <c r="AB30" i="10"/>
  <c r="AB26" i="10"/>
  <c r="AC55" i="14"/>
  <c r="AC57" i="14" s="1"/>
  <c r="AC32" i="10" s="1"/>
  <c r="AC187" i="10" s="1"/>
  <c r="AC54" i="14"/>
  <c r="AD1" i="14"/>
  <c r="AA188" i="14"/>
  <c r="AB148" i="14"/>
  <c r="AA135" i="14"/>
  <c r="Z175" i="14"/>
  <c r="AA131" i="14"/>
  <c r="Z171" i="14"/>
  <c r="AB169" i="14"/>
  <c r="AA208" i="14"/>
  <c r="AE100" i="14"/>
  <c r="AE101" i="14" s="1"/>
  <c r="AE40" i="11"/>
  <c r="AA133" i="14"/>
  <c r="Z173" i="14"/>
  <c r="AD168" i="14"/>
  <c r="AC207" i="14"/>
  <c r="AB132" i="14"/>
  <c r="AA172" i="14"/>
  <c r="AC151" i="14"/>
  <c r="AB191" i="14"/>
  <c r="AB134" i="14"/>
  <c r="AA174" i="14"/>
  <c r="AB136" i="14"/>
  <c r="AA176" i="14"/>
  <c r="AE195" i="11"/>
  <c r="AF7" i="14"/>
  <c r="AF195" i="11" s="1"/>
  <c r="AF156" i="11"/>
  <c r="AA177" i="14"/>
  <c r="AB138" i="14"/>
  <c r="AF5" i="14"/>
  <c r="AF169" i="11" s="1"/>
  <c r="AE169" i="11"/>
  <c r="Y210" i="14"/>
  <c r="N92" i="10"/>
  <c r="N95" i="10"/>
  <c r="N93" i="10"/>
  <c r="F95" i="10"/>
  <c r="F92" i="10"/>
  <c r="F93" i="10"/>
  <c r="P79" i="11"/>
  <c r="P174" i="10"/>
  <c r="P175" i="10" s="1"/>
  <c r="P176" i="10" s="1"/>
  <c r="P177" i="10" s="1"/>
  <c r="P170" i="10" s="1"/>
  <c r="L174" i="10"/>
  <c r="L175" i="10" s="1"/>
  <c r="L176" i="10" s="1"/>
  <c r="L177" i="10" s="1"/>
  <c r="L170" i="10" s="1"/>
  <c r="L79" i="11"/>
  <c r="J79" i="11"/>
  <c r="J174" i="10"/>
  <c r="J175" i="10" s="1"/>
  <c r="J176" i="10" s="1"/>
  <c r="J177" i="10" s="1"/>
  <c r="H92" i="10"/>
  <c r="H95" i="10"/>
  <c r="H93" i="10"/>
  <c r="C95" i="10"/>
  <c r="C92" i="10"/>
  <c r="C93" i="10"/>
  <c r="EM152" i="1"/>
  <c r="CY191" i="1"/>
  <c r="DD168" i="1"/>
  <c r="BJ192" i="1"/>
  <c r="BK169" i="1"/>
  <c r="DI154" i="1"/>
  <c r="BP177" i="1"/>
  <c r="BL153" i="1"/>
  <c r="BU153" i="1"/>
  <c r="BN190" i="1"/>
  <c r="BO167" i="1"/>
  <c r="BO190" i="1" s="1"/>
  <c r="R107" i="4"/>
  <c r="W107" i="4"/>
  <c r="AV107" i="4"/>
  <c r="BA107" i="4"/>
  <c r="BR190" i="1"/>
  <c r="BS167" i="1"/>
  <c r="EM155" i="1"/>
  <c r="BS175" i="1"/>
  <c r="BT151" i="1"/>
  <c r="BT175" i="1" s="1"/>
  <c r="ER112" i="1"/>
  <c r="EL112" i="1"/>
  <c r="EJ112" i="1"/>
  <c r="EK112" i="1"/>
  <c r="EI112" i="1"/>
  <c r="N174" i="10"/>
  <c r="N175" i="10" s="1"/>
  <c r="N176" i="10" s="1"/>
  <c r="N177" i="10" s="1"/>
  <c r="N170" i="10" s="1"/>
  <c r="N79" i="11"/>
  <c r="L92" i="10"/>
  <c r="L95" i="10"/>
  <c r="L93" i="10"/>
  <c r="D95" i="10"/>
  <c r="D92" i="10"/>
  <c r="D93" i="10"/>
  <c r="J92" i="10"/>
  <c r="J95" i="10"/>
  <c r="J93" i="10"/>
  <c r="CE190" i="1"/>
  <c r="CJ167" i="1"/>
  <c r="CA167" i="1"/>
  <c r="ER115" i="1"/>
  <c r="EL115" i="1"/>
  <c r="EJ115" i="1"/>
  <c r="EK115" i="1"/>
  <c r="EI115" i="1"/>
  <c r="CA175" i="1"/>
  <c r="CB151" i="1"/>
  <c r="DI170" i="1"/>
  <c r="EM162" i="1"/>
  <c r="AL107" i="4"/>
  <c r="AQ107" i="4"/>
  <c r="AB107" i="4"/>
  <c r="AG107" i="4"/>
  <c r="AE99" i="11"/>
  <c r="AE42" i="11"/>
  <c r="AF152" i="11"/>
  <c r="AF86" i="11"/>
  <c r="ER128" i="4"/>
  <c r="ER129" i="4" s="1"/>
  <c r="ER130" i="4" s="1"/>
  <c r="AF88" i="11"/>
  <c r="BF107" i="4"/>
  <c r="BK107" i="4"/>
  <c r="AD133" i="10"/>
  <c r="AF129" i="10"/>
  <c r="AF13" i="10"/>
  <c r="AE13" i="10"/>
  <c r="AB166" i="10"/>
  <c r="BN136" i="4"/>
  <c r="BN84" i="4"/>
  <c r="J98" i="4"/>
  <c r="J38" i="4"/>
  <c r="J32" i="4"/>
  <c r="BW136" i="4"/>
  <c r="BW84" i="4"/>
  <c r="BM136" i="4"/>
  <c r="BM84" i="4"/>
  <c r="BK28" i="4"/>
  <c r="BK30" i="4" s="1"/>
  <c r="O51" i="10" s="1"/>
  <c r="BK26" i="4"/>
  <c r="BI136" i="4"/>
  <c r="BI84" i="4"/>
  <c r="BE82" i="4"/>
  <c r="BE39" i="4"/>
  <c r="AW82" i="4"/>
  <c r="AW39" i="4"/>
  <c r="AO82" i="4"/>
  <c r="AO39" i="4"/>
  <c r="AG82" i="4"/>
  <c r="I117" i="11" s="1"/>
  <c r="AG39" i="4"/>
  <c r="Y82" i="4"/>
  <c r="Y39" i="4"/>
  <c r="Q82" i="4"/>
  <c r="Q39" i="4"/>
  <c r="EH26" i="4"/>
  <c r="AD174" i="10" s="1"/>
  <c r="F98" i="4"/>
  <c r="F38" i="4"/>
  <c r="F32" i="4"/>
  <c r="K82" i="4"/>
  <c r="K39" i="4"/>
  <c r="BJ136" i="4"/>
  <c r="BJ84" i="4"/>
  <c r="E98" i="4"/>
  <c r="E38" i="4"/>
  <c r="E32" i="4"/>
  <c r="BC82" i="4"/>
  <c r="BC39" i="4"/>
  <c r="AU82" i="4"/>
  <c r="AU39" i="4"/>
  <c r="AM82" i="4"/>
  <c r="AM39" i="4"/>
  <c r="AE82" i="4"/>
  <c r="AE39" i="4"/>
  <c r="W82" i="4"/>
  <c r="G117" i="11" s="1"/>
  <c r="W39" i="4"/>
  <c r="O82" i="4"/>
  <c r="O39" i="4"/>
  <c r="G98" i="4"/>
  <c r="G38" i="4"/>
  <c r="G32" i="4"/>
  <c r="BR98" i="4"/>
  <c r="BR82" i="4"/>
  <c r="BR32" i="4"/>
  <c r="BH98" i="4"/>
  <c r="BH38" i="4"/>
  <c r="BH32" i="4"/>
  <c r="AZ98" i="4"/>
  <c r="AZ38" i="4"/>
  <c r="AZ32" i="4"/>
  <c r="AR98" i="4"/>
  <c r="AR38" i="4"/>
  <c r="AR32" i="4"/>
  <c r="AJ98" i="4"/>
  <c r="AJ38" i="4"/>
  <c r="AJ32" i="4"/>
  <c r="AB98" i="4"/>
  <c r="AB38" i="4"/>
  <c r="AB32" i="4"/>
  <c r="H108" i="11" s="1"/>
  <c r="H110" i="11" s="1"/>
  <c r="H111" i="11" s="1"/>
  <c r="L98" i="4"/>
  <c r="L38" i="4"/>
  <c r="L32" i="4"/>
  <c r="BF98" i="4"/>
  <c r="BF38" i="4"/>
  <c r="BF32" i="4"/>
  <c r="N108" i="11" s="1"/>
  <c r="N110" i="11" s="1"/>
  <c r="N111" i="11" s="1"/>
  <c r="AX98" i="4"/>
  <c r="AX38" i="4"/>
  <c r="AX32" i="4"/>
  <c r="AP98" i="4"/>
  <c r="AP38" i="4"/>
  <c r="AP32" i="4"/>
  <c r="AH98" i="4"/>
  <c r="AH38" i="4"/>
  <c r="AH32" i="4"/>
  <c r="Z98" i="4"/>
  <c r="Z38" i="4"/>
  <c r="Z32" i="4"/>
  <c r="R98" i="4"/>
  <c r="R38" i="4"/>
  <c r="R32" i="4"/>
  <c r="F108" i="11" s="1"/>
  <c r="F110" i="11" s="1"/>
  <c r="F111" i="11" s="1"/>
  <c r="CA136" i="4"/>
  <c r="CA84" i="4"/>
  <c r="BQ136" i="4"/>
  <c r="BQ84" i="4"/>
  <c r="D98" i="4"/>
  <c r="D38" i="4"/>
  <c r="D32" i="4"/>
  <c r="BV98" i="4"/>
  <c r="BV82" i="4"/>
  <c r="BV38" i="4"/>
  <c r="BV39" i="4" s="1"/>
  <c r="BV32" i="4"/>
  <c r="BL98" i="4"/>
  <c r="BL82" i="4"/>
  <c r="BL38" i="4"/>
  <c r="BL39" i="4" s="1"/>
  <c r="BL32" i="4"/>
  <c r="BD98" i="4"/>
  <c r="BD38" i="4"/>
  <c r="BD32" i="4"/>
  <c r="AV98" i="4"/>
  <c r="AV38" i="4"/>
  <c r="AV32" i="4"/>
  <c r="L108" i="11" s="1"/>
  <c r="L110" i="11" s="1"/>
  <c r="L111" i="11" s="1"/>
  <c r="AN98" i="4"/>
  <c r="AN38" i="4"/>
  <c r="AN32" i="4"/>
  <c r="AF98" i="4"/>
  <c r="AF38" i="4"/>
  <c r="AF32" i="4"/>
  <c r="X98" i="4"/>
  <c r="X38" i="4"/>
  <c r="X32" i="4"/>
  <c r="P98" i="4"/>
  <c r="P38" i="4"/>
  <c r="P32" i="4"/>
  <c r="H98" i="4"/>
  <c r="H38" i="4"/>
  <c r="H32" i="4"/>
  <c r="D108" i="11" s="1"/>
  <c r="D110" i="11" s="1"/>
  <c r="D111" i="11" s="1"/>
  <c r="BT136" i="4"/>
  <c r="BT84" i="4"/>
  <c r="BA82" i="4"/>
  <c r="M117" i="11" s="1"/>
  <c r="BA39" i="4"/>
  <c r="AS82" i="4"/>
  <c r="AS39" i="4"/>
  <c r="AK82" i="4"/>
  <c r="AK39" i="4"/>
  <c r="AC82" i="4"/>
  <c r="AC39" i="4"/>
  <c r="U82" i="4"/>
  <c r="U39" i="4"/>
  <c r="M82" i="4"/>
  <c r="E117" i="11" s="1"/>
  <c r="M39" i="4"/>
  <c r="EH105" i="4"/>
  <c r="BB98" i="4"/>
  <c r="BB38" i="4"/>
  <c r="BB32" i="4"/>
  <c r="AT98" i="4"/>
  <c r="AT38" i="4"/>
  <c r="AT32" i="4"/>
  <c r="AL98" i="4"/>
  <c r="AL38" i="4"/>
  <c r="AL32" i="4"/>
  <c r="J108" i="11" s="1"/>
  <c r="J110" i="11" s="1"/>
  <c r="J111" i="11" s="1"/>
  <c r="AD98" i="4"/>
  <c r="AD38" i="4"/>
  <c r="AD32" i="4"/>
  <c r="V98" i="4"/>
  <c r="V38" i="4"/>
  <c r="V32" i="4"/>
  <c r="N98" i="4"/>
  <c r="N38" i="4"/>
  <c r="N32" i="4"/>
  <c r="BG82" i="4"/>
  <c r="BG39" i="4"/>
  <c r="AY82" i="4"/>
  <c r="AY39" i="4"/>
  <c r="AQ82" i="4"/>
  <c r="K117" i="11" s="1"/>
  <c r="AQ39" i="4"/>
  <c r="AI82" i="4"/>
  <c r="AI39" i="4"/>
  <c r="AA82" i="4"/>
  <c r="AA39" i="4"/>
  <c r="S82" i="4"/>
  <c r="S39" i="4"/>
  <c r="I82" i="4"/>
  <c r="I39" i="4"/>
  <c r="BR37" i="4"/>
  <c r="BS26" i="4"/>
  <c r="T98" i="4"/>
  <c r="T38" i="4"/>
  <c r="T32" i="4"/>
  <c r="EH104" i="4"/>
  <c r="EH36" i="4"/>
  <c r="BX136" i="4"/>
  <c r="BX84" i="4"/>
  <c r="C98" i="4"/>
  <c r="C38" i="4"/>
  <c r="C32" i="4"/>
  <c r="C108" i="11" s="1"/>
  <c r="C110" i="11" s="1"/>
  <c r="C111" i="11" s="1"/>
  <c r="AF39" i="11" l="1"/>
  <c r="AF40" i="11" s="1"/>
  <c r="CH167" i="1"/>
  <c r="CH190" i="1" s="1"/>
  <c r="CG167" i="1"/>
  <c r="CG190" i="1" s="1"/>
  <c r="CF167" i="1"/>
  <c r="CF190" i="1" s="1"/>
  <c r="CI167" i="1"/>
  <c r="CI190" i="1" s="1"/>
  <c r="X80" i="20"/>
  <c r="H13" i="20"/>
  <c r="I10" i="20" s="1"/>
  <c r="X95" i="19"/>
  <c r="X101" i="19" s="1"/>
  <c r="EK135" i="1"/>
  <c r="EH135" i="1"/>
  <c r="H19" i="18"/>
  <c r="BJ195" i="1"/>
  <c r="BJ172" i="1" s="1"/>
  <c r="AB46" i="14"/>
  <c r="AB47" i="14" s="1"/>
  <c r="W91" i="18"/>
  <c r="W96" i="18" s="1"/>
  <c r="W102" i="18" s="1"/>
  <c r="AN65" i="12"/>
  <c r="AE49" i="10"/>
  <c r="AE71" i="10" s="1"/>
  <c r="AE24" i="10" s="1"/>
  <c r="EO118" i="1"/>
  <c r="EP118" i="1"/>
  <c r="EN118" i="1"/>
  <c r="EQ118" i="1"/>
  <c r="E18" i="20"/>
  <c r="E27" i="20"/>
  <c r="Z75" i="20"/>
  <c r="Y77" i="20"/>
  <c r="Y76" i="20"/>
  <c r="W87" i="20"/>
  <c r="W93" i="20" s="1"/>
  <c r="W99" i="20" s="1"/>
  <c r="X16" i="20"/>
  <c r="Y65" i="20"/>
  <c r="Y28" i="20"/>
  <c r="Y36" i="20" s="1"/>
  <c r="Z25" i="20"/>
  <c r="D9" i="20"/>
  <c r="C10" i="20"/>
  <c r="D15" i="20"/>
  <c r="D26" i="20"/>
  <c r="I9" i="20"/>
  <c r="I15" i="20"/>
  <c r="I18" i="20" s="1"/>
  <c r="H54" i="20"/>
  <c r="I53" i="20" s="1"/>
  <c r="X84" i="20"/>
  <c r="X83" i="20"/>
  <c r="Y82" i="20"/>
  <c r="R54" i="20"/>
  <c r="S33" i="20"/>
  <c r="S30" i="20" s="1"/>
  <c r="S38" i="20" s="1"/>
  <c r="T32" i="20"/>
  <c r="S29" i="20"/>
  <c r="S37" i="20" s="1"/>
  <c r="J104" i="19"/>
  <c r="J109" i="18" s="1"/>
  <c r="J111" i="18" s="1"/>
  <c r="J107" i="19"/>
  <c r="J109" i="19"/>
  <c r="Y82" i="19"/>
  <c r="Q54" i="19"/>
  <c r="Z92" i="19"/>
  <c r="Z90" i="20" s="1"/>
  <c r="V31" i="19"/>
  <c r="U28" i="19"/>
  <c r="U36" i="19" s="1"/>
  <c r="Y89" i="19"/>
  <c r="X65" i="19"/>
  <c r="Y25" i="19"/>
  <c r="W16" i="19"/>
  <c r="K66" i="19"/>
  <c r="K102" i="19" s="1"/>
  <c r="K62" i="19"/>
  <c r="K13" i="19" s="1"/>
  <c r="L10" i="19" s="1"/>
  <c r="K18" i="19"/>
  <c r="K9" i="19"/>
  <c r="K26" i="19"/>
  <c r="K15" i="19"/>
  <c r="K27" i="19" s="1"/>
  <c r="Z77" i="19"/>
  <c r="Z78" i="19" s="1"/>
  <c r="Z76" i="19"/>
  <c r="R33" i="19"/>
  <c r="R30" i="19" s="1"/>
  <c r="R38" i="19" s="1"/>
  <c r="S32" i="19"/>
  <c r="R29" i="19"/>
  <c r="R37" i="19" s="1"/>
  <c r="Z85" i="19"/>
  <c r="Z86" i="19"/>
  <c r="L59" i="19"/>
  <c r="M53" i="19" s="1"/>
  <c r="E10" i="18"/>
  <c r="F9" i="18"/>
  <c r="F26" i="18"/>
  <c r="F15" i="18"/>
  <c r="X87" i="18"/>
  <c r="Y86" i="18"/>
  <c r="X88" i="18"/>
  <c r="I30" i="18"/>
  <c r="I38" i="18" s="1"/>
  <c r="I28" i="18"/>
  <c r="I36" i="18" s="1"/>
  <c r="I26" i="18"/>
  <c r="I23" i="18"/>
  <c r="I18" i="18"/>
  <c r="I19" i="18" s="1"/>
  <c r="I29" i="18"/>
  <c r="I37" i="18" s="1"/>
  <c r="I27" i="18"/>
  <c r="Y16" i="18"/>
  <c r="X84" i="18"/>
  <c r="G27" i="18"/>
  <c r="G19" i="18"/>
  <c r="Y79" i="18"/>
  <c r="Y78" i="18"/>
  <c r="Z77" i="18"/>
  <c r="Y80" i="18"/>
  <c r="O287" i="12"/>
  <c r="Q377" i="12"/>
  <c r="Q385" i="12"/>
  <c r="AQ33" i="12"/>
  <c r="AP35" i="12"/>
  <c r="AP68" i="12" s="1"/>
  <c r="BA104" i="12"/>
  <c r="BA106" i="12" s="1"/>
  <c r="AZ106" i="12"/>
  <c r="AR11" i="12"/>
  <c r="AQ13" i="12"/>
  <c r="AQ9" i="12" s="1"/>
  <c r="AR199" i="12"/>
  <c r="AQ198" i="12"/>
  <c r="BA109" i="12"/>
  <c r="BA107" i="12"/>
  <c r="BA110" i="12"/>
  <c r="AX230" i="12"/>
  <c r="AX228" i="12" s="1"/>
  <c r="AX218" i="12"/>
  <c r="AR179" i="12"/>
  <c r="AQ178" i="12"/>
  <c r="AN135" i="12"/>
  <c r="AN225" i="12" s="1"/>
  <c r="AN133" i="12"/>
  <c r="AN205" i="12" s="1"/>
  <c r="AN136" i="12"/>
  <c r="AN134" i="12"/>
  <c r="AN215" i="12" s="1"/>
  <c r="AN132" i="12"/>
  <c r="AN195" i="12" s="1"/>
  <c r="AN130" i="12"/>
  <c r="AN175" i="12" s="1"/>
  <c r="AN128" i="12"/>
  <c r="AN154" i="12" s="1"/>
  <c r="AN129" i="12"/>
  <c r="AN165" i="12" s="1"/>
  <c r="AN131" i="12"/>
  <c r="AN185" i="12" s="1"/>
  <c r="AN127" i="12"/>
  <c r="X304" i="12"/>
  <c r="T304" i="12"/>
  <c r="S303" i="12"/>
  <c r="AP37" i="12"/>
  <c r="AO36" i="12"/>
  <c r="AO39" i="12"/>
  <c r="AZ309" i="12"/>
  <c r="AY311" i="12"/>
  <c r="AP41" i="12"/>
  <c r="AO40" i="12"/>
  <c r="AP40" i="12" s="1"/>
  <c r="AQ40" i="12" s="1"/>
  <c r="AR40" i="12" s="1"/>
  <c r="AS40" i="12" s="1"/>
  <c r="AT40" i="12" s="1"/>
  <c r="AU40" i="12" s="1"/>
  <c r="AV40" i="12" s="1"/>
  <c r="AW40" i="12" s="1"/>
  <c r="AX40" i="12" s="1"/>
  <c r="AY40" i="12" s="1"/>
  <c r="AZ40" i="12" s="1"/>
  <c r="BA40" i="12" s="1"/>
  <c r="AO43" i="12"/>
  <c r="Q299" i="12"/>
  <c r="Q269" i="12"/>
  <c r="BA200" i="12"/>
  <c r="BA198" i="12" s="1"/>
  <c r="AZ198" i="12"/>
  <c r="AT244" i="12"/>
  <c r="P384" i="12"/>
  <c r="P388" i="12" s="1"/>
  <c r="P265" i="12"/>
  <c r="P300" i="12"/>
  <c r="P253" i="12"/>
  <c r="P376" i="12"/>
  <c r="P380" i="12" s="1"/>
  <c r="P261" i="12"/>
  <c r="AT245" i="12"/>
  <c r="AT243" i="12" s="1"/>
  <c r="Q354" i="12"/>
  <c r="Q369" i="12"/>
  <c r="AP18" i="12"/>
  <c r="AP15" i="12"/>
  <c r="AP16" i="12" s="1"/>
  <c r="P368" i="12"/>
  <c r="P372" i="12" s="1"/>
  <c r="P257" i="12"/>
  <c r="AV6" i="12"/>
  <c r="AN82" i="12"/>
  <c r="AN80" i="12"/>
  <c r="AN214" i="12" s="1"/>
  <c r="AN221" i="12" s="1"/>
  <c r="AN78" i="12"/>
  <c r="AN194" i="12" s="1"/>
  <c r="AN201" i="12" s="1"/>
  <c r="AN76" i="12"/>
  <c r="AN174" i="12" s="1"/>
  <c r="AN181" i="12" s="1"/>
  <c r="AN74" i="12"/>
  <c r="AN153" i="12" s="1"/>
  <c r="AN160" i="12" s="1"/>
  <c r="AN81" i="12"/>
  <c r="AN224" i="12" s="1"/>
  <c r="AN79" i="12"/>
  <c r="AN204" i="12" s="1"/>
  <c r="AN77" i="12"/>
  <c r="AN184" i="12" s="1"/>
  <c r="AN75" i="12"/>
  <c r="AN164" i="12" s="1"/>
  <c r="AN73" i="12"/>
  <c r="R348" i="12"/>
  <c r="R347" i="12"/>
  <c r="R353" i="12"/>
  <c r="R345" i="12"/>
  <c r="R346" i="12"/>
  <c r="R344" i="12"/>
  <c r="AX341" i="12"/>
  <c r="AN66" i="12"/>
  <c r="AN69" i="12"/>
  <c r="AY90" i="12"/>
  <c r="AX124" i="12"/>
  <c r="S250" i="12"/>
  <c r="R249" i="12"/>
  <c r="AY220" i="12"/>
  <c r="AZ210" i="12"/>
  <c r="AY208" i="12"/>
  <c r="AU237" i="12"/>
  <c r="AV234" i="12"/>
  <c r="AO22" i="12"/>
  <c r="AO86" i="12" s="1"/>
  <c r="AO21" i="12"/>
  <c r="AO27" i="12" s="1"/>
  <c r="AR189" i="12"/>
  <c r="AQ188" i="12"/>
  <c r="AU246" i="12"/>
  <c r="AU23" i="12"/>
  <c r="AV24" i="12"/>
  <c r="AZ433" i="12"/>
  <c r="BA307" i="12"/>
  <c r="Z210" i="14"/>
  <c r="AB188" i="14"/>
  <c r="AC148" i="14"/>
  <c r="AD55" i="14"/>
  <c r="AD57" i="14" s="1"/>
  <c r="AD32" i="10" s="1"/>
  <c r="AD187" i="10" s="1"/>
  <c r="AE1" i="14"/>
  <c r="AD54" i="14"/>
  <c r="Y212" i="14"/>
  <c r="Y214" i="14"/>
  <c r="DI22" i="4"/>
  <c r="Y213" i="14" s="1"/>
  <c r="AB177" i="14"/>
  <c r="AC138" i="14"/>
  <c r="AF45" i="14"/>
  <c r="AC136" i="14"/>
  <c r="AB176" i="14"/>
  <c r="AC134" i="14"/>
  <c r="AB174" i="14"/>
  <c r="AD151" i="14"/>
  <c r="AC191" i="14"/>
  <c r="AC132" i="14"/>
  <c r="AB172" i="14"/>
  <c r="AE168" i="14"/>
  <c r="AD207" i="14"/>
  <c r="AB133" i="14"/>
  <c r="AA173" i="14"/>
  <c r="AC169" i="14"/>
  <c r="AB208" i="14"/>
  <c r="AB131" i="14"/>
  <c r="AA171" i="14"/>
  <c r="AB135" i="14"/>
  <c r="AA175" i="14"/>
  <c r="AC30" i="10"/>
  <c r="AC26" i="10"/>
  <c r="AC178" i="14"/>
  <c r="AD139" i="14"/>
  <c r="AC187" i="14"/>
  <c r="AD137" i="14"/>
  <c r="M118" i="11"/>
  <c r="M120" i="11"/>
  <c r="G118" i="11"/>
  <c r="G120" i="11"/>
  <c r="BK37" i="4"/>
  <c r="O109" i="11" s="1"/>
  <c r="O79" i="11"/>
  <c r="O174" i="10"/>
  <c r="O175" i="10" s="1"/>
  <c r="O176" i="10" s="1"/>
  <c r="O177" i="10" s="1"/>
  <c r="O170" i="10" s="1"/>
  <c r="ER162" i="1"/>
  <c r="DN170" i="1"/>
  <c r="CB175" i="1"/>
  <c r="CC151" i="1"/>
  <c r="EP115" i="1"/>
  <c r="EN115" i="1"/>
  <c r="EQ115" i="1"/>
  <c r="EO115" i="1"/>
  <c r="CJ190" i="1"/>
  <c r="CO167" i="1"/>
  <c r="ER155" i="1"/>
  <c r="BS190" i="1"/>
  <c r="BT167" i="1"/>
  <c r="BT190" i="1" s="1"/>
  <c r="BL177" i="1"/>
  <c r="BM153" i="1"/>
  <c r="DN154" i="1"/>
  <c r="BK192" i="1"/>
  <c r="BP169" i="1"/>
  <c r="DD191" i="1"/>
  <c r="DI168" i="1"/>
  <c r="K118" i="11"/>
  <c r="K120" i="11"/>
  <c r="E118" i="11"/>
  <c r="E120" i="11"/>
  <c r="I118" i="11"/>
  <c r="I120" i="11"/>
  <c r="O92" i="10"/>
  <c r="O95" i="10"/>
  <c r="O93" i="10"/>
  <c r="CA190" i="1"/>
  <c r="CB167" i="1"/>
  <c r="EP112" i="1"/>
  <c r="EN112" i="1"/>
  <c r="EQ112" i="1"/>
  <c r="EO112" i="1"/>
  <c r="BU177" i="1"/>
  <c r="BZ153" i="1"/>
  <c r="BQ153" i="1"/>
  <c r="BQ177" i="1" s="1"/>
  <c r="ER152" i="1"/>
  <c r="AF99" i="11"/>
  <c r="AF42" i="11"/>
  <c r="AB168" i="10"/>
  <c r="AC167" i="10"/>
  <c r="AC166" i="10" s="1"/>
  <c r="AB15" i="10"/>
  <c r="AB183" i="10" s="1"/>
  <c r="AE133" i="10"/>
  <c r="T82" i="4"/>
  <c r="T39" i="4"/>
  <c r="BS37" i="4"/>
  <c r="BS38" i="4" s="1"/>
  <c r="BS39" i="4" s="1"/>
  <c r="BT26" i="4"/>
  <c r="BT37" i="4" s="1"/>
  <c r="BT38" i="4" s="1"/>
  <c r="BT39" i="4" s="1"/>
  <c r="V82" i="4"/>
  <c r="V39" i="4"/>
  <c r="AL82" i="4"/>
  <c r="J117" i="11" s="1"/>
  <c r="AL39" i="4"/>
  <c r="BB82" i="4"/>
  <c r="BB39" i="4"/>
  <c r="EM105" i="4"/>
  <c r="ER105" i="4"/>
  <c r="M136" i="4"/>
  <c r="M84" i="4"/>
  <c r="U136" i="4"/>
  <c r="U84" i="4"/>
  <c r="AC136" i="4"/>
  <c r="AC84" i="4"/>
  <c r="AK136" i="4"/>
  <c r="AK84" i="4"/>
  <c r="AS136" i="4"/>
  <c r="AS84" i="4"/>
  <c r="BA136" i="4"/>
  <c r="BA84" i="4"/>
  <c r="H82" i="4"/>
  <c r="D117" i="11" s="1"/>
  <c r="H39" i="4"/>
  <c r="X82" i="4"/>
  <c r="X39" i="4"/>
  <c r="AN82" i="4"/>
  <c r="AN39" i="4"/>
  <c r="BD82" i="4"/>
  <c r="BD39" i="4"/>
  <c r="BL136" i="4"/>
  <c r="BL84" i="4"/>
  <c r="BV136" i="4"/>
  <c r="BV84" i="4"/>
  <c r="R82" i="4"/>
  <c r="F117" i="11" s="1"/>
  <c r="R39" i="4"/>
  <c r="AH82" i="4"/>
  <c r="AH39" i="4"/>
  <c r="AX82" i="4"/>
  <c r="AX39" i="4"/>
  <c r="AB82" i="4"/>
  <c r="H117" i="11" s="1"/>
  <c r="AB39" i="4"/>
  <c r="AR82" i="4"/>
  <c r="AR39" i="4"/>
  <c r="BH82" i="4"/>
  <c r="BK82" i="4" s="1"/>
  <c r="O117" i="11" s="1"/>
  <c r="BH39" i="4"/>
  <c r="BR136" i="4"/>
  <c r="BR84" i="4"/>
  <c r="O136" i="4"/>
  <c r="O84" i="4"/>
  <c r="W136" i="4"/>
  <c r="W84" i="4"/>
  <c r="AE136" i="4"/>
  <c r="AE84" i="4"/>
  <c r="AM136" i="4"/>
  <c r="AM84" i="4"/>
  <c r="AU136" i="4"/>
  <c r="AU84" i="4"/>
  <c r="BC136" i="4"/>
  <c r="BC84" i="4"/>
  <c r="K136" i="4"/>
  <c r="K84" i="4"/>
  <c r="F82" i="4"/>
  <c r="F39" i="4"/>
  <c r="C82" i="4"/>
  <c r="C117" i="11" s="1"/>
  <c r="C39" i="4"/>
  <c r="EM104" i="4"/>
  <c r="EM36" i="4"/>
  <c r="I136" i="4"/>
  <c r="I84" i="4"/>
  <c r="S136" i="4"/>
  <c r="S84" i="4"/>
  <c r="AA136" i="4"/>
  <c r="AA84" i="4"/>
  <c r="AI136" i="4"/>
  <c r="AI84" i="4"/>
  <c r="AQ136" i="4"/>
  <c r="AQ84" i="4"/>
  <c r="AY136" i="4"/>
  <c r="AY84" i="4"/>
  <c r="BG136" i="4"/>
  <c r="BG84" i="4"/>
  <c r="N82" i="4"/>
  <c r="N39" i="4"/>
  <c r="AD82" i="4"/>
  <c r="AD39" i="4"/>
  <c r="AT82" i="4"/>
  <c r="AT39" i="4"/>
  <c r="P82" i="4"/>
  <c r="P39" i="4"/>
  <c r="AF82" i="4"/>
  <c r="AF39" i="4"/>
  <c r="AV82" i="4"/>
  <c r="L117" i="11" s="1"/>
  <c r="AV39" i="4"/>
  <c r="D82" i="4"/>
  <c r="D39" i="4"/>
  <c r="Z82" i="4"/>
  <c r="Z39" i="4"/>
  <c r="AP82" i="4"/>
  <c r="AP39" i="4"/>
  <c r="BF82" i="4"/>
  <c r="N117" i="11" s="1"/>
  <c r="BF39" i="4"/>
  <c r="L82" i="4"/>
  <c r="L39" i="4"/>
  <c r="AJ82" i="4"/>
  <c r="AJ39" i="4"/>
  <c r="AZ82" i="4"/>
  <c r="AZ39" i="4"/>
  <c r="BR38" i="4"/>
  <c r="BR39" i="4" s="1"/>
  <c r="G82" i="4"/>
  <c r="G39" i="4"/>
  <c r="E82" i="4"/>
  <c r="E39" i="4"/>
  <c r="EM26" i="4"/>
  <c r="Q136" i="4"/>
  <c r="Q84" i="4"/>
  <c r="Y136" i="4"/>
  <c r="Y84" i="4"/>
  <c r="AG136" i="4"/>
  <c r="AG84" i="4"/>
  <c r="AO136" i="4"/>
  <c r="AO84" i="4"/>
  <c r="AW136" i="4"/>
  <c r="AW84" i="4"/>
  <c r="BE136" i="4"/>
  <c r="BE84" i="4"/>
  <c r="BK98" i="4"/>
  <c r="BK32" i="4"/>
  <c r="O108" i="11" s="1"/>
  <c r="J82" i="4"/>
  <c r="J39" i="4"/>
  <c r="AF100" i="14" l="1"/>
  <c r="AF101" i="14" s="1"/>
  <c r="Y95" i="19"/>
  <c r="Y101" i="19" s="1"/>
  <c r="Y80" i="20"/>
  <c r="EP135" i="1"/>
  <c r="ER135" i="1" s="1"/>
  <c r="EM135" i="1"/>
  <c r="BK195" i="1"/>
  <c r="BK172" i="1" s="1"/>
  <c r="AC46" i="14"/>
  <c r="AC47" i="14" s="1"/>
  <c r="AN191" i="12"/>
  <c r="AN231" i="12"/>
  <c r="AC154" i="10"/>
  <c r="AC5" i="11"/>
  <c r="AF49" i="10"/>
  <c r="AF71" i="10" s="1"/>
  <c r="AF24" i="10" s="1"/>
  <c r="AE174" i="10"/>
  <c r="AE79" i="11"/>
  <c r="O110" i="11"/>
  <c r="O111" i="11" s="1"/>
  <c r="BK38" i="4"/>
  <c r="BK39" i="4" s="1"/>
  <c r="S54" i="20"/>
  <c r="X87" i="20"/>
  <c r="X93" i="20" s="1"/>
  <c r="X99" i="20" s="1"/>
  <c r="I59" i="20"/>
  <c r="I25" i="20" s="1"/>
  <c r="C9" i="20"/>
  <c r="C15" i="20"/>
  <c r="C26" i="20"/>
  <c r="Z65" i="20"/>
  <c r="Z28" i="20"/>
  <c r="Z36" i="20" s="1"/>
  <c r="Y16" i="20"/>
  <c r="U32" i="20"/>
  <c r="T33" i="20"/>
  <c r="T30" i="20" s="1"/>
  <c r="T38" i="20" s="1"/>
  <c r="T29" i="20"/>
  <c r="T37" i="20" s="1"/>
  <c r="Y83" i="20"/>
  <c r="Z82" i="20"/>
  <c r="Y84" i="20"/>
  <c r="D18" i="20"/>
  <c r="D27" i="20"/>
  <c r="Z77" i="20"/>
  <c r="Z76" i="20"/>
  <c r="M59" i="19"/>
  <c r="N53" i="19" s="1"/>
  <c r="Z89" i="19"/>
  <c r="T32" i="19"/>
  <c r="S33" i="19"/>
  <c r="S30" i="19" s="1"/>
  <c r="S38" i="19" s="1"/>
  <c r="S29" i="19"/>
  <c r="S37" i="19" s="1"/>
  <c r="Z82" i="19"/>
  <c r="Z95" i="19" s="1"/>
  <c r="Z101" i="19" s="1"/>
  <c r="K19" i="19"/>
  <c r="K104" i="19"/>
  <c r="K109" i="18" s="1"/>
  <c r="K111" i="18" s="1"/>
  <c r="K109" i="19"/>
  <c r="K129" i="18" s="1"/>
  <c r="K139" i="18" s="1"/>
  <c r="K107" i="19"/>
  <c r="K128" i="18" s="1"/>
  <c r="K138" i="18" s="1"/>
  <c r="L62" i="19"/>
  <c r="L13" i="19" s="1"/>
  <c r="M10" i="19" s="1"/>
  <c r="L66" i="19"/>
  <c r="L102" i="19" s="1"/>
  <c r="L104" i="19" s="1"/>
  <c r="L113" i="19" s="1"/>
  <c r="L18" i="19"/>
  <c r="R54" i="19"/>
  <c r="L9" i="19"/>
  <c r="L26" i="19"/>
  <c r="L15" i="19"/>
  <c r="L27" i="19" s="1"/>
  <c r="X16" i="19"/>
  <c r="Y65" i="19"/>
  <c r="Z25" i="19"/>
  <c r="W31" i="19"/>
  <c r="V28" i="19"/>
  <c r="V36" i="19" s="1"/>
  <c r="Y84" i="18"/>
  <c r="Z16" i="18"/>
  <c r="I13" i="18"/>
  <c r="J10" i="18" s="1"/>
  <c r="I53" i="18"/>
  <c r="J52" i="18" s="1"/>
  <c r="Y88" i="18"/>
  <c r="Y87" i="18"/>
  <c r="Z86" i="18"/>
  <c r="F27" i="18"/>
  <c r="F19" i="18"/>
  <c r="Z80" i="18"/>
  <c r="Z78" i="18"/>
  <c r="Z79" i="18"/>
  <c r="X91" i="18"/>
  <c r="X96" i="18" s="1"/>
  <c r="X102" i="18" s="1"/>
  <c r="E26" i="18"/>
  <c r="E9" i="18"/>
  <c r="D10" i="18"/>
  <c r="E15" i="18"/>
  <c r="AN171" i="12"/>
  <c r="AN211" i="12"/>
  <c r="AV246" i="12"/>
  <c r="AW24" i="12"/>
  <c r="AV23" i="12"/>
  <c r="AU245" i="12"/>
  <c r="AU243" i="12" s="1"/>
  <c r="AO82" i="12"/>
  <c r="AO81" i="12"/>
  <c r="AO224" i="12" s="1"/>
  <c r="AO80" i="12"/>
  <c r="AO214" i="12" s="1"/>
  <c r="AO79" i="12"/>
  <c r="AO204" i="12" s="1"/>
  <c r="AO78" i="12"/>
  <c r="AO194" i="12" s="1"/>
  <c r="AO77" i="12"/>
  <c r="AO184" i="12" s="1"/>
  <c r="AO76" i="12"/>
  <c r="AO174" i="12" s="1"/>
  <c r="AO75" i="12"/>
  <c r="AO164" i="12" s="1"/>
  <c r="AO74" i="12"/>
  <c r="AO153" i="12" s="1"/>
  <c r="AO73" i="12"/>
  <c r="AW234" i="12"/>
  <c r="AV237" i="12"/>
  <c r="AY230" i="12"/>
  <c r="AZ220" i="12"/>
  <c r="AY218" i="12"/>
  <c r="X250" i="12"/>
  <c r="T250" i="12"/>
  <c r="S249" i="12"/>
  <c r="AY124" i="12"/>
  <c r="AZ90" i="12"/>
  <c r="R377" i="12"/>
  <c r="AP22" i="12"/>
  <c r="AP86" i="12" s="1"/>
  <c r="AP21" i="12"/>
  <c r="AP27" i="12" s="1"/>
  <c r="P287" i="12"/>
  <c r="AY341" i="12"/>
  <c r="AO65" i="12"/>
  <c r="AP36" i="12"/>
  <c r="AQ37" i="12"/>
  <c r="AP39" i="12"/>
  <c r="S353" i="12"/>
  <c r="S348" i="12"/>
  <c r="S347" i="12"/>
  <c r="S385" i="12" s="1"/>
  <c r="S345" i="12"/>
  <c r="S369" i="12" s="1"/>
  <c r="S346" i="12"/>
  <c r="S377" i="12" s="1"/>
  <c r="S344" i="12"/>
  <c r="AC304" i="12"/>
  <c r="Y304" i="12"/>
  <c r="X303" i="12"/>
  <c r="AS179" i="12"/>
  <c r="AS178" i="12" s="1"/>
  <c r="AR178" i="12"/>
  <c r="AQ18" i="12"/>
  <c r="AQ15" i="12"/>
  <c r="AQ16" i="12" s="1"/>
  <c r="Q384" i="12"/>
  <c r="Q388" i="12" s="1"/>
  <c r="Q265" i="12"/>
  <c r="Q376" i="12"/>
  <c r="Q380" i="12" s="1"/>
  <c r="Q261" i="12"/>
  <c r="BA433" i="12"/>
  <c r="AS189" i="12"/>
  <c r="AR188" i="12"/>
  <c r="AO136" i="12"/>
  <c r="AO134" i="12"/>
  <c r="AO215" i="12" s="1"/>
  <c r="AO132" i="12"/>
  <c r="AO195" i="12" s="1"/>
  <c r="AO135" i="12"/>
  <c r="AO225" i="12" s="1"/>
  <c r="AO133" i="12"/>
  <c r="AO205" i="12" s="1"/>
  <c r="AO130" i="12"/>
  <c r="AO175" i="12" s="1"/>
  <c r="AO128" i="12"/>
  <c r="AO154" i="12" s="1"/>
  <c r="AO129" i="12"/>
  <c r="AO165" i="12" s="1"/>
  <c r="AO131" i="12"/>
  <c r="AO185" i="12" s="1"/>
  <c r="AO127" i="12"/>
  <c r="AU244" i="12"/>
  <c r="BA210" i="12"/>
  <c r="BA208" i="12" s="1"/>
  <c r="AZ208" i="12"/>
  <c r="R299" i="12"/>
  <c r="R269" i="12"/>
  <c r="R354" i="12"/>
  <c r="R369" i="12"/>
  <c r="R385" i="12"/>
  <c r="AN145" i="12"/>
  <c r="AN83" i="12"/>
  <c r="AW6" i="12"/>
  <c r="Q368" i="12"/>
  <c r="Q372" i="12" s="1"/>
  <c r="Q257" i="12"/>
  <c r="Q300" i="12"/>
  <c r="Q253" i="12"/>
  <c r="AO69" i="12"/>
  <c r="AO66" i="12"/>
  <c r="AQ41" i="12"/>
  <c r="AP43" i="12"/>
  <c r="BA309" i="12"/>
  <c r="BA311" i="12" s="1"/>
  <c r="AZ311" i="12"/>
  <c r="U304" i="12"/>
  <c r="T303" i="12"/>
  <c r="AN146" i="12"/>
  <c r="AN137" i="12"/>
  <c r="AS199" i="12"/>
  <c r="AR198" i="12"/>
  <c r="AS11" i="12"/>
  <c r="AR13" i="12"/>
  <c r="AR9" i="12" s="1"/>
  <c r="AR33" i="12"/>
  <c r="AQ35" i="12"/>
  <c r="AQ68" i="12" s="1"/>
  <c r="AD187" i="14"/>
  <c r="AE137" i="14"/>
  <c r="AD178" i="14"/>
  <c r="AE139" i="14"/>
  <c r="AA210" i="14"/>
  <c r="AD26" i="10"/>
  <c r="AD30" i="10"/>
  <c r="AC135" i="14"/>
  <c r="AB175" i="14"/>
  <c r="AC131" i="14"/>
  <c r="AB171" i="14"/>
  <c r="AD169" i="14"/>
  <c r="AC208" i="14"/>
  <c r="AC133" i="14"/>
  <c r="AB173" i="14"/>
  <c r="AF168" i="14"/>
  <c r="AF207" i="14" s="1"/>
  <c r="AE207" i="14"/>
  <c r="AD132" i="14"/>
  <c r="AC172" i="14"/>
  <c r="AE151" i="14"/>
  <c r="AD191" i="14"/>
  <c r="AD134" i="14"/>
  <c r="AC174" i="14"/>
  <c r="AD136" i="14"/>
  <c r="AC176" i="14"/>
  <c r="AC177" i="14"/>
  <c r="AD138" i="14"/>
  <c r="AE55" i="14"/>
  <c r="AE57" i="14" s="1"/>
  <c r="AE32" i="10" s="1"/>
  <c r="AE187" i="10" s="1"/>
  <c r="AE54" i="14"/>
  <c r="AF1" i="14"/>
  <c r="AC188" i="14"/>
  <c r="AD148" i="14"/>
  <c r="Z214" i="14"/>
  <c r="Z212" i="14"/>
  <c r="DN22" i="4"/>
  <c r="Z213" i="14" s="1"/>
  <c r="N118" i="11"/>
  <c r="N120" i="11"/>
  <c r="L118" i="11"/>
  <c r="L120" i="11"/>
  <c r="BZ177" i="1"/>
  <c r="BX153" i="1"/>
  <c r="BX177" i="1" s="1"/>
  <c r="BV153" i="1"/>
  <c r="BV177" i="1" s="1"/>
  <c r="CE153" i="1"/>
  <c r="BY153" i="1"/>
  <c r="BY177" i="1" s="1"/>
  <c r="BW153" i="1"/>
  <c r="BW177" i="1" s="1"/>
  <c r="CB190" i="1"/>
  <c r="CC167" i="1"/>
  <c r="CO190" i="1"/>
  <c r="CT167" i="1"/>
  <c r="O118" i="11"/>
  <c r="O120" i="11"/>
  <c r="H118" i="11"/>
  <c r="H120" i="11"/>
  <c r="F118" i="11"/>
  <c r="F120" i="11"/>
  <c r="D118" i="11"/>
  <c r="D120" i="11"/>
  <c r="J118" i="11"/>
  <c r="J120" i="11"/>
  <c r="DI191" i="1"/>
  <c r="DN168" i="1"/>
  <c r="BP192" i="1"/>
  <c r="BU169" i="1"/>
  <c r="BL169" i="1"/>
  <c r="DS154" i="1"/>
  <c r="BM177" i="1"/>
  <c r="BR153" i="1"/>
  <c r="BR177" i="1" s="1"/>
  <c r="BN153" i="1"/>
  <c r="CC175" i="1"/>
  <c r="CD151" i="1"/>
  <c r="DS170" i="1"/>
  <c r="AF133" i="10"/>
  <c r="AC168" i="10"/>
  <c r="AD167" i="10"/>
  <c r="AC15" i="10"/>
  <c r="AC183" i="10" s="1"/>
  <c r="J136" i="4"/>
  <c r="J84" i="4"/>
  <c r="AZ136" i="4"/>
  <c r="AZ84" i="4"/>
  <c r="AJ136" i="4"/>
  <c r="AJ84" i="4"/>
  <c r="L136" i="4"/>
  <c r="L84" i="4"/>
  <c r="BF136" i="4"/>
  <c r="BF84" i="4"/>
  <c r="AP136" i="4"/>
  <c r="AP84" i="4"/>
  <c r="Z136" i="4"/>
  <c r="Z84" i="4"/>
  <c r="D136" i="4"/>
  <c r="D84" i="4"/>
  <c r="AV136" i="4"/>
  <c r="AV84" i="4"/>
  <c r="AF136" i="4"/>
  <c r="AF84" i="4"/>
  <c r="P136" i="4"/>
  <c r="P84" i="4"/>
  <c r="AT136" i="4"/>
  <c r="AT84" i="4"/>
  <c r="AD136" i="4"/>
  <c r="AD84" i="4"/>
  <c r="N136" i="4"/>
  <c r="N84" i="4"/>
  <c r="ER104" i="4"/>
  <c r="ER36" i="4"/>
  <c r="BU26" i="4"/>
  <c r="T136" i="4"/>
  <c r="T84" i="4"/>
  <c r="ER26" i="4"/>
  <c r="E136" i="4"/>
  <c r="E84" i="4"/>
  <c r="G136" i="4"/>
  <c r="G84" i="4"/>
  <c r="BK136" i="4"/>
  <c r="BK84" i="4"/>
  <c r="C136" i="4"/>
  <c r="C84" i="4"/>
  <c r="F136" i="4"/>
  <c r="F84" i="4"/>
  <c r="BH136" i="4"/>
  <c r="BH84" i="4"/>
  <c r="AR136" i="4"/>
  <c r="AR84" i="4"/>
  <c r="AB136" i="4"/>
  <c r="AB84" i="4"/>
  <c r="AX136" i="4"/>
  <c r="AX84" i="4"/>
  <c r="AH136" i="4"/>
  <c r="AH84" i="4"/>
  <c r="R136" i="4"/>
  <c r="R84" i="4"/>
  <c r="BD136" i="4"/>
  <c r="BD84" i="4"/>
  <c r="AN136" i="4"/>
  <c r="AN84" i="4"/>
  <c r="X136" i="4"/>
  <c r="X84" i="4"/>
  <c r="H136" i="4"/>
  <c r="H84" i="4"/>
  <c r="BB136" i="4"/>
  <c r="BB84" i="4"/>
  <c r="AL136" i="4"/>
  <c r="AL84" i="4"/>
  <c r="V136" i="4"/>
  <c r="V84" i="4"/>
  <c r="BU37" i="4"/>
  <c r="BP195" i="1" l="1"/>
  <c r="BP172" i="1" s="1"/>
  <c r="AD46" i="14"/>
  <c r="AD47" i="14" s="1"/>
  <c r="AD154" i="10"/>
  <c r="AD5" i="11"/>
  <c r="Y91" i="18"/>
  <c r="Y96" i="18" s="1"/>
  <c r="Y102" i="18" s="1"/>
  <c r="AF174" i="10"/>
  <c r="AF79" i="11"/>
  <c r="Z80" i="20"/>
  <c r="Y87" i="20"/>
  <c r="Y93" i="20" s="1"/>
  <c r="Y99" i="20" s="1"/>
  <c r="Z16" i="20"/>
  <c r="C18" i="20"/>
  <c r="C27" i="20"/>
  <c r="I65" i="20"/>
  <c r="I66" i="20" s="1"/>
  <c r="I30" i="20"/>
  <c r="I38" i="20" s="1"/>
  <c r="I28" i="20"/>
  <c r="I36" i="20" s="1"/>
  <c r="I26" i="20"/>
  <c r="I29" i="20"/>
  <c r="I37" i="20" s="1"/>
  <c r="I27" i="20"/>
  <c r="I23" i="20"/>
  <c r="Z84" i="20"/>
  <c r="Z83" i="20"/>
  <c r="T54" i="20"/>
  <c r="U33" i="20"/>
  <c r="U30" i="20" s="1"/>
  <c r="U38" i="20" s="1"/>
  <c r="V32" i="20"/>
  <c r="U29" i="20"/>
  <c r="U37" i="20" s="1"/>
  <c r="I62" i="20"/>
  <c r="X31" i="19"/>
  <c r="W28" i="19"/>
  <c r="W36" i="19" s="1"/>
  <c r="L19" i="19"/>
  <c r="S54" i="19"/>
  <c r="T33" i="19"/>
  <c r="T30" i="19" s="1"/>
  <c r="T38" i="19" s="1"/>
  <c r="U32" i="19"/>
  <c r="T29" i="19"/>
  <c r="T37" i="19" s="1"/>
  <c r="M66" i="19"/>
  <c r="M102" i="19" s="1"/>
  <c r="M104" i="19" s="1"/>
  <c r="M62" i="19"/>
  <c r="M13" i="19" s="1"/>
  <c r="N10" i="19" s="1"/>
  <c r="M18" i="19"/>
  <c r="Z65" i="19"/>
  <c r="Y16" i="19"/>
  <c r="M9" i="19"/>
  <c r="M26" i="19"/>
  <c r="M15" i="19"/>
  <c r="M27" i="19" s="1"/>
  <c r="L109" i="19"/>
  <c r="L129" i="18" s="1"/>
  <c r="L139" i="18" s="1"/>
  <c r="L107" i="19"/>
  <c r="L128" i="18" s="1"/>
  <c r="L138" i="18" s="1"/>
  <c r="L109" i="18"/>
  <c r="L111" i="18" s="1"/>
  <c r="L111" i="19"/>
  <c r="L130" i="18" s="1"/>
  <c r="L140" i="18" s="1"/>
  <c r="N59" i="19"/>
  <c r="O53" i="19" s="1"/>
  <c r="E27" i="18"/>
  <c r="E19" i="18"/>
  <c r="Z84" i="18"/>
  <c r="Z87" i="18"/>
  <c r="Z88" i="18"/>
  <c r="J9" i="18"/>
  <c r="J15" i="18"/>
  <c r="C10" i="18"/>
  <c r="D9" i="18"/>
  <c r="D15" i="18"/>
  <c r="D19" i="18" s="1"/>
  <c r="J58" i="18"/>
  <c r="AS33" i="12"/>
  <c r="AR35" i="12"/>
  <c r="AR68" i="12" s="1"/>
  <c r="AR18" i="12"/>
  <c r="AR15" i="12"/>
  <c r="AR16" i="12" s="1"/>
  <c r="T348" i="12"/>
  <c r="T353" i="12"/>
  <c r="T347" i="12"/>
  <c r="T345" i="12"/>
  <c r="T346" i="12"/>
  <c r="T344" i="12"/>
  <c r="AZ341" i="12"/>
  <c r="AP69" i="12"/>
  <c r="AP66" i="12"/>
  <c r="Q287" i="12"/>
  <c r="AN139" i="12"/>
  <c r="AN140" i="12" s="1"/>
  <c r="R384" i="12"/>
  <c r="R388" i="12" s="1"/>
  <c r="R265" i="12"/>
  <c r="R368" i="12"/>
  <c r="R372" i="12" s="1"/>
  <c r="R257" i="12"/>
  <c r="S257" i="12" s="1"/>
  <c r="S291" i="12" s="1"/>
  <c r="S368" i="12" s="1"/>
  <c r="S372" i="12" s="1"/>
  <c r="R300" i="12"/>
  <c r="R253" i="12"/>
  <c r="AT189" i="12"/>
  <c r="AS188" i="12"/>
  <c r="S265" i="12"/>
  <c r="S293" i="12" s="1"/>
  <c r="S384" i="12" s="1"/>
  <c r="S388" i="12" s="1"/>
  <c r="AQ22" i="12"/>
  <c r="AQ86" i="12" s="1"/>
  <c r="AQ21" i="12"/>
  <c r="AQ27" i="12" s="1"/>
  <c r="Z304" i="12"/>
  <c r="Y303" i="12"/>
  <c r="S354" i="12"/>
  <c r="S360" i="12"/>
  <c r="AP65" i="12"/>
  <c r="AP135" i="12"/>
  <c r="AP225" i="12" s="1"/>
  <c r="AP133" i="12"/>
  <c r="AP205" i="12" s="1"/>
  <c r="AP136" i="12"/>
  <c r="AP134" i="12"/>
  <c r="AP215" i="12" s="1"/>
  <c r="AP132" i="12"/>
  <c r="AP195" i="12" s="1"/>
  <c r="AP129" i="12"/>
  <c r="AP165" i="12" s="1"/>
  <c r="AP128" i="12"/>
  <c r="AP154" i="12" s="1"/>
  <c r="AP130" i="12"/>
  <c r="AP175" i="12" s="1"/>
  <c r="AP131" i="12"/>
  <c r="AP185" i="12" s="1"/>
  <c r="AP127" i="12"/>
  <c r="S299" i="12"/>
  <c r="AC250" i="12"/>
  <c r="Y250" i="12"/>
  <c r="X249" i="12"/>
  <c r="BA220" i="12"/>
  <c r="BA218" i="12" s="1"/>
  <c r="AZ218" i="12"/>
  <c r="AV244" i="12"/>
  <c r="AO145" i="12"/>
  <c r="AO83" i="12"/>
  <c r="AO171" i="12"/>
  <c r="AO191" i="12"/>
  <c r="AO211" i="12"/>
  <c r="CJ34" i="1" s="1"/>
  <c r="AO231" i="12"/>
  <c r="CJ44" i="1" s="1"/>
  <c r="CI44" i="1" s="1"/>
  <c r="AW246" i="12"/>
  <c r="AW23" i="12"/>
  <c r="AX24" i="12"/>
  <c r="AT11" i="12"/>
  <c r="AS13" i="12"/>
  <c r="AS9" i="12" s="1"/>
  <c r="AT199" i="12"/>
  <c r="AS198" i="12"/>
  <c r="V304" i="12"/>
  <c r="U303" i="12"/>
  <c r="BA341" i="12"/>
  <c r="AR41" i="12"/>
  <c r="AQ43" i="12"/>
  <c r="S253" i="12"/>
  <c r="S290" i="12" s="1"/>
  <c r="AX6" i="12"/>
  <c r="AN150" i="12"/>
  <c r="S269" i="12"/>
  <c r="AO146" i="12"/>
  <c r="AO137" i="12"/>
  <c r="X353" i="12"/>
  <c r="X348" i="12"/>
  <c r="X393" i="12" s="1"/>
  <c r="X345" i="12"/>
  <c r="X369" i="12" s="1"/>
  <c r="X347" i="12"/>
  <c r="X385" i="12" s="1"/>
  <c r="X346" i="12"/>
  <c r="X377" i="12" s="1"/>
  <c r="X344" i="12"/>
  <c r="AH304" i="12"/>
  <c r="AD304" i="12"/>
  <c r="AC303" i="12"/>
  <c r="AR37" i="12"/>
  <c r="AQ36" i="12"/>
  <c r="AR36" i="12" s="1"/>
  <c r="AS36" i="12" s="1"/>
  <c r="AT36" i="12" s="1"/>
  <c r="AU36" i="12" s="1"/>
  <c r="AV36" i="12" s="1"/>
  <c r="AW36" i="12" s="1"/>
  <c r="AX36" i="12" s="1"/>
  <c r="AY36" i="12" s="1"/>
  <c r="AZ36" i="12" s="1"/>
  <c r="BA36" i="12" s="1"/>
  <c r="AQ39" i="12"/>
  <c r="AP82" i="12"/>
  <c r="AP81" i="12"/>
  <c r="AP224" i="12" s="1"/>
  <c r="AP79" i="12"/>
  <c r="AP204" i="12" s="1"/>
  <c r="AP77" i="12"/>
  <c r="AP184" i="12" s="1"/>
  <c r="AP191" i="12" s="1"/>
  <c r="AP75" i="12"/>
  <c r="AP164" i="12" s="1"/>
  <c r="AP171" i="12" s="1"/>
  <c r="AP73" i="12"/>
  <c r="AP80" i="12"/>
  <c r="AP214" i="12" s="1"/>
  <c r="AP221" i="12" s="1"/>
  <c r="CO39" i="1" s="1"/>
  <c r="AP78" i="12"/>
  <c r="AP194" i="12" s="1"/>
  <c r="AP201" i="12" s="1"/>
  <c r="AP76" i="12"/>
  <c r="AP174" i="12" s="1"/>
  <c r="AP74" i="12"/>
  <c r="AP153" i="12" s="1"/>
  <c r="AP160" i="12" s="1"/>
  <c r="R376" i="12"/>
  <c r="R380" i="12" s="1"/>
  <c r="R261" i="12"/>
  <c r="R287" i="12" s="1"/>
  <c r="BA90" i="12"/>
  <c r="AZ124" i="12"/>
  <c r="U250" i="12"/>
  <c r="T249" i="12"/>
  <c r="T299" i="12" s="1"/>
  <c r="AZ230" i="12"/>
  <c r="AY228" i="12"/>
  <c r="AW237" i="12"/>
  <c r="AX234" i="12"/>
  <c r="AO160" i="12"/>
  <c r="AO181" i="12"/>
  <c r="AO201" i="12"/>
  <c r="AO221" i="12"/>
  <c r="CJ39" i="1" s="1"/>
  <c r="AV245" i="12"/>
  <c r="AV243" i="12" s="1"/>
  <c r="AE148" i="14"/>
  <c r="AD188" i="14"/>
  <c r="AF55" i="14"/>
  <c r="AF57" i="14" s="1"/>
  <c r="AF32" i="10" s="1"/>
  <c r="AF187" i="10" s="1"/>
  <c r="AF54" i="14"/>
  <c r="AE136" i="14"/>
  <c r="AD176" i="14"/>
  <c r="AE134" i="14"/>
  <c r="AD174" i="14"/>
  <c r="AF151" i="14"/>
  <c r="AF191" i="14" s="1"/>
  <c r="AE191" i="14"/>
  <c r="AE132" i="14"/>
  <c r="AD172" i="14"/>
  <c r="AD133" i="14"/>
  <c r="AC173" i="14"/>
  <c r="AE169" i="14"/>
  <c r="AD208" i="14"/>
  <c r="AD131" i="14"/>
  <c r="AC171" i="14"/>
  <c r="AD135" i="14"/>
  <c r="AC175" i="14"/>
  <c r="AE178" i="14"/>
  <c r="AF139" i="14"/>
  <c r="AF178" i="14" s="1"/>
  <c r="AE187" i="14"/>
  <c r="AF137" i="14"/>
  <c r="AF187" i="14" s="1"/>
  <c r="AE30" i="10"/>
  <c r="AE26" i="10"/>
  <c r="AE138" i="14"/>
  <c r="AD177" i="14"/>
  <c r="AB210" i="14"/>
  <c r="AA214" i="14"/>
  <c r="AA212" i="14"/>
  <c r="DS22" i="4"/>
  <c r="AA213" i="14" s="1"/>
  <c r="Q79" i="11"/>
  <c r="Q174" i="10"/>
  <c r="Q175" i="10" s="1"/>
  <c r="Q176" i="10" s="1"/>
  <c r="Q177" i="10" s="1"/>
  <c r="Q170" i="10" s="1"/>
  <c r="DX170" i="1"/>
  <c r="BN177" i="1"/>
  <c r="BS153" i="1"/>
  <c r="BS177" i="1" s="1"/>
  <c r="BO153" i="1"/>
  <c r="BU192" i="1"/>
  <c r="BZ169" i="1"/>
  <c r="BQ169" i="1"/>
  <c r="DN191" i="1"/>
  <c r="DS168" i="1"/>
  <c r="CT190" i="1"/>
  <c r="CY167" i="1"/>
  <c r="CJ153" i="1"/>
  <c r="CA153" i="1"/>
  <c r="BU38" i="4"/>
  <c r="BU39" i="4" s="1"/>
  <c r="Q109" i="11"/>
  <c r="Q110" i="11" s="1"/>
  <c r="Q111" i="11" s="1"/>
  <c r="DX154" i="1"/>
  <c r="BL192" i="1"/>
  <c r="BM169" i="1"/>
  <c r="CC190" i="1"/>
  <c r="CD167" i="1"/>
  <c r="CD190" i="1" s="1"/>
  <c r="AD166" i="10"/>
  <c r="CG153" i="1" l="1"/>
  <c r="CH153" i="1"/>
  <c r="CI153" i="1"/>
  <c r="CF153" i="1"/>
  <c r="M111" i="19"/>
  <c r="M130" i="18" s="1"/>
  <c r="M140" i="18" s="1"/>
  <c r="M113" i="19"/>
  <c r="M131" i="18" s="1"/>
  <c r="BU195" i="1"/>
  <c r="BU172" i="1" s="1"/>
  <c r="BL195" i="1"/>
  <c r="BL172" i="1" s="1"/>
  <c r="AP211" i="12"/>
  <c r="CO34" i="1" s="1"/>
  <c r="AP181" i="12"/>
  <c r="AP231" i="12"/>
  <c r="CO44" i="1" s="1"/>
  <c r="CN44" i="1" s="1"/>
  <c r="AQ65" i="12"/>
  <c r="W32" i="20"/>
  <c r="V33" i="20"/>
  <c r="V30" i="20" s="1"/>
  <c r="V38" i="20" s="1"/>
  <c r="V29" i="20"/>
  <c r="V37" i="20" s="1"/>
  <c r="Z87" i="20"/>
  <c r="I13" i="20"/>
  <c r="J10" i="20" s="1"/>
  <c r="I54" i="20"/>
  <c r="J53" i="20" s="1"/>
  <c r="U54" i="20"/>
  <c r="Z93" i="20"/>
  <c r="Z99" i="20" s="1"/>
  <c r="N66" i="19"/>
  <c r="N102" i="19" s="1"/>
  <c r="N104" i="19" s="1"/>
  <c r="N113" i="19" s="1"/>
  <c r="N131" i="18" s="1"/>
  <c r="N141" i="18" s="1"/>
  <c r="N62" i="19"/>
  <c r="N13" i="19" s="1"/>
  <c r="O10" i="19" s="1"/>
  <c r="N18" i="19"/>
  <c r="N9" i="19"/>
  <c r="N26" i="19"/>
  <c r="N15" i="19"/>
  <c r="N27" i="19" s="1"/>
  <c r="T54" i="19"/>
  <c r="O59" i="19"/>
  <c r="P53" i="19" s="1"/>
  <c r="Z16" i="19"/>
  <c r="M19" i="19"/>
  <c r="M109" i="19"/>
  <c r="M129" i="18" s="1"/>
  <c r="M139" i="18" s="1"/>
  <c r="M107" i="19"/>
  <c r="M128" i="18" s="1"/>
  <c r="M138" i="18" s="1"/>
  <c r="M109" i="18"/>
  <c r="M111" i="18" s="1"/>
  <c r="U33" i="19"/>
  <c r="U30" i="19" s="1"/>
  <c r="U38" i="19" s="1"/>
  <c r="V32" i="19"/>
  <c r="U29" i="19"/>
  <c r="U37" i="19" s="1"/>
  <c r="Y31" i="19"/>
  <c r="X28" i="19"/>
  <c r="X36" i="19" s="1"/>
  <c r="C9" i="18"/>
  <c r="C15" i="18"/>
  <c r="C19" i="18" s="1"/>
  <c r="Z91" i="18"/>
  <c r="Z96" i="18" s="1"/>
  <c r="Z102" i="18" s="1"/>
  <c r="J61" i="18"/>
  <c r="J25" i="18"/>
  <c r="S359" i="12"/>
  <c r="S364" i="12" s="1"/>
  <c r="CF39" i="1"/>
  <c r="CK39" i="1" s="1"/>
  <c r="CG39" i="1"/>
  <c r="CL39" i="1" s="1"/>
  <c r="CH39" i="1"/>
  <c r="CM39" i="1" s="1"/>
  <c r="AY234" i="12"/>
  <c r="AX237" i="12"/>
  <c r="AC353" i="12"/>
  <c r="AC344" i="12"/>
  <c r="AC348" i="12"/>
  <c r="AC393" i="12" s="1"/>
  <c r="AC346" i="12"/>
  <c r="AC377" i="12" s="1"/>
  <c r="AC345" i="12"/>
  <c r="AC369" i="12" s="1"/>
  <c r="AC347" i="12"/>
  <c r="AC385" i="12" s="1"/>
  <c r="AM304" i="12"/>
  <c r="AI304" i="12"/>
  <c r="AH303" i="12"/>
  <c r="S294" i="12"/>
  <c r="AN470" i="12"/>
  <c r="AN469" i="12" s="1"/>
  <c r="AN462" i="12"/>
  <c r="AY6" i="12"/>
  <c r="AS41" i="12"/>
  <c r="AR43" i="12"/>
  <c r="W304" i="12"/>
  <c r="W303" i="12" s="1"/>
  <c r="V303" i="12"/>
  <c r="AU199" i="12"/>
  <c r="AT198" i="12"/>
  <c r="AU11" i="12"/>
  <c r="AT13" i="12"/>
  <c r="AT9" i="12" s="1"/>
  <c r="CH34" i="1"/>
  <c r="CI34" i="1" s="1"/>
  <c r="AO150" i="12"/>
  <c r="AO469" i="12" s="1"/>
  <c r="Z250" i="12"/>
  <c r="Y249" i="12"/>
  <c r="Y299" i="12" s="1"/>
  <c r="AP146" i="12"/>
  <c r="AP137" i="12"/>
  <c r="AA304" i="12"/>
  <c r="Z303" i="12"/>
  <c r="AQ136" i="12"/>
  <c r="AQ134" i="12"/>
  <c r="AQ215" i="12" s="1"/>
  <c r="AQ132" i="12"/>
  <c r="AQ195" i="12" s="1"/>
  <c r="AQ135" i="12"/>
  <c r="AQ225" i="12" s="1"/>
  <c r="AQ133" i="12"/>
  <c r="AQ205" i="12" s="1"/>
  <c r="AQ129" i="12"/>
  <c r="AQ165" i="12" s="1"/>
  <c r="AQ130" i="12"/>
  <c r="AQ175" i="12" s="1"/>
  <c r="AQ128" i="12"/>
  <c r="AQ154" i="12" s="1"/>
  <c r="AQ131" i="12"/>
  <c r="AQ185" i="12" s="1"/>
  <c r="AQ127" i="12"/>
  <c r="S261" i="12"/>
  <c r="S292" i="12" s="1"/>
  <c r="S376" i="12" s="1"/>
  <c r="S380" i="12" s="1"/>
  <c r="AU189" i="12"/>
  <c r="AT188" i="12"/>
  <c r="T354" i="12"/>
  <c r="T369" i="12"/>
  <c r="AW244" i="12"/>
  <c r="BA230" i="12"/>
  <c r="BA228" i="12" s="1"/>
  <c r="AZ228" i="12"/>
  <c r="V250" i="12"/>
  <c r="U249" i="12"/>
  <c r="U299" i="12" s="1"/>
  <c r="BA124" i="12"/>
  <c r="AP145" i="12"/>
  <c r="AP83" i="12"/>
  <c r="AS37" i="12"/>
  <c r="AR39" i="12"/>
  <c r="AE304" i="12"/>
  <c r="AD303" i="12"/>
  <c r="X360" i="12"/>
  <c r="X354" i="12"/>
  <c r="CI39" i="1"/>
  <c r="CN39" i="1" s="1"/>
  <c r="AQ69" i="12"/>
  <c r="AQ66" i="12"/>
  <c r="U353" i="12"/>
  <c r="U348" i="12"/>
  <c r="U345" i="12"/>
  <c r="U347" i="12"/>
  <c r="U346" i="12"/>
  <c r="U344" i="12"/>
  <c r="AS18" i="12"/>
  <c r="AS15" i="12"/>
  <c r="AS16" i="12" s="1"/>
  <c r="AX246" i="12"/>
  <c r="AY24" i="12"/>
  <c r="AX23" i="12"/>
  <c r="AW245" i="12"/>
  <c r="AW243" i="12" s="1"/>
  <c r="AO139" i="12"/>
  <c r="AO140" i="12" s="1"/>
  <c r="X299" i="12"/>
  <c r="AH250" i="12"/>
  <c r="AD250" i="12"/>
  <c r="AC249" i="12"/>
  <c r="Y353" i="12"/>
  <c r="Y344" i="12"/>
  <c r="Y347" i="12"/>
  <c r="Y345" i="12"/>
  <c r="Y348" i="12"/>
  <c r="Y346" i="12"/>
  <c r="AQ82" i="12"/>
  <c r="AQ81" i="12"/>
  <c r="AQ224" i="12" s="1"/>
  <c r="AQ80" i="12"/>
  <c r="AQ214" i="12" s="1"/>
  <c r="AQ79" i="12"/>
  <c r="AQ204" i="12" s="1"/>
  <c r="AQ78" i="12"/>
  <c r="AQ194" i="12" s="1"/>
  <c r="AQ77" i="12"/>
  <c r="AQ184" i="12" s="1"/>
  <c r="AQ76" i="12"/>
  <c r="AQ174" i="12" s="1"/>
  <c r="AQ75" i="12"/>
  <c r="AQ164" i="12" s="1"/>
  <c r="AQ74" i="12"/>
  <c r="AQ153" i="12" s="1"/>
  <c r="AQ73" i="12"/>
  <c r="T377" i="12"/>
  <c r="T385" i="12"/>
  <c r="T393" i="12"/>
  <c r="T294" i="12"/>
  <c r="AR22" i="12"/>
  <c r="AR86" i="12" s="1"/>
  <c r="AR21" i="12"/>
  <c r="AR27" i="12" s="1"/>
  <c r="AT33" i="12"/>
  <c r="AS35" i="12"/>
  <c r="AS68" i="12" s="1"/>
  <c r="AB214" i="14"/>
  <c r="AB212" i="14"/>
  <c r="DX22" i="4"/>
  <c r="AB213" i="14" s="1"/>
  <c r="AE177" i="14"/>
  <c r="AF138" i="14"/>
  <c r="AF177" i="14" s="1"/>
  <c r="AC210" i="14"/>
  <c r="AF30" i="10"/>
  <c r="AF26" i="10"/>
  <c r="AE46" i="14"/>
  <c r="AE47" i="14" s="1"/>
  <c r="AE135" i="14"/>
  <c r="AD175" i="14"/>
  <c r="AE131" i="14"/>
  <c r="AD171" i="14"/>
  <c r="AF169" i="14"/>
  <c r="AF208" i="14" s="1"/>
  <c r="AE208" i="14"/>
  <c r="AE133" i="14"/>
  <c r="AD173" i="14"/>
  <c r="AF132" i="14"/>
  <c r="AF172" i="14" s="1"/>
  <c r="AE172" i="14"/>
  <c r="AF134" i="14"/>
  <c r="AF174" i="14" s="1"/>
  <c r="AE174" i="14"/>
  <c r="AF136" i="14"/>
  <c r="AF176" i="14" s="1"/>
  <c r="AE176" i="14"/>
  <c r="AE188" i="14"/>
  <c r="AF148" i="14"/>
  <c r="AF188" i="14" s="1"/>
  <c r="CO153" i="1"/>
  <c r="CY190" i="1"/>
  <c r="DD167" i="1"/>
  <c r="BZ192" i="1"/>
  <c r="BX169" i="1"/>
  <c r="BX192" i="1" s="1"/>
  <c r="BX195" i="1" s="1"/>
  <c r="BV169" i="1"/>
  <c r="BV192" i="1" s="1"/>
  <c r="BV195" i="1" s="1"/>
  <c r="CE169" i="1"/>
  <c r="BY169" i="1"/>
  <c r="BY192" i="1" s="1"/>
  <c r="BW169" i="1"/>
  <c r="BW192" i="1" s="1"/>
  <c r="BW195" i="1" s="1"/>
  <c r="BO177" i="1"/>
  <c r="BT153" i="1"/>
  <c r="BT177" i="1" s="1"/>
  <c r="EC170" i="1"/>
  <c r="BM192" i="1"/>
  <c r="BN169" i="1"/>
  <c r="EC154" i="1"/>
  <c r="CA177" i="1"/>
  <c r="CB153" i="1"/>
  <c r="DS191" i="1"/>
  <c r="DX168" i="1"/>
  <c r="BQ192" i="1"/>
  <c r="BR169" i="1"/>
  <c r="AD168" i="10"/>
  <c r="AE167" i="10"/>
  <c r="AE5" i="11" s="1"/>
  <c r="AD15" i="10"/>
  <c r="AD183" i="10" s="1"/>
  <c r="AQ211" i="12" l="1"/>
  <c r="CT34" i="1" s="1"/>
  <c r="CJ65" i="1"/>
  <c r="M141" i="18"/>
  <c r="CK44" i="1"/>
  <c r="BQ195" i="1"/>
  <c r="BQ172" i="1" s="1"/>
  <c r="BM195" i="1"/>
  <c r="BM172" i="1" s="1"/>
  <c r="BW172" i="1"/>
  <c r="BX172" i="1"/>
  <c r="AF46" i="14"/>
  <c r="AF47" i="14" s="1"/>
  <c r="CN34" i="1"/>
  <c r="CK34" i="1"/>
  <c r="CL44" i="1"/>
  <c r="CM44" i="1"/>
  <c r="CL34" i="1"/>
  <c r="CM34" i="1"/>
  <c r="AP150" i="12"/>
  <c r="AP470" i="12" s="1"/>
  <c r="AP469" i="12" s="1"/>
  <c r="AQ191" i="12"/>
  <c r="AQ201" i="12"/>
  <c r="AQ160" i="12"/>
  <c r="N19" i="19"/>
  <c r="AQ181" i="12"/>
  <c r="AQ221" i="12"/>
  <c r="CT39" i="1" s="1"/>
  <c r="CS39" i="1" s="1"/>
  <c r="AR65" i="12"/>
  <c r="J59" i="20"/>
  <c r="K53" i="20" s="1"/>
  <c r="J26" i="20"/>
  <c r="J9" i="20"/>
  <c r="J15" i="20"/>
  <c r="V54" i="20"/>
  <c r="W33" i="20"/>
  <c r="W30" i="20" s="1"/>
  <c r="W38" i="20" s="1"/>
  <c r="X32" i="20"/>
  <c r="W29" i="20"/>
  <c r="W37" i="20" s="1"/>
  <c r="U54" i="19"/>
  <c r="O66" i="19"/>
  <c r="O102" i="19" s="1"/>
  <c r="O104" i="19" s="1"/>
  <c r="O113" i="19" s="1"/>
  <c r="O62" i="19"/>
  <c r="O13" i="19" s="1"/>
  <c r="P10" i="19" s="1"/>
  <c r="O18" i="19"/>
  <c r="Z31" i="19"/>
  <c r="Z28" i="19" s="1"/>
  <c r="Z36" i="19" s="1"/>
  <c r="Y28" i="19"/>
  <c r="Y36" i="19" s="1"/>
  <c r="V33" i="19"/>
  <c r="V30" i="19" s="1"/>
  <c r="V38" i="19" s="1"/>
  <c r="W32" i="19"/>
  <c r="V29" i="19"/>
  <c r="V37" i="19" s="1"/>
  <c r="P59" i="19"/>
  <c r="Q53" i="19" s="1"/>
  <c r="O9" i="19"/>
  <c r="O26" i="19"/>
  <c r="O15" i="19"/>
  <c r="O27" i="19" s="1"/>
  <c r="N109" i="19"/>
  <c r="N107" i="19"/>
  <c r="N111" i="19"/>
  <c r="J64" i="18"/>
  <c r="J65" i="18" s="1"/>
  <c r="J103" i="18" s="1"/>
  <c r="J29" i="18"/>
  <c r="J37" i="18" s="1"/>
  <c r="J27" i="18"/>
  <c r="J30" i="18"/>
  <c r="J38" i="18" s="1"/>
  <c r="J28" i="18"/>
  <c r="J36" i="18" s="1"/>
  <c r="J26" i="18"/>
  <c r="J23" i="18"/>
  <c r="J18" i="18"/>
  <c r="J19" i="18" s="1"/>
  <c r="K25" i="18"/>
  <c r="AQ171" i="12"/>
  <c r="AQ231" i="12"/>
  <c r="CT44" i="1" s="1"/>
  <c r="CS44" i="1" s="1"/>
  <c r="AO462" i="12"/>
  <c r="AR82" i="12"/>
  <c r="AR80" i="12"/>
  <c r="AR214" i="12" s="1"/>
  <c r="AR78" i="12"/>
  <c r="AR194" i="12" s="1"/>
  <c r="AR76" i="12"/>
  <c r="AR174" i="12" s="1"/>
  <c r="AR74" i="12"/>
  <c r="AR153" i="12" s="1"/>
  <c r="AR81" i="12"/>
  <c r="AR224" i="12" s="1"/>
  <c r="AR79" i="12"/>
  <c r="AR204" i="12" s="1"/>
  <c r="AR77" i="12"/>
  <c r="AR184" i="12" s="1"/>
  <c r="AR75" i="12"/>
  <c r="AR164" i="12" s="1"/>
  <c r="AR73" i="12"/>
  <c r="T392" i="12"/>
  <c r="T396" i="12" s="1"/>
  <c r="T269" i="12"/>
  <c r="T384" i="12"/>
  <c r="T388" i="12" s="1"/>
  <c r="T265" i="12"/>
  <c r="T376" i="12"/>
  <c r="T380" i="12" s="1"/>
  <c r="T261" i="12"/>
  <c r="AQ145" i="12"/>
  <c r="AQ83" i="12"/>
  <c r="Y377" i="12"/>
  <c r="Y369" i="12"/>
  <c r="Y354" i="12"/>
  <c r="AE250" i="12"/>
  <c r="AD249" i="12"/>
  <c r="AY246" i="12"/>
  <c r="AY23" i="12"/>
  <c r="AZ24" i="12"/>
  <c r="U354" i="12"/>
  <c r="U385" i="12"/>
  <c r="U393" i="12"/>
  <c r="U294" i="12"/>
  <c r="AF304" i="12"/>
  <c r="AE303" i="12"/>
  <c r="AT37" i="12"/>
  <c r="AS39" i="12"/>
  <c r="AP139" i="12"/>
  <c r="AP140" i="12" s="1"/>
  <c r="T368" i="12"/>
  <c r="T372" i="12" s="1"/>
  <c r="T257" i="12"/>
  <c r="T300" i="12"/>
  <c r="T253" i="12"/>
  <c r="AB304" i="12"/>
  <c r="AB303" i="12" s="1"/>
  <c r="AA303" i="12"/>
  <c r="AA250" i="12"/>
  <c r="Z249" i="12"/>
  <c r="Z299" i="12" s="1"/>
  <c r="AV11" i="12"/>
  <c r="AU13" i="12"/>
  <c r="AU9" i="12" s="1"/>
  <c r="AV199" i="12"/>
  <c r="AU198" i="12"/>
  <c r="W353" i="12"/>
  <c r="W348" i="12"/>
  <c r="W346" i="12"/>
  <c r="W347" i="12"/>
  <c r="W345" i="12"/>
  <c r="W344" i="12"/>
  <c r="AT41" i="12"/>
  <c r="AS43" i="12"/>
  <c r="AJ304" i="12"/>
  <c r="AI303" i="12"/>
  <c r="AC354" i="12"/>
  <c r="AC360" i="12"/>
  <c r="AX244" i="12"/>
  <c r="S300" i="12"/>
  <c r="AU33" i="12"/>
  <c r="AT35" i="12"/>
  <c r="AT68" i="12" s="1"/>
  <c r="AR135" i="12"/>
  <c r="AR225" i="12" s="1"/>
  <c r="AR133" i="12"/>
  <c r="AR205" i="12" s="1"/>
  <c r="AR136" i="12"/>
  <c r="AR134" i="12"/>
  <c r="AR215" i="12" s="1"/>
  <c r="AR132" i="12"/>
  <c r="AR195" i="12" s="1"/>
  <c r="AR128" i="12"/>
  <c r="AR154" i="12" s="1"/>
  <c r="AR130" i="12"/>
  <c r="AR175" i="12" s="1"/>
  <c r="AR129" i="12"/>
  <c r="AR165" i="12" s="1"/>
  <c r="AR131" i="12"/>
  <c r="AR185" i="12" s="1"/>
  <c r="AR127" i="12"/>
  <c r="Y393" i="12"/>
  <c r="Y294" i="12"/>
  <c r="Y385" i="12"/>
  <c r="AC299" i="12"/>
  <c r="AM250" i="12"/>
  <c r="AI250" i="12"/>
  <c r="AH249" i="12"/>
  <c r="AX245" i="12"/>
  <c r="AX243" i="12" s="1"/>
  <c r="AS22" i="12"/>
  <c r="AS86" i="12" s="1"/>
  <c r="AS21" i="12"/>
  <c r="AS27" i="12" s="1"/>
  <c r="U377" i="12"/>
  <c r="U369" i="12"/>
  <c r="AD344" i="12"/>
  <c r="AD353" i="12"/>
  <c r="AD345" i="12"/>
  <c r="AD346" i="12"/>
  <c r="AD347" i="12"/>
  <c r="AD348" i="12"/>
  <c r="W250" i="12"/>
  <c r="W249" i="12" s="1"/>
  <c r="W299" i="12" s="1"/>
  <c r="V249" i="12"/>
  <c r="V299" i="12" s="1"/>
  <c r="AV189" i="12"/>
  <c r="AU188" i="12"/>
  <c r="AQ146" i="12"/>
  <c r="AQ137" i="12"/>
  <c r="Z344" i="12"/>
  <c r="Z353" i="12"/>
  <c r="Z345" i="12"/>
  <c r="Z346" i="12"/>
  <c r="Z347" i="12"/>
  <c r="Z348" i="12"/>
  <c r="AT18" i="12"/>
  <c r="AT15" i="12"/>
  <c r="AT16" i="12" s="1"/>
  <c r="V353" i="12"/>
  <c r="V345" i="12"/>
  <c r="V346" i="12"/>
  <c r="V347" i="12"/>
  <c r="V348" i="12"/>
  <c r="V344" i="12"/>
  <c r="AR66" i="12"/>
  <c r="AR69" i="12"/>
  <c r="AZ6" i="12"/>
  <c r="S287" i="12"/>
  <c r="AH353" i="12"/>
  <c r="AH344" i="12"/>
  <c r="AH346" i="12"/>
  <c r="AH377" i="12" s="1"/>
  <c r="AH348" i="12"/>
  <c r="AH393" i="12" s="1"/>
  <c r="AH347" i="12"/>
  <c r="AH385" i="12" s="1"/>
  <c r="AH345" i="12"/>
  <c r="AH369" i="12" s="1"/>
  <c r="AN304" i="12"/>
  <c r="AM303" i="12"/>
  <c r="AY237" i="12"/>
  <c r="AZ234" i="12"/>
  <c r="S474" i="12"/>
  <c r="S475" i="12" s="1"/>
  <c r="S463" i="12"/>
  <c r="S465" i="12" s="1"/>
  <c r="AF133" i="14"/>
  <c r="AF173" i="14" s="1"/>
  <c r="AE173" i="14"/>
  <c r="AF131" i="14"/>
  <c r="AF171" i="14" s="1"/>
  <c r="AE171" i="14"/>
  <c r="AF135" i="14"/>
  <c r="AF175" i="14" s="1"/>
  <c r="AE175" i="14"/>
  <c r="AC214" i="14"/>
  <c r="AC212" i="14"/>
  <c r="EC22" i="4"/>
  <c r="AC213" i="14" s="1"/>
  <c r="AD210" i="14"/>
  <c r="BR192" i="1"/>
  <c r="BS169" i="1"/>
  <c r="DX191" i="1"/>
  <c r="EC168" i="1"/>
  <c r="BV172" i="1"/>
  <c r="CB177" i="1"/>
  <c r="CC153" i="1"/>
  <c r="EH154" i="1"/>
  <c r="BN192" i="1"/>
  <c r="BO169" i="1"/>
  <c r="BO192" i="1" s="1"/>
  <c r="EH170" i="1"/>
  <c r="CE192" i="1"/>
  <c r="CJ169" i="1"/>
  <c r="CA169" i="1"/>
  <c r="DD190" i="1"/>
  <c r="DI167" i="1"/>
  <c r="CT153" i="1"/>
  <c r="AE154" i="10"/>
  <c r="AE166" i="10"/>
  <c r="CH169" i="1" l="1"/>
  <c r="CH192" i="1" s="1"/>
  <c r="CF169" i="1"/>
  <c r="CF192" i="1" s="1"/>
  <c r="CG169" i="1"/>
  <c r="CG192" i="1" s="1"/>
  <c r="CI169" i="1"/>
  <c r="CI192" i="1" s="1"/>
  <c r="CR34" i="1"/>
  <c r="CP34" i="1"/>
  <c r="CQ34" i="1"/>
  <c r="CS34" i="1"/>
  <c r="CG65" i="1"/>
  <c r="CH65" i="1"/>
  <c r="CF65" i="1"/>
  <c r="CI65" i="1"/>
  <c r="CD63" i="1"/>
  <c r="CE63" i="1"/>
  <c r="J13" i="18"/>
  <c r="K10" i="18" s="1"/>
  <c r="K9" i="18" s="1"/>
  <c r="BO195" i="1"/>
  <c r="BO172" i="1" s="1"/>
  <c r="BR195" i="1"/>
  <c r="BR172" i="1" s="1"/>
  <c r="BN195" i="1"/>
  <c r="BN172" i="1" s="1"/>
  <c r="AP462" i="12"/>
  <c r="CP39" i="1"/>
  <c r="CR39" i="1"/>
  <c r="CQ39" i="1"/>
  <c r="K59" i="20"/>
  <c r="L53" i="20" s="1"/>
  <c r="Y32" i="20"/>
  <c r="X33" i="20"/>
  <c r="X30" i="20" s="1"/>
  <c r="X38" i="20" s="1"/>
  <c r="X29" i="20"/>
  <c r="X37" i="20" s="1"/>
  <c r="J27" i="20"/>
  <c r="J18" i="20"/>
  <c r="W54" i="20"/>
  <c r="J66" i="20"/>
  <c r="J100" i="20" s="1"/>
  <c r="J62" i="20"/>
  <c r="J13" i="20" s="1"/>
  <c r="K10" i="20" s="1"/>
  <c r="P66" i="19"/>
  <c r="P102" i="19" s="1"/>
  <c r="P104" i="19" s="1"/>
  <c r="P113" i="19" s="1"/>
  <c r="P62" i="19"/>
  <c r="P13" i="19" s="1"/>
  <c r="Q10" i="19" s="1"/>
  <c r="P18" i="19"/>
  <c r="V54" i="19"/>
  <c r="P9" i="19"/>
  <c r="P26" i="19"/>
  <c r="P15" i="19"/>
  <c r="P27" i="19" s="1"/>
  <c r="Q59" i="19"/>
  <c r="R53" i="19" s="1"/>
  <c r="W33" i="19"/>
  <c r="W30" i="19" s="1"/>
  <c r="W38" i="19" s="1"/>
  <c r="X32" i="19"/>
  <c r="W29" i="19"/>
  <c r="W37" i="19" s="1"/>
  <c r="O19" i="19"/>
  <c r="O107" i="19"/>
  <c r="O109" i="19"/>
  <c r="O111" i="19"/>
  <c r="K64" i="18"/>
  <c r="K30" i="18"/>
  <c r="K38" i="18" s="1"/>
  <c r="K28" i="18"/>
  <c r="K36" i="18" s="1"/>
  <c r="K26" i="18"/>
  <c r="K29" i="18"/>
  <c r="K37" i="18" s="1"/>
  <c r="L25" i="18"/>
  <c r="K15" i="18"/>
  <c r="K27" i="18" s="1"/>
  <c r="J100" i="18"/>
  <c r="J53" i="18"/>
  <c r="K52" i="18" s="1"/>
  <c r="CP44" i="1"/>
  <c r="CR44" i="1"/>
  <c r="CQ44" i="1"/>
  <c r="AY244" i="12"/>
  <c r="AO304" i="12"/>
  <c r="AN303" i="12"/>
  <c r="BA6" i="12"/>
  <c r="V354" i="12"/>
  <c r="V385" i="12"/>
  <c r="V369" i="12"/>
  <c r="Z385" i="12"/>
  <c r="Z369" i="12"/>
  <c r="Z354" i="12"/>
  <c r="AW189" i="12"/>
  <c r="AV188" i="12"/>
  <c r="AD385" i="12"/>
  <c r="AD369" i="12"/>
  <c r="AS136" i="12"/>
  <c r="AS134" i="12"/>
  <c r="AS215" i="12" s="1"/>
  <c r="AS132" i="12"/>
  <c r="AS195" i="12" s="1"/>
  <c r="AS135" i="12"/>
  <c r="AS225" i="12" s="1"/>
  <c r="AS133" i="12"/>
  <c r="AS205" i="12" s="1"/>
  <c r="AS130" i="12"/>
  <c r="AS175" i="12" s="1"/>
  <c r="AS128" i="12"/>
  <c r="AS154" i="12" s="1"/>
  <c r="AS129" i="12"/>
  <c r="AS165" i="12" s="1"/>
  <c r="AS131" i="12"/>
  <c r="AS185" i="12" s="1"/>
  <c r="AS127" i="12"/>
  <c r="AJ250" i="12"/>
  <c r="AI249" i="12"/>
  <c r="AV33" i="12"/>
  <c r="AU35" i="12"/>
  <c r="AU68" i="12" s="1"/>
  <c r="AI353" i="12"/>
  <c r="AI344" i="12"/>
  <c r="AI346" i="12"/>
  <c r="AI348" i="12"/>
  <c r="AI347" i="12"/>
  <c r="AI345" i="12"/>
  <c r="AS69" i="12"/>
  <c r="AS66" i="12"/>
  <c r="W354" i="12"/>
  <c r="W385" i="12"/>
  <c r="W393" i="12"/>
  <c r="W294" i="12"/>
  <c r="AU18" i="12"/>
  <c r="AU15" i="12"/>
  <c r="AU16" i="12" s="1"/>
  <c r="AA353" i="12"/>
  <c r="AA346" i="12"/>
  <c r="AA348" i="12"/>
  <c r="AA347" i="12"/>
  <c r="AA344" i="12"/>
  <c r="AA345" i="12"/>
  <c r="AU37" i="12"/>
  <c r="AT39" i="12"/>
  <c r="AG304" i="12"/>
  <c r="AG303" i="12" s="1"/>
  <c r="AF303" i="12"/>
  <c r="U392" i="12"/>
  <c r="U396" i="12" s="1"/>
  <c r="U269" i="12"/>
  <c r="U384" i="12"/>
  <c r="U388" i="12" s="1"/>
  <c r="U265" i="12"/>
  <c r="U300" i="12"/>
  <c r="U253" i="12"/>
  <c r="AZ246" i="12"/>
  <c r="BA24" i="12"/>
  <c r="AZ23" i="12"/>
  <c r="AY245" i="12"/>
  <c r="AY243" i="12" s="1"/>
  <c r="AF250" i="12"/>
  <c r="AE249" i="12"/>
  <c r="Y300" i="12"/>
  <c r="Y253" i="12"/>
  <c r="Y368" i="12"/>
  <c r="Y372" i="12" s="1"/>
  <c r="Y257" i="12"/>
  <c r="Y376" i="12"/>
  <c r="Y380" i="12" s="1"/>
  <c r="Y261" i="12"/>
  <c r="AQ150" i="12"/>
  <c r="AR171" i="12"/>
  <c r="AR211" i="12"/>
  <c r="CY34" i="1" s="1"/>
  <c r="AR160" i="12"/>
  <c r="CY9" i="1" s="1"/>
  <c r="AR201" i="12"/>
  <c r="S476" i="12"/>
  <c r="S481" i="12"/>
  <c r="BA234" i="12"/>
  <c r="BA237" i="12" s="1"/>
  <c r="AZ237" i="12"/>
  <c r="AM351" i="12"/>
  <c r="AM417" i="12" s="1"/>
  <c r="AM349" i="12"/>
  <c r="AM401" i="12" s="1"/>
  <c r="AM352" i="12"/>
  <c r="AM425" i="12" s="1"/>
  <c r="AM350" i="12"/>
  <c r="AM409" i="12" s="1"/>
  <c r="AM353" i="12"/>
  <c r="AM348" i="12"/>
  <c r="AM393" i="12" s="1"/>
  <c r="AM347" i="12"/>
  <c r="AM385" i="12" s="1"/>
  <c r="AM344" i="12"/>
  <c r="AM346" i="12"/>
  <c r="AM377" i="12" s="1"/>
  <c r="AM345" i="12"/>
  <c r="AM369" i="12" s="1"/>
  <c r="AH354" i="12"/>
  <c r="AH360" i="12"/>
  <c r="V393" i="12"/>
  <c r="V294" i="12"/>
  <c r="V377" i="12"/>
  <c r="AT22" i="12"/>
  <c r="AT86" i="12" s="1"/>
  <c r="AT21" i="12"/>
  <c r="AT27" i="12" s="1"/>
  <c r="Z393" i="12"/>
  <c r="Z294" i="12"/>
  <c r="Z377" i="12"/>
  <c r="AD393" i="12"/>
  <c r="AD294" i="12"/>
  <c r="AD377" i="12"/>
  <c r="U368" i="12"/>
  <c r="U372" i="12" s="1"/>
  <c r="U257" i="12"/>
  <c r="U376" i="12"/>
  <c r="U380" i="12" s="1"/>
  <c r="U261" i="12"/>
  <c r="AS82" i="12"/>
  <c r="AS81" i="12"/>
  <c r="AS224" i="12" s="1"/>
  <c r="AS80" i="12"/>
  <c r="AS214" i="12" s="1"/>
  <c r="AS79" i="12"/>
  <c r="AS204" i="12" s="1"/>
  <c r="AS78" i="12"/>
  <c r="AS194" i="12" s="1"/>
  <c r="AS77" i="12"/>
  <c r="AS184" i="12" s="1"/>
  <c r="AS76" i="12"/>
  <c r="AS174" i="12" s="1"/>
  <c r="AS75" i="12"/>
  <c r="AS164" i="12" s="1"/>
  <c r="AS74" i="12"/>
  <c r="AS153" i="12" s="1"/>
  <c r="AS73" i="12"/>
  <c r="AH299" i="12"/>
  <c r="AN250" i="12"/>
  <c r="AM249" i="12"/>
  <c r="Y384" i="12"/>
  <c r="Y388" i="12" s="1"/>
  <c r="Y265" i="12"/>
  <c r="Y392" i="12"/>
  <c r="Y396" i="12" s="1"/>
  <c r="Y269" i="12"/>
  <c r="AR146" i="12"/>
  <c r="AR137" i="12"/>
  <c r="AK304" i="12"/>
  <c r="AJ303" i="12"/>
  <c r="AU41" i="12"/>
  <c r="AT43" i="12"/>
  <c r="W369" i="12"/>
  <c r="W377" i="12"/>
  <c r="AW199" i="12"/>
  <c r="AV198" i="12"/>
  <c r="AW11" i="12"/>
  <c r="AV13" i="12"/>
  <c r="AV9" i="12" s="1"/>
  <c r="AB250" i="12"/>
  <c r="AB249" i="12" s="1"/>
  <c r="AB299" i="12" s="1"/>
  <c r="AA249" i="12"/>
  <c r="AA299" i="12" s="1"/>
  <c r="AB353" i="12"/>
  <c r="AB344" i="12"/>
  <c r="AB345" i="12"/>
  <c r="AB346" i="12"/>
  <c r="AB348" i="12"/>
  <c r="AB347" i="12"/>
  <c r="AS65" i="12"/>
  <c r="AE353" i="12"/>
  <c r="AE344" i="12"/>
  <c r="AE346" i="12"/>
  <c r="AE348" i="12"/>
  <c r="AE347" i="12"/>
  <c r="AE345" i="12"/>
  <c r="AQ139" i="12"/>
  <c r="AQ140" i="12" s="1"/>
  <c r="T287" i="12"/>
  <c r="AR145" i="12"/>
  <c r="AR83" i="12"/>
  <c r="AR191" i="12"/>
  <c r="AR231" i="12"/>
  <c r="CY44" i="1" s="1"/>
  <c r="AR181" i="12"/>
  <c r="AR221" i="12"/>
  <c r="CY39" i="1" s="1"/>
  <c r="AE210" i="14"/>
  <c r="AD214" i="14"/>
  <c r="AD212" i="14"/>
  <c r="EH22" i="4"/>
  <c r="AD213" i="14" s="1"/>
  <c r="AF210" i="14"/>
  <c r="CY153" i="1"/>
  <c r="DI190" i="1"/>
  <c r="DN167" i="1"/>
  <c r="CJ192" i="1"/>
  <c r="CO169" i="1"/>
  <c r="EM170" i="1"/>
  <c r="EM154" i="1"/>
  <c r="CD153" i="1"/>
  <c r="CA192" i="1"/>
  <c r="CA195" i="1" s="1"/>
  <c r="CB169" i="1"/>
  <c r="EC191" i="1"/>
  <c r="EH168" i="1"/>
  <c r="BS192" i="1"/>
  <c r="BT169" i="1"/>
  <c r="BT192" i="1" s="1"/>
  <c r="AE168" i="10"/>
  <c r="AF167" i="10"/>
  <c r="AF5" i="11" s="1"/>
  <c r="AE15" i="10"/>
  <c r="AE183" i="10" s="1"/>
  <c r="T4" i="10"/>
  <c r="U24" i="11" s="1"/>
  <c r="AS211" i="12" l="1"/>
  <c r="DD34" i="1" s="1"/>
  <c r="CU34" i="1"/>
  <c r="CX34" i="1"/>
  <c r="CV34" i="1"/>
  <c r="BT195" i="1"/>
  <c r="BT172" i="1" s="1"/>
  <c r="BS195" i="1"/>
  <c r="BS172" i="1" s="1"/>
  <c r="AS191" i="12"/>
  <c r="AS181" i="12"/>
  <c r="AS171" i="12"/>
  <c r="AS231" i="12"/>
  <c r="DD44" i="1" s="1"/>
  <c r="CV39" i="1"/>
  <c r="AS221" i="12"/>
  <c r="DD39" i="1" s="1"/>
  <c r="AR139" i="12"/>
  <c r="AR140" i="12" s="1"/>
  <c r="J106" i="20"/>
  <c r="J102" i="20"/>
  <c r="J110" i="18" s="1"/>
  <c r="J112" i="18" s="1"/>
  <c r="J105" i="20"/>
  <c r="K62" i="20"/>
  <c r="K13" i="20" s="1"/>
  <c r="L10" i="20" s="1"/>
  <c r="K66" i="20"/>
  <c r="K100" i="20" s="1"/>
  <c r="K18" i="20"/>
  <c r="K9" i="20"/>
  <c r="K26" i="20"/>
  <c r="K15" i="20"/>
  <c r="K27" i="20" s="1"/>
  <c r="X54" i="20"/>
  <c r="Y33" i="20"/>
  <c r="Y30" i="20" s="1"/>
  <c r="Y38" i="20" s="1"/>
  <c r="Z32" i="20"/>
  <c r="Y29" i="20"/>
  <c r="Y37" i="20" s="1"/>
  <c r="L59" i="20"/>
  <c r="M53" i="20" s="1"/>
  <c r="R59" i="19"/>
  <c r="S53" i="19" s="1"/>
  <c r="W54" i="19"/>
  <c r="Q9" i="19"/>
  <c r="Q26" i="19"/>
  <c r="Q15" i="19"/>
  <c r="Q27" i="19" s="1"/>
  <c r="X33" i="19"/>
  <c r="X30" i="19" s="1"/>
  <c r="X38" i="19" s="1"/>
  <c r="Y32" i="19"/>
  <c r="X29" i="19"/>
  <c r="X37" i="19" s="1"/>
  <c r="Q66" i="19"/>
  <c r="Q102" i="19" s="1"/>
  <c r="Q104" i="19" s="1"/>
  <c r="Q113" i="19" s="1"/>
  <c r="Q62" i="19"/>
  <c r="Q13" i="19" s="1"/>
  <c r="R10" i="19" s="1"/>
  <c r="Q18" i="19"/>
  <c r="P19" i="19"/>
  <c r="P109" i="19"/>
  <c r="P107" i="19"/>
  <c r="P111" i="19"/>
  <c r="J102" i="18"/>
  <c r="J105" i="18" s="1"/>
  <c r="J116" i="18"/>
  <c r="K53" i="18"/>
  <c r="K58" i="18"/>
  <c r="L64" i="18"/>
  <c r="L29" i="18"/>
  <c r="L37" i="18" s="1"/>
  <c r="L30" i="18"/>
  <c r="L38" i="18" s="1"/>
  <c r="L28" i="18"/>
  <c r="L36" i="18" s="1"/>
  <c r="M25" i="18"/>
  <c r="AR150" i="12"/>
  <c r="AR470" i="12" s="1"/>
  <c r="AR469" i="12" s="1"/>
  <c r="AS160" i="12"/>
  <c r="DD9" i="1" s="1"/>
  <c r="AS201" i="12"/>
  <c r="CX44" i="1"/>
  <c r="CU44" i="1"/>
  <c r="CV44" i="1"/>
  <c r="CX39" i="1"/>
  <c r="AE385" i="12"/>
  <c r="AE377" i="12"/>
  <c r="AB385" i="12"/>
  <c r="AB377" i="12"/>
  <c r="AB354" i="12"/>
  <c r="AX11" i="12"/>
  <c r="AW13" i="12"/>
  <c r="AW9" i="12" s="1"/>
  <c r="AX199" i="12"/>
  <c r="AW198" i="12"/>
  <c r="AV41" i="12"/>
  <c r="AU43" i="12"/>
  <c r="AL304" i="12"/>
  <c r="AL303" i="12" s="1"/>
  <c r="AK303" i="12"/>
  <c r="Y287" i="12"/>
  <c r="AM299" i="12"/>
  <c r="AM297" i="12"/>
  <c r="AM416" i="12" s="1"/>
  <c r="AM295" i="12"/>
  <c r="AM400" i="12" s="1"/>
  <c r="AM298" i="12"/>
  <c r="AM424" i="12" s="1"/>
  <c r="AM296" i="12"/>
  <c r="AM408" i="12" s="1"/>
  <c r="AM294" i="12"/>
  <c r="AM392" i="12" s="1"/>
  <c r="AM293" i="12"/>
  <c r="AM384" i="12" s="1"/>
  <c r="AT135" i="12"/>
  <c r="AT225" i="12" s="1"/>
  <c r="AT133" i="12"/>
  <c r="AT205" i="12" s="1"/>
  <c r="AT136" i="12"/>
  <c r="AT134" i="12"/>
  <c r="AT215" i="12" s="1"/>
  <c r="AT132" i="12"/>
  <c r="AT195" i="12" s="1"/>
  <c r="AT129" i="12"/>
  <c r="AT165" i="12" s="1"/>
  <c r="AT128" i="12"/>
  <c r="AT154" i="12" s="1"/>
  <c r="AT130" i="12"/>
  <c r="AT175" i="12" s="1"/>
  <c r="AT131" i="12"/>
  <c r="AT185" i="12" s="1"/>
  <c r="AT127" i="12"/>
  <c r="CW44" i="1"/>
  <c r="AZ245" i="12"/>
  <c r="AZ243" i="12" s="1"/>
  <c r="AG353" i="12"/>
  <c r="AG344" i="12"/>
  <c r="AG347" i="12"/>
  <c r="AG345" i="12"/>
  <c r="AG346" i="12"/>
  <c r="AG348" i="12"/>
  <c r="AV37" i="12"/>
  <c r="AU39" i="12"/>
  <c r="AA354" i="12"/>
  <c r="AA393" i="12"/>
  <c r="AA294" i="12"/>
  <c r="W392" i="12"/>
  <c r="W396" i="12" s="1"/>
  <c r="W269" i="12"/>
  <c r="W384" i="12"/>
  <c r="W388" i="12" s="1"/>
  <c r="W265" i="12"/>
  <c r="W300" i="12"/>
  <c r="W253" i="12"/>
  <c r="AI369" i="12"/>
  <c r="AI393" i="12"/>
  <c r="CU39" i="1"/>
  <c r="AW33" i="12"/>
  <c r="AV35" i="12"/>
  <c r="AV68" i="12" s="1"/>
  <c r="AK250" i="12"/>
  <c r="AJ249" i="12"/>
  <c r="AD368" i="12"/>
  <c r="AD372" i="12" s="1"/>
  <c r="AD257" i="12"/>
  <c r="AD384" i="12"/>
  <c r="AD388" i="12" s="1"/>
  <c r="AD265" i="12"/>
  <c r="Z300" i="12"/>
  <c r="Z253" i="12"/>
  <c r="Z368" i="12"/>
  <c r="Z372" i="12" s="1"/>
  <c r="Z257" i="12"/>
  <c r="Z384" i="12"/>
  <c r="Z388" i="12" s="1"/>
  <c r="Z265" i="12"/>
  <c r="CW34" i="1"/>
  <c r="AP304" i="12"/>
  <c r="AO303" i="12"/>
  <c r="AE369" i="12"/>
  <c r="AE393" i="12"/>
  <c r="AE294" i="12"/>
  <c r="AB393" i="12"/>
  <c r="AB294" i="12"/>
  <c r="AB369" i="12"/>
  <c r="AV18" i="12"/>
  <c r="AV15" i="12"/>
  <c r="AV16" i="12" s="1"/>
  <c r="W376" i="12"/>
  <c r="W380" i="12" s="1"/>
  <c r="W261" i="12"/>
  <c r="W368" i="12"/>
  <c r="W372" i="12" s="1"/>
  <c r="W257" i="12"/>
  <c r="AT69" i="12"/>
  <c r="AT66" i="12"/>
  <c r="AJ353" i="12"/>
  <c r="AJ344" i="12"/>
  <c r="AJ348" i="12"/>
  <c r="AJ345" i="12"/>
  <c r="AJ346" i="12"/>
  <c r="AJ347" i="12"/>
  <c r="CW39" i="1"/>
  <c r="AO250" i="12"/>
  <c r="AN249" i="12"/>
  <c r="AS145" i="12"/>
  <c r="AS83" i="12"/>
  <c r="AD376" i="12"/>
  <c r="AD380" i="12" s="1"/>
  <c r="AD261" i="12"/>
  <c r="AD392" i="12"/>
  <c r="AD396" i="12" s="1"/>
  <c r="AD269" i="12"/>
  <c r="Z376" i="12"/>
  <c r="Z380" i="12" s="1"/>
  <c r="Z261" i="12"/>
  <c r="Z392" i="12"/>
  <c r="Z396" i="12" s="1"/>
  <c r="Z269" i="12"/>
  <c r="AT82" i="12"/>
  <c r="AT81" i="12"/>
  <c r="AT224" i="12" s="1"/>
  <c r="AT231" i="12" s="1"/>
  <c r="DI44" i="1" s="1"/>
  <c r="AT79" i="12"/>
  <c r="AT204" i="12" s="1"/>
  <c r="AT77" i="12"/>
  <c r="AT184" i="12" s="1"/>
  <c r="AT75" i="12"/>
  <c r="AT164" i="12" s="1"/>
  <c r="AT73" i="12"/>
  <c r="AT80" i="12"/>
  <c r="AT214" i="12" s="1"/>
  <c r="AT78" i="12"/>
  <c r="AT194" i="12" s="1"/>
  <c r="AT76" i="12"/>
  <c r="AT174" i="12" s="1"/>
  <c r="AT74" i="12"/>
  <c r="AT153" i="12" s="1"/>
  <c r="V376" i="12"/>
  <c r="V380" i="12" s="1"/>
  <c r="V261" i="12"/>
  <c r="V392" i="12"/>
  <c r="V396" i="12" s="1"/>
  <c r="V269" i="12"/>
  <c r="AM360" i="12"/>
  <c r="AM354" i="12"/>
  <c r="AZ244" i="12"/>
  <c r="AQ470" i="12"/>
  <c r="AQ469" i="12" s="1"/>
  <c r="AQ462" i="12"/>
  <c r="AG250" i="12"/>
  <c r="AG249" i="12" s="1"/>
  <c r="AF249" i="12"/>
  <c r="BA246" i="12"/>
  <c r="BA244" i="12" s="1"/>
  <c r="BA23" i="12"/>
  <c r="U287" i="12"/>
  <c r="AF353" i="12"/>
  <c r="AF348" i="12"/>
  <c r="AF344" i="12"/>
  <c r="AF345" i="12"/>
  <c r="AF346" i="12"/>
  <c r="AF347" i="12"/>
  <c r="AT65" i="12"/>
  <c r="AA369" i="12"/>
  <c r="AA385" i="12"/>
  <c r="AA377" i="12"/>
  <c r="AU22" i="12"/>
  <c r="AU86" i="12" s="1"/>
  <c r="AU21" i="12"/>
  <c r="AU27" i="12" s="1"/>
  <c r="AI385" i="12"/>
  <c r="AI377" i="12"/>
  <c r="AS146" i="12"/>
  <c r="AS137" i="12"/>
  <c r="AD300" i="12"/>
  <c r="AX189" i="12"/>
  <c r="AW188" i="12"/>
  <c r="V368" i="12"/>
  <c r="V372" i="12" s="1"/>
  <c r="V257" i="12"/>
  <c r="X257" i="12" s="1"/>
  <c r="X291" i="12" s="1"/>
  <c r="X368" i="12" s="1"/>
  <c r="X372" i="12" s="1"/>
  <c r="V384" i="12"/>
  <c r="V388" i="12" s="1"/>
  <c r="V265" i="12"/>
  <c r="V300" i="12"/>
  <c r="V253" i="12"/>
  <c r="AN352" i="12"/>
  <c r="AN425" i="12" s="1"/>
  <c r="AN350" i="12"/>
  <c r="AN409" i="12" s="1"/>
  <c r="AN351" i="12"/>
  <c r="AN417" i="12" s="1"/>
  <c r="AN349" i="12"/>
  <c r="AN401" i="12" s="1"/>
  <c r="AN353" i="12"/>
  <c r="AN347" i="12"/>
  <c r="AN385" i="12" s="1"/>
  <c r="AN346" i="12"/>
  <c r="AN377" i="12" s="1"/>
  <c r="AN348" i="12"/>
  <c r="AN393" i="12" s="1"/>
  <c r="AN344" i="12"/>
  <c r="AN345" i="12"/>
  <c r="AN369" i="12" s="1"/>
  <c r="AF212" i="14"/>
  <c r="ER22" i="4"/>
  <c r="AF213" i="14" s="1"/>
  <c r="AE214" i="14"/>
  <c r="AE212" i="14"/>
  <c r="EM22" i="4"/>
  <c r="AE213" i="14" s="1"/>
  <c r="AF214" i="14" s="1"/>
  <c r="EH191" i="1"/>
  <c r="EM168" i="1"/>
  <c r="CA172" i="1"/>
  <c r="ER154" i="1"/>
  <c r="ER170" i="1"/>
  <c r="CO192" i="1"/>
  <c r="CT169" i="1"/>
  <c r="DN190" i="1"/>
  <c r="DS167" i="1"/>
  <c r="DD153" i="1"/>
  <c r="CB192" i="1"/>
  <c r="CC169" i="1"/>
  <c r="AF154" i="10"/>
  <c r="AF166" i="10"/>
  <c r="DB34" i="1" l="1"/>
  <c r="DC34" i="1"/>
  <c r="DA34" i="1"/>
  <c r="CZ34" i="1"/>
  <c r="CZ44" i="1"/>
  <c r="DE44" i="1" s="1"/>
  <c r="L52" i="18"/>
  <c r="X261" i="12"/>
  <c r="X292" i="12" s="1"/>
  <c r="X376" i="12" s="1"/>
  <c r="X380" i="12" s="1"/>
  <c r="Z287" i="12"/>
  <c r="DB44" i="1"/>
  <c r="DG44" i="1" s="1"/>
  <c r="DC44" i="1"/>
  <c r="DH44" i="1" s="1"/>
  <c r="AT160" i="12"/>
  <c r="DI9" i="1" s="1"/>
  <c r="DA44" i="1"/>
  <c r="DF44" i="1" s="1"/>
  <c r="AT201" i="12"/>
  <c r="AT191" i="12"/>
  <c r="Q19" i="19"/>
  <c r="L53" i="18"/>
  <c r="DA39" i="1"/>
  <c r="DB39" i="1"/>
  <c r="CZ39" i="1"/>
  <c r="DC39" i="1"/>
  <c r="AU65" i="12"/>
  <c r="M59" i="20"/>
  <c r="N53" i="20" s="1"/>
  <c r="Z33" i="20"/>
  <c r="Z30" i="20" s="1"/>
  <c r="Z38" i="20" s="1"/>
  <c r="Z29" i="20"/>
  <c r="Z37" i="20" s="1"/>
  <c r="K19" i="20"/>
  <c r="L66" i="20"/>
  <c r="L100" i="20" s="1"/>
  <c r="L62" i="20"/>
  <c r="L13" i="20" s="1"/>
  <c r="M10" i="20" s="1"/>
  <c r="L18" i="20"/>
  <c r="Y54" i="20"/>
  <c r="L9" i="20"/>
  <c r="L26" i="20"/>
  <c r="L15" i="20"/>
  <c r="L27" i="20" s="1"/>
  <c r="K111" i="20"/>
  <c r="K106" i="20"/>
  <c r="K134" i="18" s="1"/>
  <c r="K102" i="20"/>
  <c r="K105" i="20"/>
  <c r="K133" i="18" s="1"/>
  <c r="R9" i="19"/>
  <c r="R26" i="19"/>
  <c r="R15" i="19"/>
  <c r="R27" i="19" s="1"/>
  <c r="Q109" i="19"/>
  <c r="Q107" i="19"/>
  <c r="Q111" i="19"/>
  <c r="Y33" i="19"/>
  <c r="Y30" i="19" s="1"/>
  <c r="Y38" i="19" s="1"/>
  <c r="Z32" i="19"/>
  <c r="Y29" i="19"/>
  <c r="Y37" i="19" s="1"/>
  <c r="R66" i="19"/>
  <c r="R102" i="19" s="1"/>
  <c r="R104" i="19" s="1"/>
  <c r="R113" i="19" s="1"/>
  <c r="R62" i="19"/>
  <c r="R13" i="19" s="1"/>
  <c r="S10" i="19" s="1"/>
  <c r="R18" i="19"/>
  <c r="X54" i="19"/>
  <c r="S59" i="19"/>
  <c r="K61" i="18"/>
  <c r="K13" i="18" s="1"/>
  <c r="L10" i="18" s="1"/>
  <c r="K65" i="18"/>
  <c r="K103" i="18" s="1"/>
  <c r="K18" i="18"/>
  <c r="K19" i="18" s="1"/>
  <c r="M64" i="18"/>
  <c r="M30" i="18"/>
  <c r="M38" i="18" s="1"/>
  <c r="M28" i="18"/>
  <c r="M36" i="18" s="1"/>
  <c r="M29" i="18"/>
  <c r="M37" i="18" s="1"/>
  <c r="N25" i="18"/>
  <c r="L58" i="18"/>
  <c r="J119" i="18"/>
  <c r="J117" i="18"/>
  <c r="J108" i="18"/>
  <c r="J113" i="18" s="1"/>
  <c r="J120" i="18"/>
  <c r="X253" i="12"/>
  <c r="X290" i="12" s="1"/>
  <c r="X265" i="12"/>
  <c r="X293" i="12" s="1"/>
  <c r="X384" i="12" s="1"/>
  <c r="X388" i="12" s="1"/>
  <c r="AT181" i="12"/>
  <c r="DI19" i="1" s="1"/>
  <c r="AT221" i="12"/>
  <c r="DI39" i="1" s="1"/>
  <c r="AT171" i="12"/>
  <c r="AT211" i="12"/>
  <c r="DI34" i="1" s="1"/>
  <c r="AE300" i="12"/>
  <c r="AR462" i="12"/>
  <c r="AC253" i="12"/>
  <c r="AN354" i="12"/>
  <c r="AN360" i="12"/>
  <c r="AU136" i="12"/>
  <c r="AU134" i="12"/>
  <c r="AU215" i="12" s="1"/>
  <c r="AU132" i="12"/>
  <c r="AU195" i="12" s="1"/>
  <c r="AU135" i="12"/>
  <c r="AU225" i="12" s="1"/>
  <c r="AU133" i="12"/>
  <c r="AU205" i="12" s="1"/>
  <c r="AU129" i="12"/>
  <c r="AU165" i="12" s="1"/>
  <c r="AU128" i="12"/>
  <c r="AU154" i="12" s="1"/>
  <c r="AU130" i="12"/>
  <c r="AU175" i="12" s="1"/>
  <c r="AU131" i="12"/>
  <c r="AU185" i="12" s="1"/>
  <c r="AU127" i="12"/>
  <c r="AF385" i="12"/>
  <c r="AF369" i="12"/>
  <c r="AF393" i="12"/>
  <c r="BA245" i="12"/>
  <c r="BA243" i="12" s="1"/>
  <c r="V287" i="12"/>
  <c r="X269" i="12"/>
  <c r="AT145" i="12"/>
  <c r="AT83" i="12"/>
  <c r="AS150" i="12"/>
  <c r="AP250" i="12"/>
  <c r="AO249" i="12"/>
  <c r="AJ385" i="12"/>
  <c r="AJ369" i="12"/>
  <c r="AB368" i="12"/>
  <c r="AB372" i="12" s="1"/>
  <c r="AB257" i="12"/>
  <c r="AB392" i="12"/>
  <c r="AB396" i="12" s="1"/>
  <c r="AB269" i="12"/>
  <c r="AQ304" i="12"/>
  <c r="AP303" i="12"/>
  <c r="AI392" i="12"/>
  <c r="AI396" i="12" s="1"/>
  <c r="AI269" i="12"/>
  <c r="AI368" i="12"/>
  <c r="AI372" i="12" s="1"/>
  <c r="AI257" i="12"/>
  <c r="W287" i="12"/>
  <c r="AA392" i="12"/>
  <c r="AA396" i="12" s="1"/>
  <c r="AA269" i="12"/>
  <c r="AC269" i="12" s="1"/>
  <c r="AA300" i="12"/>
  <c r="AA253" i="12"/>
  <c r="AG393" i="12"/>
  <c r="AG369" i="12"/>
  <c r="AL353" i="12"/>
  <c r="AL345" i="12"/>
  <c r="AL346" i="12"/>
  <c r="AL344" i="12"/>
  <c r="AL347" i="12"/>
  <c r="AL348" i="12"/>
  <c r="AW41" i="12"/>
  <c r="AV43" i="12"/>
  <c r="AY199" i="12"/>
  <c r="AY198" i="12" s="1"/>
  <c r="AX198" i="12"/>
  <c r="AY11" i="12"/>
  <c r="AX13" i="12"/>
  <c r="AX9" i="12" s="1"/>
  <c r="AB300" i="12"/>
  <c r="AB253" i="12"/>
  <c r="AB376" i="12"/>
  <c r="AB380" i="12" s="1"/>
  <c r="AB261" i="12"/>
  <c r="AB384" i="12"/>
  <c r="AB388" i="12" s="1"/>
  <c r="AB265" i="12"/>
  <c r="AE376" i="12"/>
  <c r="AE380" i="12" s="1"/>
  <c r="AE261" i="12"/>
  <c r="AE384" i="12"/>
  <c r="AE388" i="12" s="1"/>
  <c r="AE265" i="12"/>
  <c r="AY189" i="12"/>
  <c r="AY188" i="12" s="1"/>
  <c r="AX188" i="12"/>
  <c r="AI376" i="12"/>
  <c r="AI380" i="12" s="1"/>
  <c r="AI261" i="12"/>
  <c r="AI384" i="12"/>
  <c r="AI388" i="12" s="1"/>
  <c r="AI265" i="12"/>
  <c r="AU82" i="12"/>
  <c r="AU81" i="12"/>
  <c r="AU224" i="12" s="1"/>
  <c r="AU80" i="12"/>
  <c r="AU214" i="12" s="1"/>
  <c r="AU79" i="12"/>
  <c r="AU204" i="12" s="1"/>
  <c r="AU78" i="12"/>
  <c r="AU194" i="12" s="1"/>
  <c r="AU77" i="12"/>
  <c r="AU184" i="12" s="1"/>
  <c r="AU76" i="12"/>
  <c r="AU174" i="12" s="1"/>
  <c r="AU75" i="12"/>
  <c r="AU164" i="12" s="1"/>
  <c r="AU74" i="12"/>
  <c r="AU153" i="12" s="1"/>
  <c r="AU73" i="12"/>
  <c r="AA376" i="12"/>
  <c r="AA380" i="12" s="1"/>
  <c r="AA261" i="12"/>
  <c r="AC261" i="12" s="1"/>
  <c r="AC292" i="12" s="1"/>
  <c r="AC376" i="12" s="1"/>
  <c r="AC380" i="12" s="1"/>
  <c r="AA384" i="12"/>
  <c r="AA388" i="12" s="1"/>
  <c r="AA265" i="12"/>
  <c r="AC265" i="12" s="1"/>
  <c r="AC293" i="12" s="1"/>
  <c r="AC384" i="12" s="1"/>
  <c r="AC388" i="12" s="1"/>
  <c r="AA368" i="12"/>
  <c r="AA372" i="12" s="1"/>
  <c r="AA257" i="12"/>
  <c r="AC257" i="12" s="1"/>
  <c r="AC291" i="12" s="1"/>
  <c r="AC368" i="12" s="1"/>
  <c r="AC372" i="12" s="1"/>
  <c r="AF377" i="12"/>
  <c r="AS139" i="12"/>
  <c r="AS140" i="12" s="1"/>
  <c r="AN298" i="12"/>
  <c r="AN424" i="12" s="1"/>
  <c r="AN296" i="12"/>
  <c r="AN408" i="12" s="1"/>
  <c r="AN299" i="12"/>
  <c r="AN297" i="12"/>
  <c r="AN416" i="12" s="1"/>
  <c r="AN295" i="12"/>
  <c r="AN400" i="12" s="1"/>
  <c r="AN293" i="12"/>
  <c r="AN384" i="12" s="1"/>
  <c r="AN294" i="12"/>
  <c r="AN392" i="12" s="1"/>
  <c r="AJ377" i="12"/>
  <c r="AJ393" i="12"/>
  <c r="AV22" i="12"/>
  <c r="AV86" i="12" s="1"/>
  <c r="AV21" i="12"/>
  <c r="AV27" i="12" s="1"/>
  <c r="AE392" i="12"/>
  <c r="AE396" i="12" s="1"/>
  <c r="AE269" i="12"/>
  <c r="AE368" i="12"/>
  <c r="AE372" i="12" s="1"/>
  <c r="AE257" i="12"/>
  <c r="AO351" i="12"/>
  <c r="AO417" i="12" s="1"/>
  <c r="AO349" i="12"/>
  <c r="AO401" i="12" s="1"/>
  <c r="AO352" i="12"/>
  <c r="AO425" i="12" s="1"/>
  <c r="AO350" i="12"/>
  <c r="AO409" i="12" s="1"/>
  <c r="AO346" i="12"/>
  <c r="AO377" i="12" s="1"/>
  <c r="AO347" i="12"/>
  <c r="AO385" i="12" s="1"/>
  <c r="AO348" i="12"/>
  <c r="AO393" i="12" s="1"/>
  <c r="AO353" i="12"/>
  <c r="AO344" i="12"/>
  <c r="AO345" i="12"/>
  <c r="AO369" i="12" s="1"/>
  <c r="AL250" i="12"/>
  <c r="AL249" i="12" s="1"/>
  <c r="AK249" i="12"/>
  <c r="AX33" i="12"/>
  <c r="AW35" i="12"/>
  <c r="AW68" i="12" s="1"/>
  <c r="AI300" i="12"/>
  <c r="AW37" i="12"/>
  <c r="AV39" i="12"/>
  <c r="AG377" i="12"/>
  <c r="AG385" i="12"/>
  <c r="AT146" i="12"/>
  <c r="AT137" i="12"/>
  <c r="AK353" i="12"/>
  <c r="AK347" i="12"/>
  <c r="AK345" i="12"/>
  <c r="AK344" i="12"/>
  <c r="AK346" i="12"/>
  <c r="AK348" i="12"/>
  <c r="AU69" i="12"/>
  <c r="AU66" i="12"/>
  <c r="AW18" i="12"/>
  <c r="AW15" i="12"/>
  <c r="AW16" i="12" s="1"/>
  <c r="CC192" i="1"/>
  <c r="CD169" i="1"/>
  <c r="CD192" i="1" s="1"/>
  <c r="DI153" i="1"/>
  <c r="DS190" i="1"/>
  <c r="DX167" i="1"/>
  <c r="CT192" i="1"/>
  <c r="CY169" i="1"/>
  <c r="EM191" i="1"/>
  <c r="ER168" i="1"/>
  <c r="ER191" i="1" s="1"/>
  <c r="AF168" i="10"/>
  <c r="AF15" i="10"/>
  <c r="AF183" i="10" s="1"/>
  <c r="DF34" i="1" l="1"/>
  <c r="AU181" i="12"/>
  <c r="DN19" i="1" s="1"/>
  <c r="M52" i="18"/>
  <c r="M58" i="18" s="1"/>
  <c r="AU191" i="12"/>
  <c r="AU231" i="12"/>
  <c r="DN44" i="1" s="1"/>
  <c r="DK44" i="1" s="1"/>
  <c r="AU171" i="12"/>
  <c r="AU221" i="12"/>
  <c r="DN39" i="1" s="1"/>
  <c r="AU160" i="12"/>
  <c r="DN9" i="1" s="1"/>
  <c r="AU201" i="12"/>
  <c r="R19" i="19"/>
  <c r="DG39" i="1"/>
  <c r="DF39" i="1"/>
  <c r="DE39" i="1"/>
  <c r="DH39" i="1"/>
  <c r="DH34" i="1"/>
  <c r="DG34" i="1"/>
  <c r="DE34" i="1"/>
  <c r="AU211" i="12"/>
  <c r="DN34" i="1" s="1"/>
  <c r="AV65" i="12"/>
  <c r="M9" i="20"/>
  <c r="M26" i="20"/>
  <c r="M15" i="20"/>
  <c r="M27" i="20" s="1"/>
  <c r="L19" i="20"/>
  <c r="L111" i="20"/>
  <c r="L106" i="20"/>
  <c r="L134" i="18" s="1"/>
  <c r="L102" i="20"/>
  <c r="L105" i="20"/>
  <c r="L133" i="18" s="1"/>
  <c r="Z54" i="20"/>
  <c r="M66" i="20"/>
  <c r="M100" i="20" s="1"/>
  <c r="M62" i="20"/>
  <c r="M13" i="20" s="1"/>
  <c r="N10" i="20" s="1"/>
  <c r="M18" i="20"/>
  <c r="N59" i="20"/>
  <c r="O53" i="20" s="1"/>
  <c r="S66" i="19"/>
  <c r="S102" i="19" s="1"/>
  <c r="S104" i="19" s="1"/>
  <c r="S113" i="19" s="1"/>
  <c r="S62" i="19"/>
  <c r="S13" i="19" s="1"/>
  <c r="T10" i="19" s="1"/>
  <c r="S18" i="19"/>
  <c r="R109" i="19"/>
  <c r="R107" i="19"/>
  <c r="R111" i="19"/>
  <c r="Z33" i="19"/>
  <c r="Z30" i="19" s="1"/>
  <c r="Z38" i="19" s="1"/>
  <c r="Z29" i="19"/>
  <c r="Z37" i="19" s="1"/>
  <c r="T53" i="19"/>
  <c r="Y54" i="19"/>
  <c r="S9" i="19"/>
  <c r="S26" i="19"/>
  <c r="S15" i="19"/>
  <c r="S27" i="19" s="1"/>
  <c r="M53" i="18"/>
  <c r="L9" i="18"/>
  <c r="L15" i="18"/>
  <c r="L27" i="18" s="1"/>
  <c r="L26" i="18"/>
  <c r="L65" i="18"/>
  <c r="L103" i="18" s="1"/>
  <c r="L105" i="18" s="1"/>
  <c r="L61" i="18"/>
  <c r="L13" i="18" s="1"/>
  <c r="M10" i="18" s="1"/>
  <c r="L18" i="18"/>
  <c r="N64" i="18"/>
  <c r="N29" i="18"/>
  <c r="N37" i="18" s="1"/>
  <c r="N30" i="18"/>
  <c r="N38" i="18" s="1"/>
  <c r="N28" i="18"/>
  <c r="N36" i="18" s="1"/>
  <c r="O25" i="18"/>
  <c r="K100" i="18"/>
  <c r="AB287" i="12"/>
  <c r="AJ300" i="12"/>
  <c r="AK369" i="12"/>
  <c r="AO360" i="12"/>
  <c r="AO354" i="12"/>
  <c r="AJ392" i="12"/>
  <c r="AJ396" i="12" s="1"/>
  <c r="AJ269" i="12"/>
  <c r="AZ11" i="12"/>
  <c r="AY13" i="12"/>
  <c r="AY9" i="12" s="1"/>
  <c r="AX41" i="12"/>
  <c r="AW43" i="12"/>
  <c r="AL385" i="12"/>
  <c r="AL377" i="12"/>
  <c r="AG368" i="12"/>
  <c r="AG372" i="12" s="1"/>
  <c r="AG257" i="12"/>
  <c r="AG392" i="12"/>
  <c r="AG396" i="12" s="1"/>
  <c r="AG269" i="12"/>
  <c r="AA287" i="12"/>
  <c r="AP352" i="12"/>
  <c r="AP425" i="12" s="1"/>
  <c r="AP350" i="12"/>
  <c r="AP409" i="12" s="1"/>
  <c r="AP351" i="12"/>
  <c r="AP417" i="12" s="1"/>
  <c r="AP349" i="12"/>
  <c r="AP401" i="12" s="1"/>
  <c r="AP347" i="12"/>
  <c r="AP385" i="12" s="1"/>
  <c r="AP346" i="12"/>
  <c r="AP377" i="12" s="1"/>
  <c r="AP348" i="12"/>
  <c r="AP393" i="12" s="1"/>
  <c r="AP353" i="12"/>
  <c r="AP344" i="12"/>
  <c r="AP345" i="12"/>
  <c r="AP369" i="12" s="1"/>
  <c r="AQ250" i="12"/>
  <c r="AP249" i="12"/>
  <c r="AT150" i="12"/>
  <c r="AH253" i="12"/>
  <c r="AC290" i="12"/>
  <c r="AW22" i="12"/>
  <c r="AW86" i="12" s="1"/>
  <c r="AW21" i="12"/>
  <c r="AW27" i="12" s="1"/>
  <c r="AK377" i="12"/>
  <c r="AX37" i="12"/>
  <c r="AW39" i="12"/>
  <c r="AV82" i="12"/>
  <c r="AV80" i="12"/>
  <c r="AV214" i="12" s="1"/>
  <c r="AV78" i="12"/>
  <c r="AV194" i="12" s="1"/>
  <c r="AV76" i="12"/>
  <c r="AV174" i="12" s="1"/>
  <c r="AV74" i="12"/>
  <c r="AV153" i="12" s="1"/>
  <c r="AV81" i="12"/>
  <c r="AV224" i="12" s="1"/>
  <c r="AV79" i="12"/>
  <c r="AV204" i="12" s="1"/>
  <c r="AV77" i="12"/>
  <c r="AV184" i="12" s="1"/>
  <c r="AV75" i="12"/>
  <c r="AV164" i="12" s="1"/>
  <c r="AV73" i="12"/>
  <c r="AJ376" i="12"/>
  <c r="AJ380" i="12" s="1"/>
  <c r="AJ261" i="12"/>
  <c r="AF376" i="12"/>
  <c r="AF380" i="12" s="1"/>
  <c r="AF261" i="12"/>
  <c r="AU145" i="12"/>
  <c r="AU83" i="12"/>
  <c r="AK393" i="12"/>
  <c r="AK385" i="12"/>
  <c r="AC294" i="12"/>
  <c r="AC392" i="12" s="1"/>
  <c r="AC396" i="12" s="1"/>
  <c r="AC287" i="12"/>
  <c r="AG384" i="12"/>
  <c r="AG388" i="12" s="1"/>
  <c r="AG265" i="12"/>
  <c r="AG376" i="12"/>
  <c r="AG380" i="12" s="1"/>
  <c r="AG261" i="12"/>
  <c r="AY33" i="12"/>
  <c r="AX35" i="12"/>
  <c r="AX68" i="12" s="1"/>
  <c r="AV135" i="12"/>
  <c r="AV225" i="12" s="1"/>
  <c r="AV133" i="12"/>
  <c r="AV205" i="12" s="1"/>
  <c r="AV136" i="12"/>
  <c r="AV134" i="12"/>
  <c r="AV215" i="12" s="1"/>
  <c r="AV132" i="12"/>
  <c r="AV195" i="12" s="1"/>
  <c r="AV130" i="12"/>
  <c r="AV175" i="12" s="1"/>
  <c r="AV128" i="12"/>
  <c r="AV154" i="12" s="1"/>
  <c r="AV129" i="12"/>
  <c r="AV165" i="12" s="1"/>
  <c r="AV131" i="12"/>
  <c r="AV185" i="12" s="1"/>
  <c r="AV127" i="12"/>
  <c r="AF300" i="12"/>
  <c r="AX18" i="12"/>
  <c r="AX15" i="12"/>
  <c r="AX16" i="12" s="1"/>
  <c r="AV66" i="12"/>
  <c r="AV69" i="12"/>
  <c r="AL393" i="12"/>
  <c r="AL369" i="12"/>
  <c r="AG300" i="12"/>
  <c r="AR304" i="12"/>
  <c r="AQ303" i="12"/>
  <c r="AJ368" i="12"/>
  <c r="AJ372" i="12" s="1"/>
  <c r="AJ257" i="12"/>
  <c r="AJ384" i="12"/>
  <c r="AJ388" i="12" s="1"/>
  <c r="AJ265" i="12"/>
  <c r="AO299" i="12"/>
  <c r="AO297" i="12"/>
  <c r="AO416" i="12" s="1"/>
  <c r="AO295" i="12"/>
  <c r="AO400" i="12" s="1"/>
  <c r="AO298" i="12"/>
  <c r="AO424" i="12" s="1"/>
  <c r="AO296" i="12"/>
  <c r="AO408" i="12" s="1"/>
  <c r="AO294" i="12"/>
  <c r="AO392" i="12" s="1"/>
  <c r="AO293" i="12"/>
  <c r="AO384" i="12" s="1"/>
  <c r="AS470" i="12"/>
  <c r="AS469" i="12" s="1"/>
  <c r="AS462" i="12"/>
  <c r="AT139" i="12"/>
  <c r="AT140" i="12" s="1"/>
  <c r="X294" i="12"/>
  <c r="X392" i="12" s="1"/>
  <c r="X396" i="12" s="1"/>
  <c r="X287" i="12"/>
  <c r="AF392" i="12"/>
  <c r="AF396" i="12" s="1"/>
  <c r="AF269" i="12"/>
  <c r="AH269" i="12" s="1"/>
  <c r="AF368" i="12"/>
  <c r="AF372" i="12" s="1"/>
  <c r="AF257" i="12"/>
  <c r="AF384" i="12"/>
  <c r="AF388" i="12" s="1"/>
  <c r="AF265" i="12"/>
  <c r="AU146" i="12"/>
  <c r="AU137" i="12"/>
  <c r="X359" i="12"/>
  <c r="X364" i="12" s="1"/>
  <c r="CJ6" i="1"/>
  <c r="CH6" i="1" s="1"/>
  <c r="CJ11" i="1"/>
  <c r="CF11" i="1" s="1"/>
  <c r="CJ21" i="1"/>
  <c r="CF21" i="1" s="1"/>
  <c r="CY192" i="1"/>
  <c r="DD169" i="1"/>
  <c r="DX190" i="1"/>
  <c r="EC167" i="1"/>
  <c r="DN153" i="1"/>
  <c r="CJ26" i="1"/>
  <c r="CF26" i="1" s="1"/>
  <c r="CJ16" i="1"/>
  <c r="CG16" i="1" s="1"/>
  <c r="AH265" i="12" l="1"/>
  <c r="AH293" i="12" s="1"/>
  <c r="AH384" i="12" s="1"/>
  <c r="AH388" i="12" s="1"/>
  <c r="AM388" i="12" s="1"/>
  <c r="DK34" i="1"/>
  <c r="L19" i="18"/>
  <c r="AH257" i="12"/>
  <c r="AH261" i="12"/>
  <c r="DL39" i="1"/>
  <c r="DL44" i="1"/>
  <c r="DJ44" i="1"/>
  <c r="DM44" i="1"/>
  <c r="CF6" i="1"/>
  <c r="DK39" i="1"/>
  <c r="M19" i="20"/>
  <c r="DJ39" i="1"/>
  <c r="DM39" i="1"/>
  <c r="N52" i="18"/>
  <c r="N58" i="18" s="1"/>
  <c r="N53" i="18"/>
  <c r="DJ34" i="1"/>
  <c r="DM34" i="1"/>
  <c r="DL34" i="1"/>
  <c r="AW65" i="12"/>
  <c r="CG6" i="1"/>
  <c r="N9" i="20"/>
  <c r="N26" i="20"/>
  <c r="N15" i="20"/>
  <c r="N27" i="20" s="1"/>
  <c r="N66" i="20"/>
  <c r="N100" i="20" s="1"/>
  <c r="N62" i="20"/>
  <c r="N13" i="20" s="1"/>
  <c r="O10" i="20" s="1"/>
  <c r="N18" i="20"/>
  <c r="M111" i="20"/>
  <c r="M102" i="20"/>
  <c r="M105" i="20"/>
  <c r="M133" i="18" s="1"/>
  <c r="O59" i="20"/>
  <c r="P53" i="20" s="1"/>
  <c r="T9" i="19"/>
  <c r="T26" i="19"/>
  <c r="T15" i="19"/>
  <c r="T27" i="19" s="1"/>
  <c r="Z54" i="19"/>
  <c r="T59" i="19"/>
  <c r="U53" i="19" s="1"/>
  <c r="S19" i="19"/>
  <c r="S107" i="19"/>
  <c r="S109" i="19"/>
  <c r="S111" i="19"/>
  <c r="K102" i="18"/>
  <c r="K105" i="18" s="1"/>
  <c r="K116" i="18"/>
  <c r="O64" i="18"/>
  <c r="O30" i="18"/>
  <c r="O38" i="18" s="1"/>
  <c r="O28" i="18"/>
  <c r="O36" i="18" s="1"/>
  <c r="O29" i="18"/>
  <c r="O37" i="18" s="1"/>
  <c r="P25" i="18"/>
  <c r="M61" i="18"/>
  <c r="M13" i="18" s="1"/>
  <c r="N10" i="18" s="1"/>
  <c r="M65" i="18"/>
  <c r="M103" i="18" s="1"/>
  <c r="M105" i="18" s="1"/>
  <c r="M18" i="18"/>
  <c r="L117" i="18"/>
  <c r="L108" i="18"/>
  <c r="L120" i="18"/>
  <c r="L119" i="18" s="1"/>
  <c r="M9" i="18"/>
  <c r="M15" i="18"/>
  <c r="M27" i="18" s="1"/>
  <c r="M26" i="18"/>
  <c r="AV171" i="12"/>
  <c r="AV211" i="12"/>
  <c r="DS34" i="1" s="1"/>
  <c r="AN388" i="12"/>
  <c r="AM389" i="12"/>
  <c r="AM256" i="12"/>
  <c r="AN256" i="12" s="1"/>
  <c r="AM255" i="12"/>
  <c r="AN255" i="12" s="1"/>
  <c r="AO255" i="12" s="1"/>
  <c r="AH291" i="12"/>
  <c r="AH368" i="12" s="1"/>
  <c r="AH372" i="12" s="1"/>
  <c r="AM372" i="12" s="1"/>
  <c r="AN372" i="12" s="1"/>
  <c r="AO372" i="12" s="1"/>
  <c r="AP372" i="12" s="1"/>
  <c r="AQ372" i="12" s="1"/>
  <c r="AR372" i="12" s="1"/>
  <c r="AS372" i="12" s="1"/>
  <c r="AT372" i="12" s="1"/>
  <c r="AU372" i="12" s="1"/>
  <c r="AV372" i="12" s="1"/>
  <c r="AW372" i="12" s="1"/>
  <c r="AX372" i="12" s="1"/>
  <c r="AY372" i="12" s="1"/>
  <c r="AZ372" i="12" s="1"/>
  <c r="BA372" i="12" s="1"/>
  <c r="AH292" i="12"/>
  <c r="AH376" i="12" s="1"/>
  <c r="AH380" i="12" s="1"/>
  <c r="AM380" i="12" s="1"/>
  <c r="AM260" i="12"/>
  <c r="AN260" i="12" s="1"/>
  <c r="AM259" i="12"/>
  <c r="AN259" i="12" s="1"/>
  <c r="AO259" i="12" s="1"/>
  <c r="AM258" i="12"/>
  <c r="AH294" i="12"/>
  <c r="AH392" i="12" s="1"/>
  <c r="AH396" i="12" s="1"/>
  <c r="AM396" i="12" s="1"/>
  <c r="AH287" i="12"/>
  <c r="X474" i="12"/>
  <c r="X475" i="12" s="1"/>
  <c r="X463" i="12"/>
  <c r="X465" i="12" s="1"/>
  <c r="AS304" i="12"/>
  <c r="AR303" i="12"/>
  <c r="AL392" i="12"/>
  <c r="AL396" i="12" s="1"/>
  <c r="AL269" i="12"/>
  <c r="AK384" i="12"/>
  <c r="AK388" i="12" s="1"/>
  <c r="AK265" i="12"/>
  <c r="AK300" i="12"/>
  <c r="AU139" i="12"/>
  <c r="AU140" i="12" s="1"/>
  <c r="AV160" i="12"/>
  <c r="DS9" i="1" s="1"/>
  <c r="AV201" i="12"/>
  <c r="AK376" i="12"/>
  <c r="AK380" i="12" s="1"/>
  <c r="AK261" i="12"/>
  <c r="AW82" i="12"/>
  <c r="AW81" i="12"/>
  <c r="AW224" i="12" s="1"/>
  <c r="AW80" i="12"/>
  <c r="AW214" i="12" s="1"/>
  <c r="AW79" i="12"/>
  <c r="AW204" i="12" s="1"/>
  <c r="AW78" i="12"/>
  <c r="AW194" i="12" s="1"/>
  <c r="AW77" i="12"/>
  <c r="AW184" i="12" s="1"/>
  <c r="AW76" i="12"/>
  <c r="AW174" i="12" s="1"/>
  <c r="AW75" i="12"/>
  <c r="AW164" i="12" s="1"/>
  <c r="AW74" i="12"/>
  <c r="AW153" i="12" s="1"/>
  <c r="AW73" i="12"/>
  <c r="AM253" i="12"/>
  <c r="AH290" i="12"/>
  <c r="AP298" i="12"/>
  <c r="AP424" i="12" s="1"/>
  <c r="AP296" i="12"/>
  <c r="AP408" i="12" s="1"/>
  <c r="AP299" i="12"/>
  <c r="AP297" i="12"/>
  <c r="AP416" i="12" s="1"/>
  <c r="AP295" i="12"/>
  <c r="AP400" i="12" s="1"/>
  <c r="AP294" i="12"/>
  <c r="AP392" i="12" s="1"/>
  <c r="AP293" i="12"/>
  <c r="AP384" i="12" s="1"/>
  <c r="AL376" i="12"/>
  <c r="AL380" i="12" s="1"/>
  <c r="AL261" i="12"/>
  <c r="AL384" i="12"/>
  <c r="AL388" i="12" s="1"/>
  <c r="AL265" i="12"/>
  <c r="AW69" i="12"/>
  <c r="AW66" i="12"/>
  <c r="AY18" i="12"/>
  <c r="AY15" i="12"/>
  <c r="AY16" i="12" s="1"/>
  <c r="AK368" i="12"/>
  <c r="AK372" i="12" s="1"/>
  <c r="AK257" i="12"/>
  <c r="CI21" i="1"/>
  <c r="CI6" i="1"/>
  <c r="CI26" i="1"/>
  <c r="X300" i="12"/>
  <c r="AQ351" i="12"/>
  <c r="AQ417" i="12" s="1"/>
  <c r="AQ349" i="12"/>
  <c r="AQ401" i="12" s="1"/>
  <c r="AQ352" i="12"/>
  <c r="AQ425" i="12" s="1"/>
  <c r="AQ350" i="12"/>
  <c r="AQ409" i="12" s="1"/>
  <c r="AQ346" i="12"/>
  <c r="AQ377" i="12" s="1"/>
  <c r="AQ348" i="12"/>
  <c r="AQ393" i="12" s="1"/>
  <c r="AQ347" i="12"/>
  <c r="AQ385" i="12" s="1"/>
  <c r="AQ353" i="12"/>
  <c r="AQ344" i="12"/>
  <c r="AQ345" i="12"/>
  <c r="AQ369" i="12" s="1"/>
  <c r="AL368" i="12"/>
  <c r="AL372" i="12" s="1"/>
  <c r="AL257" i="12"/>
  <c r="AL300" i="12"/>
  <c r="AX22" i="12"/>
  <c r="AX86" i="12" s="1"/>
  <c r="AX21" i="12"/>
  <c r="AX27" i="12" s="1"/>
  <c r="AV146" i="12"/>
  <c r="AV137" i="12"/>
  <c r="AZ33" i="12"/>
  <c r="AY35" i="12"/>
  <c r="AY68" i="12" s="1"/>
  <c r="AK392" i="12"/>
  <c r="AK396" i="12" s="1"/>
  <c r="AK269" i="12"/>
  <c r="AU150" i="12"/>
  <c r="AV145" i="12"/>
  <c r="AV83" i="12"/>
  <c r="AV191" i="12"/>
  <c r="AV231" i="12"/>
  <c r="DS44" i="1" s="1"/>
  <c r="DP44" i="1" s="1"/>
  <c r="AV181" i="12"/>
  <c r="DS19" i="1" s="1"/>
  <c r="AV221" i="12"/>
  <c r="DS39" i="1" s="1"/>
  <c r="AY37" i="12"/>
  <c r="AX39" i="12"/>
  <c r="AW136" i="12"/>
  <c r="AW134" i="12"/>
  <c r="AW215" i="12" s="1"/>
  <c r="AW132" i="12"/>
  <c r="AW195" i="12" s="1"/>
  <c r="AW135" i="12"/>
  <c r="AW225" i="12" s="1"/>
  <c r="AW133" i="12"/>
  <c r="AW205" i="12" s="1"/>
  <c r="AW129" i="12"/>
  <c r="AW165" i="12" s="1"/>
  <c r="AW128" i="12"/>
  <c r="AW154" i="12" s="1"/>
  <c r="AW130" i="12"/>
  <c r="AW175" i="12" s="1"/>
  <c r="AW131" i="12"/>
  <c r="AW185" i="12" s="1"/>
  <c r="AW127" i="12"/>
  <c r="AC359" i="12"/>
  <c r="AC364" i="12" s="1"/>
  <c r="AC300" i="12"/>
  <c r="AT470" i="12"/>
  <c r="AT469" i="12" s="1"/>
  <c r="AT462" i="12"/>
  <c r="AR250" i="12"/>
  <c r="AQ249" i="12"/>
  <c r="AP354" i="12"/>
  <c r="AP360" i="12"/>
  <c r="AY41" i="12"/>
  <c r="AX43" i="12"/>
  <c r="BA11" i="12"/>
  <c r="BA13" i="12" s="1"/>
  <c r="BA9" i="12" s="1"/>
  <c r="AZ13" i="12"/>
  <c r="AZ9" i="12" s="1"/>
  <c r="DS153" i="1"/>
  <c r="EC190" i="1"/>
  <c r="EH167" i="1"/>
  <c r="DD192" i="1"/>
  <c r="DI169" i="1"/>
  <c r="CC13" i="1"/>
  <c r="CC177" i="1" s="1"/>
  <c r="CH16" i="1"/>
  <c r="CF16" i="1"/>
  <c r="CH26" i="1"/>
  <c r="CH21" i="1"/>
  <c r="CG11" i="1"/>
  <c r="CB8" i="1"/>
  <c r="CI11" i="1"/>
  <c r="CO26" i="1"/>
  <c r="CN26" i="1" s="1"/>
  <c r="CO21" i="1"/>
  <c r="CK21" i="1" s="1"/>
  <c r="CO11" i="1"/>
  <c r="CK11" i="1" s="1"/>
  <c r="CI16" i="1"/>
  <c r="CG26" i="1"/>
  <c r="CO6" i="1"/>
  <c r="CG21" i="1"/>
  <c r="CH11" i="1"/>
  <c r="CC8" i="1"/>
  <c r="CO16" i="1"/>
  <c r="CL16" i="1" s="1"/>
  <c r="DP34" i="1" l="1"/>
  <c r="CL6" i="1"/>
  <c r="CL26" i="1"/>
  <c r="DO34" i="1"/>
  <c r="DR34" i="1"/>
  <c r="AV150" i="12"/>
  <c r="AV470" i="12" s="1"/>
  <c r="AV469" i="12" s="1"/>
  <c r="N19" i="20"/>
  <c r="DQ44" i="1"/>
  <c r="O52" i="18"/>
  <c r="O58" i="18" s="1"/>
  <c r="DQ34" i="1"/>
  <c r="AO256" i="12"/>
  <c r="AP256" i="12" s="1"/>
  <c r="AQ256" i="12" s="1"/>
  <c r="AR256" i="12" s="1"/>
  <c r="AS256" i="12" s="1"/>
  <c r="AT256" i="12" s="1"/>
  <c r="AU256" i="12" s="1"/>
  <c r="AV256" i="12" s="1"/>
  <c r="AW256" i="12" s="1"/>
  <c r="AX256" i="12" s="1"/>
  <c r="AY256" i="12" s="1"/>
  <c r="AZ256" i="12" s="1"/>
  <c r="BA256" i="12" s="1"/>
  <c r="AO260" i="12"/>
  <c r="AP260" i="12" s="1"/>
  <c r="AQ260" i="12" s="1"/>
  <c r="AR260" i="12" s="1"/>
  <c r="AS260" i="12" s="1"/>
  <c r="AT260" i="12" s="1"/>
  <c r="AU260" i="12" s="1"/>
  <c r="AV260" i="12" s="1"/>
  <c r="AW260" i="12" s="1"/>
  <c r="AX260" i="12" s="1"/>
  <c r="AY260" i="12" s="1"/>
  <c r="AZ260" i="12" s="1"/>
  <c r="BA260" i="12" s="1"/>
  <c r="AV139" i="12"/>
  <c r="AV140" i="12" s="1"/>
  <c r="CL21" i="1"/>
  <c r="O9" i="20"/>
  <c r="O26" i="20"/>
  <c r="O15" i="20"/>
  <c r="O27" i="20" s="1"/>
  <c r="O66" i="20"/>
  <c r="O100" i="20" s="1"/>
  <c r="O62" i="20"/>
  <c r="O13" i="20" s="1"/>
  <c r="P10" i="20" s="1"/>
  <c r="O18" i="20"/>
  <c r="M107" i="20"/>
  <c r="P59" i="20"/>
  <c r="N111" i="20"/>
  <c r="N102" i="20"/>
  <c r="T66" i="19"/>
  <c r="T102" i="19" s="1"/>
  <c r="T104" i="19" s="1"/>
  <c r="T113" i="19" s="1"/>
  <c r="T62" i="19"/>
  <c r="T13" i="19" s="1"/>
  <c r="U10" i="19" s="1"/>
  <c r="T18" i="19"/>
  <c r="T19" i="19" s="1"/>
  <c r="U59" i="19"/>
  <c r="V53" i="19" s="1"/>
  <c r="N9" i="18"/>
  <c r="N15" i="18"/>
  <c r="N27" i="18" s="1"/>
  <c r="N26" i="18"/>
  <c r="P64" i="18"/>
  <c r="P29" i="18"/>
  <c r="P37" i="18" s="1"/>
  <c r="P30" i="18"/>
  <c r="P38" i="18" s="1"/>
  <c r="P28" i="18"/>
  <c r="P36" i="18" s="1"/>
  <c r="Q25" i="18"/>
  <c r="N65" i="18"/>
  <c r="N103" i="18" s="1"/>
  <c r="N105" i="18" s="1"/>
  <c r="N125" i="18" s="1"/>
  <c r="CJ64" i="1" s="1"/>
  <c r="N61" i="18"/>
  <c r="N13" i="18" s="1"/>
  <c r="O10" i="18" s="1"/>
  <c r="N18" i="18"/>
  <c r="L122" i="18"/>
  <c r="L116" i="18"/>
  <c r="M20" i="18"/>
  <c r="M19" i="18"/>
  <c r="O53" i="18"/>
  <c r="M122" i="18"/>
  <c r="M119" i="18"/>
  <c r="M116" i="18"/>
  <c r="M108" i="18"/>
  <c r="K119" i="18"/>
  <c r="K120" i="18"/>
  <c r="K108" i="18"/>
  <c r="K117" i="18"/>
  <c r="BA18" i="12"/>
  <c r="BA15" i="12"/>
  <c r="BA16" i="12" s="1"/>
  <c r="AZ41" i="12"/>
  <c r="AY43" i="12"/>
  <c r="AQ299" i="12"/>
  <c r="AQ297" i="12"/>
  <c r="AQ416" i="12" s="1"/>
  <c r="AQ295" i="12"/>
  <c r="AQ400" i="12" s="1"/>
  <c r="AQ298" i="12"/>
  <c r="AQ424" i="12" s="1"/>
  <c r="AQ296" i="12"/>
  <c r="AQ408" i="12" s="1"/>
  <c r="AQ293" i="12"/>
  <c r="AQ384" i="12" s="1"/>
  <c r="AQ294" i="12"/>
  <c r="AQ392" i="12" s="1"/>
  <c r="AW146" i="12"/>
  <c r="AW137" i="12"/>
  <c r="AX65" i="12"/>
  <c r="DR44" i="1"/>
  <c r="BA33" i="12"/>
  <c r="BA35" i="12" s="1"/>
  <c r="BA68" i="12" s="1"/>
  <c r="AZ35" i="12"/>
  <c r="AZ68" i="12" s="1"/>
  <c r="AX82" i="12"/>
  <c r="AX81" i="12"/>
  <c r="AX224" i="12" s="1"/>
  <c r="AX79" i="12"/>
  <c r="AX204" i="12" s="1"/>
  <c r="AX77" i="12"/>
  <c r="AX184" i="12" s="1"/>
  <c r="AX75" i="12"/>
  <c r="AX164" i="12" s="1"/>
  <c r="AX73" i="12"/>
  <c r="AX80" i="12"/>
  <c r="AX214" i="12" s="1"/>
  <c r="AX78" i="12"/>
  <c r="AX194" i="12" s="1"/>
  <c r="AX76" i="12"/>
  <c r="AX174" i="12" s="1"/>
  <c r="AX74" i="12"/>
  <c r="AX153" i="12" s="1"/>
  <c r="AY22" i="12"/>
  <c r="AY86" i="12" s="1"/>
  <c r="AY21" i="12"/>
  <c r="AY27" i="12" s="1"/>
  <c r="AH359" i="12"/>
  <c r="AH364" i="12" s="1"/>
  <c r="AH300" i="12"/>
  <c r="AW145" i="12"/>
  <c r="AW83" i="12"/>
  <c r="AW171" i="12"/>
  <c r="AW191" i="12"/>
  <c r="AW211" i="12"/>
  <c r="DX34" i="1" s="1"/>
  <c r="AW231" i="12"/>
  <c r="DX44" i="1" s="1"/>
  <c r="DO44" i="1"/>
  <c r="AT304" i="12"/>
  <c r="AS303" i="12"/>
  <c r="AM404" i="12"/>
  <c r="AN396" i="12"/>
  <c r="AM397" i="12"/>
  <c r="AM261" i="12"/>
  <c r="AN380" i="12"/>
  <c r="AM254" i="12"/>
  <c r="AM257" i="12"/>
  <c r="AM291" i="12" s="1"/>
  <c r="AM368" i="12" s="1"/>
  <c r="AM373" i="12" s="1"/>
  <c r="AZ18" i="12"/>
  <c r="AZ15" i="12"/>
  <c r="AZ16" i="12" s="1"/>
  <c r="AX69" i="12"/>
  <c r="AX66" i="12"/>
  <c r="AS250" i="12"/>
  <c r="AR249" i="12"/>
  <c r="AC474" i="12"/>
  <c r="AC475" i="12" s="1"/>
  <c r="AC463" i="12"/>
  <c r="AC465" i="12" s="1"/>
  <c r="AZ37" i="12"/>
  <c r="AY39" i="12"/>
  <c r="DP39" i="1"/>
  <c r="DR39" i="1"/>
  <c r="DQ39" i="1"/>
  <c r="AU470" i="12"/>
  <c r="AU469" i="12" s="1"/>
  <c r="AU462" i="12"/>
  <c r="AX135" i="12"/>
  <c r="AX225" i="12" s="1"/>
  <c r="AX133" i="12"/>
  <c r="AX205" i="12" s="1"/>
  <c r="AX136" i="12"/>
  <c r="AX134" i="12"/>
  <c r="AX215" i="12" s="1"/>
  <c r="AX132" i="12"/>
  <c r="AX195" i="12" s="1"/>
  <c r="AX129" i="12"/>
  <c r="AX165" i="12" s="1"/>
  <c r="AX130" i="12"/>
  <c r="AX175" i="12" s="1"/>
  <c r="AX128" i="12"/>
  <c r="AX154" i="12" s="1"/>
  <c r="AX131" i="12"/>
  <c r="AX185" i="12" s="1"/>
  <c r="AX127" i="12"/>
  <c r="DO39" i="1"/>
  <c r="AQ360" i="12"/>
  <c r="AQ354" i="12"/>
  <c r="AN253" i="12"/>
  <c r="AO253" i="12" s="1"/>
  <c r="AM290" i="12"/>
  <c r="AW160" i="12"/>
  <c r="DX9" i="1" s="1"/>
  <c r="AW181" i="12"/>
  <c r="DX19" i="1" s="1"/>
  <c r="AW201" i="12"/>
  <c r="AW221" i="12"/>
  <c r="DX39" i="1" s="1"/>
  <c r="AR352" i="12"/>
  <c r="AR425" i="12" s="1"/>
  <c r="AR350" i="12"/>
  <c r="AR409" i="12" s="1"/>
  <c r="AR351" i="12"/>
  <c r="AR417" i="12" s="1"/>
  <c r="AR349" i="12"/>
  <c r="AR401" i="12" s="1"/>
  <c r="AR347" i="12"/>
  <c r="AR385" i="12" s="1"/>
  <c r="AR348" i="12"/>
  <c r="AR393" i="12" s="1"/>
  <c r="AR346" i="12"/>
  <c r="AR377" i="12" s="1"/>
  <c r="AR353" i="12"/>
  <c r="AR344" i="12"/>
  <c r="AR345" i="12"/>
  <c r="AR369" i="12" s="1"/>
  <c r="X481" i="12"/>
  <c r="X476" i="12"/>
  <c r="AO388" i="12"/>
  <c r="AN389" i="12"/>
  <c r="CM11" i="1"/>
  <c r="CT6" i="1"/>
  <c r="CN16" i="1"/>
  <c r="CT11" i="1"/>
  <c r="CP11" i="1" s="1"/>
  <c r="CT21" i="1"/>
  <c r="CP21" i="1" s="1"/>
  <c r="CN6" i="1"/>
  <c r="CT26" i="1"/>
  <c r="CS26" i="1" s="1"/>
  <c r="CB176" i="1"/>
  <c r="CM21" i="1"/>
  <c r="CM26" i="1"/>
  <c r="CM16" i="1"/>
  <c r="DI192" i="1"/>
  <c r="DN169" i="1"/>
  <c r="EH190" i="1"/>
  <c r="EM167" i="1"/>
  <c r="DX153" i="1"/>
  <c r="CK6" i="1"/>
  <c r="CN21" i="1"/>
  <c r="CK26" i="1"/>
  <c r="CC176" i="1"/>
  <c r="CM6" i="1"/>
  <c r="CN11" i="1"/>
  <c r="CS11" i="1" s="1"/>
  <c r="CL11" i="1"/>
  <c r="CK16" i="1"/>
  <c r="CT16" i="1"/>
  <c r="CQ16" i="1" s="1"/>
  <c r="DU34" i="1" l="1"/>
  <c r="CQ6" i="1"/>
  <c r="N106" i="20"/>
  <c r="N134" i="18" s="1"/>
  <c r="N105" i="20"/>
  <c r="N133" i="18" s="1"/>
  <c r="N107" i="20"/>
  <c r="N135" i="18" s="1"/>
  <c r="CH64" i="1"/>
  <c r="CG64" i="1"/>
  <c r="CF64" i="1"/>
  <c r="DV44" i="1"/>
  <c r="AV462" i="12"/>
  <c r="M106" i="20"/>
  <c r="M134" i="18" s="1"/>
  <c r="M135" i="18"/>
  <c r="CR21" i="1"/>
  <c r="CS6" i="1"/>
  <c r="CP26" i="1"/>
  <c r="AY65" i="12"/>
  <c r="P52" i="18"/>
  <c r="P58" i="18" s="1"/>
  <c r="AW150" i="12"/>
  <c r="AW470" i="12" s="1"/>
  <c r="AW469" i="12" s="1"/>
  <c r="DU44" i="1"/>
  <c r="DT44" i="1"/>
  <c r="O19" i="20"/>
  <c r="P53" i="18"/>
  <c r="DW34" i="1"/>
  <c r="AW139" i="12"/>
  <c r="AW140" i="12" s="1"/>
  <c r="CQ21" i="1"/>
  <c r="CQ11" i="1"/>
  <c r="CR6" i="1"/>
  <c r="CP6" i="1"/>
  <c r="P66" i="20"/>
  <c r="P100" i="20" s="1"/>
  <c r="P62" i="20"/>
  <c r="P13" i="20" s="1"/>
  <c r="Q10" i="20" s="1"/>
  <c r="P18" i="20"/>
  <c r="Q53" i="20"/>
  <c r="O111" i="20"/>
  <c r="O102" i="20"/>
  <c r="P9" i="20"/>
  <c r="P26" i="20"/>
  <c r="P15" i="20"/>
  <c r="P27" i="20" s="1"/>
  <c r="U66" i="19"/>
  <c r="U102" i="19" s="1"/>
  <c r="U104" i="19" s="1"/>
  <c r="U113" i="19" s="1"/>
  <c r="U62" i="19"/>
  <c r="U13" i="19" s="1"/>
  <c r="V10" i="19" s="1"/>
  <c r="U18" i="19"/>
  <c r="T109" i="19"/>
  <c r="T107" i="19"/>
  <c r="T111" i="19"/>
  <c r="V59" i="19"/>
  <c r="W53" i="19" s="1"/>
  <c r="U9" i="19"/>
  <c r="U26" i="19"/>
  <c r="U15" i="19"/>
  <c r="U27" i="19" s="1"/>
  <c r="O9" i="18"/>
  <c r="O15" i="18"/>
  <c r="O27" i="18" s="1"/>
  <c r="O26" i="18"/>
  <c r="N20" i="18"/>
  <c r="N19" i="18"/>
  <c r="N116" i="18"/>
  <c r="CJ49" i="1" s="1"/>
  <c r="N108" i="18"/>
  <c r="N119" i="18"/>
  <c r="CJ59" i="1" s="1"/>
  <c r="N122" i="18"/>
  <c r="CJ54" i="1" s="1"/>
  <c r="O65" i="18"/>
  <c r="O103" i="18" s="1"/>
  <c r="O105" i="18" s="1"/>
  <c r="O61" i="18"/>
  <c r="O13" i="18" s="1"/>
  <c r="P10" i="18" s="1"/>
  <c r="O18" i="18"/>
  <c r="Q64" i="18"/>
  <c r="Q30" i="18"/>
  <c r="Q38" i="18" s="1"/>
  <c r="Q28" i="18"/>
  <c r="Q36" i="18" s="1"/>
  <c r="Q29" i="18"/>
  <c r="Q37" i="18" s="1"/>
  <c r="R25" i="18"/>
  <c r="AM359" i="12"/>
  <c r="AM364" i="12" s="1"/>
  <c r="AX146" i="12"/>
  <c r="AX137" i="12"/>
  <c r="DV39" i="1"/>
  <c r="DU39" i="1"/>
  <c r="BA37" i="12"/>
  <c r="BA39" i="12" s="1"/>
  <c r="AZ39" i="12"/>
  <c r="AC476" i="12"/>
  <c r="AC481" i="12"/>
  <c r="AT250" i="12"/>
  <c r="AS249" i="12"/>
  <c r="AN254" i="12"/>
  <c r="AN257" i="12"/>
  <c r="AN291" i="12" s="1"/>
  <c r="AN368" i="12" s="1"/>
  <c r="AN373" i="12" s="1"/>
  <c r="AN258" i="12"/>
  <c r="AN261" i="12"/>
  <c r="AN404" i="12"/>
  <c r="AO396" i="12"/>
  <c r="AN397" i="12"/>
  <c r="AS351" i="12"/>
  <c r="AS417" i="12" s="1"/>
  <c r="AS349" i="12"/>
  <c r="AS401" i="12" s="1"/>
  <c r="AS352" i="12"/>
  <c r="AS425" i="12" s="1"/>
  <c r="AS350" i="12"/>
  <c r="AS409" i="12" s="1"/>
  <c r="AS347" i="12"/>
  <c r="AS385" i="12" s="1"/>
  <c r="AS348" i="12"/>
  <c r="AS393" i="12" s="1"/>
  <c r="AS346" i="12"/>
  <c r="AS377" i="12" s="1"/>
  <c r="AS353" i="12"/>
  <c r="AS344" i="12"/>
  <c r="AS345" i="12"/>
  <c r="AS369" i="12" s="1"/>
  <c r="AH474" i="12"/>
  <c r="AH475" i="12" s="1"/>
  <c r="AH463" i="12"/>
  <c r="AH465" i="12" s="1"/>
  <c r="AY82" i="12"/>
  <c r="AY81" i="12"/>
  <c r="AY224" i="12" s="1"/>
  <c r="AY80" i="12"/>
  <c r="AY214" i="12" s="1"/>
  <c r="AY79" i="12"/>
  <c r="AY204" i="12" s="1"/>
  <c r="AY78" i="12"/>
  <c r="AY194" i="12" s="1"/>
  <c r="AY77" i="12"/>
  <c r="AY184" i="12" s="1"/>
  <c r="AY76" i="12"/>
  <c r="AY174" i="12" s="1"/>
  <c r="AY75" i="12"/>
  <c r="AY164" i="12" s="1"/>
  <c r="AY74" i="12"/>
  <c r="AY153" i="12" s="1"/>
  <c r="AY73" i="12"/>
  <c r="AX160" i="12"/>
  <c r="EC9" i="1" s="1"/>
  <c r="AX201" i="12"/>
  <c r="AX145" i="12"/>
  <c r="AX83" i="12"/>
  <c r="AX191" i="12"/>
  <c r="AX231" i="12"/>
  <c r="EC44" i="1" s="1"/>
  <c r="DW44" i="1"/>
  <c r="DV34" i="1"/>
  <c r="BA41" i="12"/>
  <c r="BA43" i="12" s="1"/>
  <c r="AZ43" i="12"/>
  <c r="BA22" i="12"/>
  <c r="BA86" i="12" s="1"/>
  <c r="BA21" i="12"/>
  <c r="BA27" i="12" s="1"/>
  <c r="CQ26" i="1"/>
  <c r="CS21" i="1"/>
  <c r="CR26" i="1"/>
  <c r="AP388" i="12"/>
  <c r="AO389" i="12"/>
  <c r="AR354" i="12"/>
  <c r="AR360" i="12"/>
  <c r="AN290" i="12"/>
  <c r="DT39" i="1"/>
  <c r="DW39" i="1"/>
  <c r="AR298" i="12"/>
  <c r="AR424" i="12" s="1"/>
  <c r="AR296" i="12"/>
  <c r="AR408" i="12" s="1"/>
  <c r="AR299" i="12"/>
  <c r="AR297" i="12"/>
  <c r="AR416" i="12" s="1"/>
  <c r="AR295" i="12"/>
  <c r="AR400" i="12" s="1"/>
  <c r="AR294" i="12"/>
  <c r="AR392" i="12" s="1"/>
  <c r="AR293" i="12"/>
  <c r="AR384" i="12" s="1"/>
  <c r="AZ22" i="12"/>
  <c r="AZ86" i="12" s="1"/>
  <c r="AZ21" i="12"/>
  <c r="AZ27" i="12" s="1"/>
  <c r="AO380" i="12"/>
  <c r="AM292" i="12"/>
  <c r="AM376" i="12" s="1"/>
  <c r="AM381" i="12" s="1"/>
  <c r="AM287" i="12"/>
  <c r="AM412" i="12"/>
  <c r="AM405" i="12"/>
  <c r="AU304" i="12"/>
  <c r="AT303" i="12"/>
  <c r="AY136" i="12"/>
  <c r="AY134" i="12"/>
  <c r="AY215" i="12" s="1"/>
  <c r="AY132" i="12"/>
  <c r="AY195" i="12" s="1"/>
  <c r="AY135" i="12"/>
  <c r="AY225" i="12" s="1"/>
  <c r="AY133" i="12"/>
  <c r="AY205" i="12" s="1"/>
  <c r="AY130" i="12"/>
  <c r="AY175" i="12" s="1"/>
  <c r="AY128" i="12"/>
  <c r="AY154" i="12" s="1"/>
  <c r="AY129" i="12"/>
  <c r="AY165" i="12" s="1"/>
  <c r="AY131" i="12"/>
  <c r="AY185" i="12" s="1"/>
  <c r="AY127" i="12"/>
  <c r="AX181" i="12"/>
  <c r="EC19" i="1" s="1"/>
  <c r="AX221" i="12"/>
  <c r="EC39" i="1" s="1"/>
  <c r="AX171" i="12"/>
  <c r="AX211" i="12"/>
  <c r="EC34" i="1" s="1"/>
  <c r="AY69" i="12"/>
  <c r="AY66" i="12"/>
  <c r="BB66" i="12" s="1"/>
  <c r="DT34" i="1"/>
  <c r="EC153" i="1"/>
  <c r="EM190" i="1"/>
  <c r="ER167" i="1"/>
  <c r="ER190" i="1" s="1"/>
  <c r="DN192" i="1"/>
  <c r="DS169" i="1"/>
  <c r="CR16" i="1"/>
  <c r="CY21" i="1"/>
  <c r="CY11" i="1"/>
  <c r="CU11" i="1" s="1"/>
  <c r="CR11" i="1"/>
  <c r="CP16" i="1"/>
  <c r="CY26" i="1"/>
  <c r="CX26" i="1" s="1"/>
  <c r="CS16" i="1"/>
  <c r="CY6" i="1"/>
  <c r="CY16" i="1"/>
  <c r="CV16" i="1" s="1"/>
  <c r="CI64" i="1" l="1"/>
  <c r="N108" i="20"/>
  <c r="N136" i="18" s="1"/>
  <c r="CJ66" i="1" s="1"/>
  <c r="O105" i="20"/>
  <c r="O133" i="18" s="1"/>
  <c r="O106" i="20"/>
  <c r="O134" i="18" s="1"/>
  <c r="O107" i="20"/>
  <c r="O135" i="18" s="1"/>
  <c r="CI54" i="1"/>
  <c r="AW462" i="12"/>
  <c r="EB34" i="1"/>
  <c r="CX21" i="1"/>
  <c r="DY44" i="1"/>
  <c r="Q52" i="18"/>
  <c r="Q58" i="18" s="1"/>
  <c r="DY34" i="1"/>
  <c r="AX139" i="12"/>
  <c r="AX140" i="12" s="1"/>
  <c r="CU6" i="1"/>
  <c r="CW21" i="1"/>
  <c r="CW11" i="1"/>
  <c r="CV11" i="1"/>
  <c r="CX11" i="1"/>
  <c r="Q59" i="20"/>
  <c r="R53" i="20" s="1"/>
  <c r="Q9" i="20"/>
  <c r="Q26" i="20"/>
  <c r="Q15" i="20"/>
  <c r="Q27" i="20" s="1"/>
  <c r="P19" i="20"/>
  <c r="P111" i="20"/>
  <c r="P102" i="20"/>
  <c r="V66" i="19"/>
  <c r="V102" i="19" s="1"/>
  <c r="V104" i="19" s="1"/>
  <c r="V113" i="19" s="1"/>
  <c r="V62" i="19"/>
  <c r="V13" i="19" s="1"/>
  <c r="W10" i="19" s="1"/>
  <c r="V18" i="19"/>
  <c r="U19" i="19"/>
  <c r="U109" i="19"/>
  <c r="U107" i="19"/>
  <c r="U111" i="19"/>
  <c r="V9" i="19"/>
  <c r="V26" i="19"/>
  <c r="V15" i="19"/>
  <c r="V27" i="19" s="1"/>
  <c r="W59" i="19"/>
  <c r="X53" i="19" s="1"/>
  <c r="P9" i="18"/>
  <c r="P15" i="18"/>
  <c r="P27" i="18" s="1"/>
  <c r="P26" i="18"/>
  <c r="Q53" i="18"/>
  <c r="O20" i="18"/>
  <c r="O19" i="18"/>
  <c r="O108" i="18"/>
  <c r="O116" i="18"/>
  <c r="CO49" i="1" s="1"/>
  <c r="O122" i="18"/>
  <c r="CO54" i="1" s="1"/>
  <c r="O119" i="18"/>
  <c r="CO59" i="1" s="1"/>
  <c r="P65" i="18"/>
  <c r="P103" i="18" s="1"/>
  <c r="P105" i="18" s="1"/>
  <c r="P61" i="18"/>
  <c r="P13" i="18" s="1"/>
  <c r="Q10" i="18" s="1"/>
  <c r="P18" i="18"/>
  <c r="R64" i="18"/>
  <c r="R29" i="18"/>
  <c r="R37" i="18" s="1"/>
  <c r="R30" i="18"/>
  <c r="R38" i="18" s="1"/>
  <c r="R28" i="18"/>
  <c r="R36" i="18" s="1"/>
  <c r="S25" i="18"/>
  <c r="DZ44" i="1"/>
  <c r="AX150" i="12"/>
  <c r="AX470" i="12" s="1"/>
  <c r="AX469" i="12" s="1"/>
  <c r="AY146" i="12"/>
  <c r="AY137" i="12"/>
  <c r="AV304" i="12"/>
  <c r="AU303" i="12"/>
  <c r="AN412" i="12"/>
  <c r="AM420" i="12"/>
  <c r="AM413" i="12"/>
  <c r="AZ135" i="12"/>
  <c r="AZ225" i="12" s="1"/>
  <c r="AZ133" i="12"/>
  <c r="AZ205" i="12" s="1"/>
  <c r="AZ136" i="12"/>
  <c r="AZ134" i="12"/>
  <c r="AZ215" i="12" s="1"/>
  <c r="AZ132" i="12"/>
  <c r="AZ195" i="12" s="1"/>
  <c r="AZ128" i="12"/>
  <c r="AZ154" i="12" s="1"/>
  <c r="AZ130" i="12"/>
  <c r="AZ175" i="12" s="1"/>
  <c r="AZ129" i="12"/>
  <c r="AZ165" i="12" s="1"/>
  <c r="AZ131" i="12"/>
  <c r="AZ185" i="12" s="1"/>
  <c r="AZ127" i="12"/>
  <c r="AN359" i="12"/>
  <c r="AN364" i="12" s="1"/>
  <c r="AN474" i="12" s="1"/>
  <c r="AN475" i="12" s="1"/>
  <c r="BA136" i="12"/>
  <c r="BA134" i="12"/>
  <c r="BA215" i="12" s="1"/>
  <c r="BA132" i="12"/>
  <c r="BA195" i="12" s="1"/>
  <c r="BA135" i="12"/>
  <c r="BA225" i="12" s="1"/>
  <c r="BA133" i="12"/>
  <c r="BA205" i="12" s="1"/>
  <c r="BA129" i="12"/>
  <c r="BA165" i="12" s="1"/>
  <c r="BA130" i="12"/>
  <c r="BA175" i="12" s="1"/>
  <c r="BA128" i="12"/>
  <c r="BA154" i="12" s="1"/>
  <c r="BA131" i="12"/>
  <c r="BA185" i="12" s="1"/>
  <c r="BA127" i="12"/>
  <c r="BA69" i="12"/>
  <c r="BA66" i="12"/>
  <c r="EA34" i="1"/>
  <c r="AY145" i="12"/>
  <c r="AY83" i="12"/>
  <c r="AY171" i="12"/>
  <c r="AY191" i="12"/>
  <c r="AY211" i="12"/>
  <c r="EH34" i="1" s="1"/>
  <c r="AY231" i="12"/>
  <c r="EH44" i="1" s="1"/>
  <c r="DZ34" i="1"/>
  <c r="AO404" i="12"/>
  <c r="AN405" i="12"/>
  <c r="AN448" i="12" s="1"/>
  <c r="AP259" i="12"/>
  <c r="AO258" i="12"/>
  <c r="AO261" i="12"/>
  <c r="AU250" i="12"/>
  <c r="AT249" i="12"/>
  <c r="BA65" i="12"/>
  <c r="EA39" i="1"/>
  <c r="AM300" i="12"/>
  <c r="CV21" i="1"/>
  <c r="CU21" i="1"/>
  <c r="AT352" i="12"/>
  <c r="AT425" i="12" s="1"/>
  <c r="AT350" i="12"/>
  <c r="AT409" i="12" s="1"/>
  <c r="AT351" i="12"/>
  <c r="AT417" i="12" s="1"/>
  <c r="AT349" i="12"/>
  <c r="AT401" i="12" s="1"/>
  <c r="AT347" i="12"/>
  <c r="AT385" i="12" s="1"/>
  <c r="AT346" i="12"/>
  <c r="AT377" i="12" s="1"/>
  <c r="AT348" i="12"/>
  <c r="AT393" i="12" s="1"/>
  <c r="AT353" i="12"/>
  <c r="AT344" i="12"/>
  <c r="AT345" i="12"/>
  <c r="AT369" i="12" s="1"/>
  <c r="AP380" i="12"/>
  <c r="AZ82" i="12"/>
  <c r="AZ80" i="12"/>
  <c r="AZ214" i="12" s="1"/>
  <c r="AZ221" i="12" s="1"/>
  <c r="EM39" i="1" s="1"/>
  <c r="AZ78" i="12"/>
  <c r="AZ194" i="12" s="1"/>
  <c r="AZ201" i="12" s="1"/>
  <c r="EM29" i="1" s="1"/>
  <c r="AZ76" i="12"/>
  <c r="AZ174" i="12" s="1"/>
  <c r="AZ74" i="12"/>
  <c r="AZ153" i="12" s="1"/>
  <c r="AZ81" i="12"/>
  <c r="AZ224" i="12" s="1"/>
  <c r="AZ79" i="12"/>
  <c r="AZ204" i="12" s="1"/>
  <c r="AZ77" i="12"/>
  <c r="AZ184" i="12" s="1"/>
  <c r="AZ75" i="12"/>
  <c r="AZ164" i="12" s="1"/>
  <c r="AZ73" i="12"/>
  <c r="EA44" i="1"/>
  <c r="EB39" i="1"/>
  <c r="DY39" i="1"/>
  <c r="AP253" i="12"/>
  <c r="AO290" i="12"/>
  <c r="AQ388" i="12"/>
  <c r="AP389" i="12"/>
  <c r="BA82" i="12"/>
  <c r="BA81" i="12"/>
  <c r="BA224" i="12" s="1"/>
  <c r="BA80" i="12"/>
  <c r="BA214" i="12" s="1"/>
  <c r="BA79" i="12"/>
  <c r="BA204" i="12" s="1"/>
  <c r="BA78" i="12"/>
  <c r="BA194" i="12" s="1"/>
  <c r="BA77" i="12"/>
  <c r="BA184" i="12" s="1"/>
  <c r="BA76" i="12"/>
  <c r="BA174" i="12" s="1"/>
  <c r="BA181" i="12" s="1"/>
  <c r="ER19" i="1" s="1"/>
  <c r="BA75" i="12"/>
  <c r="BA164" i="12" s="1"/>
  <c r="BA74" i="12"/>
  <c r="BA153" i="12" s="1"/>
  <c r="BA73" i="12"/>
  <c r="AZ66" i="12"/>
  <c r="AZ69" i="12"/>
  <c r="EB44" i="1"/>
  <c r="AX462" i="12"/>
  <c r="AY160" i="12"/>
  <c r="EH9" i="1" s="1"/>
  <c r="AY181" i="12"/>
  <c r="EH19" i="1" s="1"/>
  <c r="AY201" i="12"/>
  <c r="AY221" i="12"/>
  <c r="EH39" i="1" s="1"/>
  <c r="AH481" i="12"/>
  <c r="AH476" i="12"/>
  <c r="AS360" i="12"/>
  <c r="AS354" i="12"/>
  <c r="AP396" i="12"/>
  <c r="AO397" i="12"/>
  <c r="AN292" i="12"/>
  <c r="AN376" i="12" s="1"/>
  <c r="AN381" i="12" s="1"/>
  <c r="AN287" i="12"/>
  <c r="AP255" i="12"/>
  <c r="AO254" i="12"/>
  <c r="AO257" i="12"/>
  <c r="AO291" i="12" s="1"/>
  <c r="AO368" i="12" s="1"/>
  <c r="AO373" i="12" s="1"/>
  <c r="AS299" i="12"/>
  <c r="AS297" i="12"/>
  <c r="AS416" i="12" s="1"/>
  <c r="AS295" i="12"/>
  <c r="AS400" i="12" s="1"/>
  <c r="AS298" i="12"/>
  <c r="AS424" i="12" s="1"/>
  <c r="AS296" i="12"/>
  <c r="AS408" i="12" s="1"/>
  <c r="AS294" i="12"/>
  <c r="AS392" i="12" s="1"/>
  <c r="AS293" i="12"/>
  <c r="AS384" i="12" s="1"/>
  <c r="AZ65" i="12"/>
  <c r="DZ39" i="1"/>
  <c r="AM474" i="12"/>
  <c r="AM475" i="12" s="1"/>
  <c r="CV6" i="1"/>
  <c r="DD6" i="1"/>
  <c r="CW26" i="1"/>
  <c r="CU26" i="1"/>
  <c r="CV26" i="1"/>
  <c r="CU16" i="1"/>
  <c r="CX6" i="1"/>
  <c r="DS192" i="1"/>
  <c r="DX169" i="1"/>
  <c r="EH153" i="1"/>
  <c r="CW6" i="1"/>
  <c r="CX16" i="1"/>
  <c r="DD26" i="1"/>
  <c r="DC26" i="1" s="1"/>
  <c r="DD11" i="1"/>
  <c r="DD21" i="1"/>
  <c r="CW16" i="1"/>
  <c r="DD16" i="1"/>
  <c r="DA16" i="1" s="1"/>
  <c r="CI49" i="1" l="1"/>
  <c r="O108" i="20"/>
  <c r="O136" i="18" s="1"/>
  <c r="CO66" i="1" s="1"/>
  <c r="CO63" i="1" s="1"/>
  <c r="CF66" i="1"/>
  <c r="CF63" i="1" s="1"/>
  <c r="CG66" i="1"/>
  <c r="CG63" i="1" s="1"/>
  <c r="CH66" i="1"/>
  <c r="CH63" i="1" s="1"/>
  <c r="CI66" i="1"/>
  <c r="CI63" i="1" s="1"/>
  <c r="CJ63" i="1"/>
  <c r="P105" i="20"/>
  <c r="P133" i="18" s="1"/>
  <c r="P106" i="20"/>
  <c r="P134" i="18" s="1"/>
  <c r="P107" i="20"/>
  <c r="P135" i="18" s="1"/>
  <c r="BA191" i="12"/>
  <c r="ER24" i="1" s="1"/>
  <c r="EG34" i="1"/>
  <c r="DC21" i="1"/>
  <c r="AZ231" i="12"/>
  <c r="EM44" i="1" s="1"/>
  <c r="BA171" i="12"/>
  <c r="AZ171" i="12"/>
  <c r="AZ191" i="12"/>
  <c r="EM24" i="1" s="1"/>
  <c r="EE44" i="1"/>
  <c r="R52" i="18"/>
  <c r="R58" i="18" s="1"/>
  <c r="EF44" i="1"/>
  <c r="AY150" i="12"/>
  <c r="AY470" i="12" s="1"/>
  <c r="AY469" i="12" s="1"/>
  <c r="EG44" i="1"/>
  <c r="BA201" i="12"/>
  <c r="ER29" i="1" s="1"/>
  <c r="AZ160" i="12"/>
  <c r="EM9" i="1" s="1"/>
  <c r="R53" i="18"/>
  <c r="BA160" i="12"/>
  <c r="ER9" i="1" s="1"/>
  <c r="AZ181" i="12"/>
  <c r="EM19" i="1" s="1"/>
  <c r="BA231" i="12"/>
  <c r="ER44" i="1" s="1"/>
  <c r="CZ6" i="1"/>
  <c r="EE39" i="1"/>
  <c r="EJ39" i="1" s="1"/>
  <c r="BA221" i="12"/>
  <c r="ER39" i="1" s="1"/>
  <c r="BA211" i="12"/>
  <c r="ER34" i="1" s="1"/>
  <c r="AZ211" i="12"/>
  <c r="EM34" i="1" s="1"/>
  <c r="AY139" i="12"/>
  <c r="AY140" i="12" s="1"/>
  <c r="EE34" i="1"/>
  <c r="DB11" i="1"/>
  <c r="DA21" i="1"/>
  <c r="Q66" i="20"/>
  <c r="Q100" i="20" s="1"/>
  <c r="Q62" i="20"/>
  <c r="Q13" i="20" s="1"/>
  <c r="R10" i="20" s="1"/>
  <c r="Q18" i="20"/>
  <c r="Q19" i="20" s="1"/>
  <c r="R59" i="20"/>
  <c r="S53" i="20" s="1"/>
  <c r="W66" i="19"/>
  <c r="W102" i="19" s="1"/>
  <c r="W104" i="19" s="1"/>
  <c r="W113" i="19" s="1"/>
  <c r="W62" i="19"/>
  <c r="W13" i="19" s="1"/>
  <c r="X10" i="19" s="1"/>
  <c r="W18" i="19"/>
  <c r="V19" i="19"/>
  <c r="V109" i="19"/>
  <c r="V107" i="19"/>
  <c r="V111" i="19"/>
  <c r="X59" i="19"/>
  <c r="Y53" i="19" s="1"/>
  <c r="W9" i="19"/>
  <c r="W26" i="19"/>
  <c r="W15" i="19"/>
  <c r="W27" i="19" s="1"/>
  <c r="Q9" i="18"/>
  <c r="Q15" i="18"/>
  <c r="Q27" i="18" s="1"/>
  <c r="Q26" i="18"/>
  <c r="P20" i="18"/>
  <c r="P19" i="18"/>
  <c r="P108" i="18"/>
  <c r="P116" i="18"/>
  <c r="CT49" i="1" s="1"/>
  <c r="P119" i="18"/>
  <c r="CT59" i="1" s="1"/>
  <c r="P122" i="18"/>
  <c r="CT54" i="1" s="1"/>
  <c r="Q65" i="18"/>
  <c r="Q103" i="18" s="1"/>
  <c r="Q105" i="18" s="1"/>
  <c r="Q61" i="18"/>
  <c r="Q13" i="18" s="1"/>
  <c r="R10" i="18" s="1"/>
  <c r="Q18" i="18"/>
  <c r="S64" i="18"/>
  <c r="S30" i="18"/>
  <c r="S38" i="18" s="1"/>
  <c r="S28" i="18"/>
  <c r="S36" i="18" s="1"/>
  <c r="S29" i="18"/>
  <c r="S37" i="18" s="1"/>
  <c r="T25" i="18"/>
  <c r="CZ21" i="1"/>
  <c r="DB6" i="1"/>
  <c r="DC6" i="1"/>
  <c r="BA145" i="12"/>
  <c r="BA83" i="12"/>
  <c r="AO359" i="12"/>
  <c r="AO364" i="12" s="1"/>
  <c r="ED39" i="1"/>
  <c r="EI39" i="1" s="1"/>
  <c r="AZ145" i="12"/>
  <c r="AZ83" i="12"/>
  <c r="AQ380" i="12"/>
  <c r="ED34" i="1"/>
  <c r="EF39" i="1"/>
  <c r="EK39" i="1" s="1"/>
  <c r="AT298" i="12"/>
  <c r="AT424" i="12" s="1"/>
  <c r="AT296" i="12"/>
  <c r="AT408" i="12" s="1"/>
  <c r="AT299" i="12"/>
  <c r="AT297" i="12"/>
  <c r="AT416" i="12" s="1"/>
  <c r="AT295" i="12"/>
  <c r="AT400" i="12" s="1"/>
  <c r="AT294" i="12"/>
  <c r="AT392" i="12" s="1"/>
  <c r="AT293" i="12"/>
  <c r="AT384" i="12" s="1"/>
  <c r="AO292" i="12"/>
  <c r="AO376" i="12" s="1"/>
  <c r="AO381" i="12" s="1"/>
  <c r="AO287" i="12"/>
  <c r="AP258" i="12"/>
  <c r="AQ258" i="12" s="1"/>
  <c r="AR258" i="12" s="1"/>
  <c r="AS258" i="12" s="1"/>
  <c r="AT258" i="12" s="1"/>
  <c r="AU258" i="12" s="1"/>
  <c r="AV258" i="12" s="1"/>
  <c r="AW258" i="12" s="1"/>
  <c r="AX258" i="12" s="1"/>
  <c r="AY258" i="12" s="1"/>
  <c r="AZ258" i="12" s="1"/>
  <c r="BA258" i="12" s="1"/>
  <c r="AQ259" i="12"/>
  <c r="AP261" i="12"/>
  <c r="AP404" i="12"/>
  <c r="AO405" i="12"/>
  <c r="AO448" i="12" s="1"/>
  <c r="EF34" i="1"/>
  <c r="AN420" i="12"/>
  <c r="AM428" i="12"/>
  <c r="AM421" i="12"/>
  <c r="AU351" i="12"/>
  <c r="AU417" i="12" s="1"/>
  <c r="AU349" i="12"/>
  <c r="AU401" i="12" s="1"/>
  <c r="AU352" i="12"/>
  <c r="AU425" i="12" s="1"/>
  <c r="AU350" i="12"/>
  <c r="AU409" i="12" s="1"/>
  <c r="AU346" i="12"/>
  <c r="AU377" i="12" s="1"/>
  <c r="AU347" i="12"/>
  <c r="AU385" i="12" s="1"/>
  <c r="AU348" i="12"/>
  <c r="AU393" i="12" s="1"/>
  <c r="AU353" i="12"/>
  <c r="AU344" i="12"/>
  <c r="AU345" i="12"/>
  <c r="AU369" i="12" s="1"/>
  <c r="ED44" i="1"/>
  <c r="AM481" i="12"/>
  <c r="AM476" i="12"/>
  <c r="AP254" i="12"/>
  <c r="AQ255" i="12"/>
  <c r="AP257" i="12"/>
  <c r="AP291" i="12" s="1"/>
  <c r="AP368" i="12" s="1"/>
  <c r="AP373" i="12" s="1"/>
  <c r="AQ396" i="12"/>
  <c r="AP397" i="12"/>
  <c r="AR388" i="12"/>
  <c r="AQ389" i="12"/>
  <c r="AQ253" i="12"/>
  <c r="AP290" i="12"/>
  <c r="EG39" i="1"/>
  <c r="EL39" i="1" s="1"/>
  <c r="AT354" i="12"/>
  <c r="AT360" i="12"/>
  <c r="AV250" i="12"/>
  <c r="AU249" i="12"/>
  <c r="BA146" i="12"/>
  <c r="BA137" i="12"/>
  <c r="AN300" i="12"/>
  <c r="AZ146" i="12"/>
  <c r="AZ137" i="12"/>
  <c r="AO412" i="12"/>
  <c r="AN413" i="12"/>
  <c r="AN451" i="12" s="1"/>
  <c r="AW304" i="12"/>
  <c r="AV303" i="12"/>
  <c r="DA11" i="1"/>
  <c r="DB16" i="1"/>
  <c r="DI21" i="1"/>
  <c r="DI11" i="1"/>
  <c r="DC11" i="1"/>
  <c r="DI26" i="1"/>
  <c r="DH26" i="1" s="1"/>
  <c r="CZ16" i="1"/>
  <c r="CZ26" i="1"/>
  <c r="DA6" i="1"/>
  <c r="CZ11" i="1"/>
  <c r="DC16" i="1"/>
  <c r="EM153" i="1"/>
  <c r="DX192" i="1"/>
  <c r="EC169" i="1"/>
  <c r="DA26" i="1"/>
  <c r="DB26" i="1"/>
  <c r="DB21" i="1"/>
  <c r="DI6" i="1"/>
  <c r="DI16" i="1"/>
  <c r="DF16" i="1" s="1"/>
  <c r="EL44" i="1" l="1"/>
  <c r="EQ44" i="1" s="1"/>
  <c r="P108" i="20"/>
  <c r="P136" i="18" s="1"/>
  <c r="CT66" i="1" s="1"/>
  <c r="CT63" i="1" s="1"/>
  <c r="EJ44" i="1"/>
  <c r="EO44" i="1" s="1"/>
  <c r="S52" i="18"/>
  <c r="S58" i="18" s="1"/>
  <c r="EL34" i="1"/>
  <c r="EQ34" i="1" s="1"/>
  <c r="DH21" i="1"/>
  <c r="DG21" i="1"/>
  <c r="DE21" i="1"/>
  <c r="EI44" i="1"/>
  <c r="EN44" i="1" s="1"/>
  <c r="EK44" i="1"/>
  <c r="EP44" i="1" s="1"/>
  <c r="DG11" i="1"/>
  <c r="DF21" i="1"/>
  <c r="EK34" i="1"/>
  <c r="EP34" i="1" s="1"/>
  <c r="AY462" i="12"/>
  <c r="EJ34" i="1"/>
  <c r="EO34" i="1" s="1"/>
  <c r="EO39" i="1"/>
  <c r="EN39" i="1"/>
  <c r="EQ39" i="1"/>
  <c r="EP39" i="1"/>
  <c r="EI34" i="1"/>
  <c r="EN34" i="1" s="1"/>
  <c r="DH6" i="1"/>
  <c r="S59" i="20"/>
  <c r="T53" i="20" s="1"/>
  <c r="R9" i="20"/>
  <c r="R26" i="20"/>
  <c r="R15" i="20"/>
  <c r="R27" i="20" s="1"/>
  <c r="R66" i="20"/>
  <c r="R100" i="20" s="1"/>
  <c r="R62" i="20"/>
  <c r="R13" i="20" s="1"/>
  <c r="S10" i="20" s="1"/>
  <c r="R18" i="20"/>
  <c r="Q111" i="20"/>
  <c r="Q102" i="20"/>
  <c r="Y59" i="19"/>
  <c r="Z53" i="19" s="1"/>
  <c r="Z59" i="19" s="1"/>
  <c r="X9" i="19"/>
  <c r="X26" i="19"/>
  <c r="X15" i="19"/>
  <c r="X27" i="19" s="1"/>
  <c r="X66" i="19"/>
  <c r="X102" i="19" s="1"/>
  <c r="X104" i="19" s="1"/>
  <c r="X113" i="19" s="1"/>
  <c r="X62" i="19"/>
  <c r="X13" i="19" s="1"/>
  <c r="Y10" i="19" s="1"/>
  <c r="X18" i="19"/>
  <c r="W19" i="19"/>
  <c r="W107" i="19"/>
  <c r="W109" i="19"/>
  <c r="W111" i="19"/>
  <c r="R9" i="18"/>
  <c r="R15" i="18"/>
  <c r="R27" i="18" s="1"/>
  <c r="R26" i="18"/>
  <c r="S53" i="18"/>
  <c r="Q20" i="18"/>
  <c r="Q19" i="18"/>
  <c r="Q108" i="18"/>
  <c r="Q116" i="18"/>
  <c r="CY49" i="1" s="1"/>
  <c r="Q119" i="18"/>
  <c r="CY59" i="1" s="1"/>
  <c r="Q122" i="18"/>
  <c r="CY54" i="1" s="1"/>
  <c r="R65" i="18"/>
  <c r="R103" i="18" s="1"/>
  <c r="R105" i="18" s="1"/>
  <c r="R61" i="18"/>
  <c r="R13" i="18" s="1"/>
  <c r="S10" i="18" s="1"/>
  <c r="R18" i="18"/>
  <c r="T64" i="18"/>
  <c r="T29" i="18"/>
  <c r="T37" i="18" s="1"/>
  <c r="T30" i="18"/>
  <c r="T38" i="18" s="1"/>
  <c r="T28" i="18"/>
  <c r="T36" i="18" s="1"/>
  <c r="U25" i="18"/>
  <c r="DG26" i="1"/>
  <c r="DE11" i="1"/>
  <c r="DH11" i="1"/>
  <c r="DF11" i="1"/>
  <c r="AV352" i="12"/>
  <c r="AV425" i="12" s="1"/>
  <c r="AV350" i="12"/>
  <c r="AV409" i="12" s="1"/>
  <c r="AV351" i="12"/>
  <c r="AV417" i="12" s="1"/>
  <c r="AV349" i="12"/>
  <c r="AV401" i="12" s="1"/>
  <c r="AV346" i="12"/>
  <c r="AV377" i="12" s="1"/>
  <c r="AV348" i="12"/>
  <c r="AV393" i="12" s="1"/>
  <c r="AV347" i="12"/>
  <c r="AV385" i="12" s="1"/>
  <c r="AV353" i="12"/>
  <c r="AV344" i="12"/>
  <c r="AV345" i="12"/>
  <c r="AV369" i="12" s="1"/>
  <c r="AW250" i="12"/>
  <c r="AV249" i="12"/>
  <c r="AP359" i="12"/>
  <c r="AP364" i="12" s="1"/>
  <c r="AO420" i="12"/>
  <c r="AN421" i="12"/>
  <c r="AN454" i="12" s="1"/>
  <c r="AQ404" i="12"/>
  <c r="AP405" i="12"/>
  <c r="AP448" i="12" s="1"/>
  <c r="AR259" i="12"/>
  <c r="AQ261" i="12"/>
  <c r="AZ150" i="12"/>
  <c r="AO300" i="12"/>
  <c r="BA139" i="12"/>
  <c r="BA140" i="12" s="1"/>
  <c r="AX304" i="12"/>
  <c r="AW303" i="12"/>
  <c r="AP412" i="12"/>
  <c r="AO413" i="12"/>
  <c r="AO451" i="12" s="1"/>
  <c r="AU299" i="12"/>
  <c r="AU297" i="12"/>
  <c r="AU416" i="12" s="1"/>
  <c r="AU295" i="12"/>
  <c r="AU400" i="12" s="1"/>
  <c r="AU298" i="12"/>
  <c r="AU424" i="12" s="1"/>
  <c r="AU296" i="12"/>
  <c r="AU408" i="12" s="1"/>
  <c r="AU294" i="12"/>
  <c r="AU392" i="12" s="1"/>
  <c r="AU293" i="12"/>
  <c r="AU384" i="12" s="1"/>
  <c r="AR253" i="12"/>
  <c r="AQ290" i="12"/>
  <c r="AS388" i="12"/>
  <c r="AR389" i="12"/>
  <c r="AR396" i="12"/>
  <c r="AQ397" i="12"/>
  <c r="AR255" i="12"/>
  <c r="AQ254" i="12"/>
  <c r="AR254" i="12" s="1"/>
  <c r="AS254" i="12" s="1"/>
  <c r="AT254" i="12" s="1"/>
  <c r="AU254" i="12" s="1"/>
  <c r="AV254" i="12" s="1"/>
  <c r="AW254" i="12" s="1"/>
  <c r="AX254" i="12" s="1"/>
  <c r="AY254" i="12" s="1"/>
  <c r="AZ254" i="12" s="1"/>
  <c r="BA254" i="12" s="1"/>
  <c r="AQ257" i="12"/>
  <c r="AQ291" i="12" s="1"/>
  <c r="AQ368" i="12" s="1"/>
  <c r="AQ373" i="12" s="1"/>
  <c r="AU360" i="12"/>
  <c r="AU354" i="12"/>
  <c r="AN428" i="12"/>
  <c r="AM429" i="12"/>
  <c r="AM463" i="12" s="1"/>
  <c r="AM465" i="12" s="1"/>
  <c r="AP292" i="12"/>
  <c r="AP376" i="12" s="1"/>
  <c r="AP381" i="12" s="1"/>
  <c r="AP287" i="12"/>
  <c r="AR380" i="12"/>
  <c r="AZ139" i="12"/>
  <c r="AZ140" i="12" s="1"/>
  <c r="BA150" i="12"/>
  <c r="DE6" i="1"/>
  <c r="DN6" i="1"/>
  <c r="DF26" i="1"/>
  <c r="EC192" i="1"/>
  <c r="EH169" i="1"/>
  <c r="ER153" i="1"/>
  <c r="DH16" i="1"/>
  <c r="DF6" i="1"/>
  <c r="DE26" i="1"/>
  <c r="DG6" i="1"/>
  <c r="DN26" i="1"/>
  <c r="DM26" i="1" s="1"/>
  <c r="DG16" i="1"/>
  <c r="DE16" i="1"/>
  <c r="DN11" i="1"/>
  <c r="DN21" i="1"/>
  <c r="DN16" i="1"/>
  <c r="DK16" i="1" s="1"/>
  <c r="Q105" i="20" l="1"/>
  <c r="Q133" i="18" s="1"/>
  <c r="Q106" i="20"/>
  <c r="Q134" i="18" s="1"/>
  <c r="Q107" i="20"/>
  <c r="Q135" i="18" s="1"/>
  <c r="DJ21" i="1"/>
  <c r="DL26" i="1"/>
  <c r="DM6" i="1"/>
  <c r="X19" i="19"/>
  <c r="R19" i="20"/>
  <c r="AN480" i="12"/>
  <c r="AN481" i="12" s="1"/>
  <c r="T52" i="18"/>
  <c r="T58" i="18" s="1"/>
  <c r="T53" i="18"/>
  <c r="AO473" i="12"/>
  <c r="AO480" i="12" s="1"/>
  <c r="AO481" i="12" s="1"/>
  <c r="DJ11" i="1"/>
  <c r="DK6" i="1"/>
  <c r="DJ26" i="1"/>
  <c r="S9" i="20"/>
  <c r="S26" i="20"/>
  <c r="S15" i="20"/>
  <c r="S27" i="20" s="1"/>
  <c r="S66" i="20"/>
  <c r="S100" i="20" s="1"/>
  <c r="S111" i="20" s="1"/>
  <c r="S62" i="20"/>
  <c r="S13" i="20" s="1"/>
  <c r="T10" i="20" s="1"/>
  <c r="S18" i="20"/>
  <c r="R111" i="20"/>
  <c r="R102" i="20"/>
  <c r="T59" i="20"/>
  <c r="Y66" i="19"/>
  <c r="Y102" i="19" s="1"/>
  <c r="Y104" i="19" s="1"/>
  <c r="Y113" i="19" s="1"/>
  <c r="Y62" i="19"/>
  <c r="Y13" i="19" s="1"/>
  <c r="Z10" i="19" s="1"/>
  <c r="Y18" i="19"/>
  <c r="X109" i="19"/>
  <c r="X107" i="19"/>
  <c r="X111" i="19"/>
  <c r="Y9" i="19"/>
  <c r="Y26" i="19"/>
  <c r="Y15" i="19"/>
  <c r="Y27" i="19" s="1"/>
  <c r="Z66" i="19"/>
  <c r="Z102" i="19" s="1"/>
  <c r="Z104" i="19" s="1"/>
  <c r="Z113" i="19" s="1"/>
  <c r="Z62" i="19"/>
  <c r="Z13" i="19" s="1"/>
  <c r="Z18" i="19"/>
  <c r="S9" i="18"/>
  <c r="S15" i="18"/>
  <c r="S27" i="18" s="1"/>
  <c r="S26" i="18"/>
  <c r="R20" i="18"/>
  <c r="R19" i="18"/>
  <c r="R108" i="18"/>
  <c r="R116" i="18"/>
  <c r="DD49" i="1" s="1"/>
  <c r="R119" i="18"/>
  <c r="DD59" i="1" s="1"/>
  <c r="R122" i="18"/>
  <c r="DD54" i="1" s="1"/>
  <c r="S65" i="18"/>
  <c r="S103" i="18" s="1"/>
  <c r="S105" i="18" s="1"/>
  <c r="S61" i="18"/>
  <c r="S13" i="18" s="1"/>
  <c r="T10" i="18" s="1"/>
  <c r="S18" i="18"/>
  <c r="U64" i="18"/>
  <c r="U30" i="18"/>
  <c r="U38" i="18" s="1"/>
  <c r="U28" i="18"/>
  <c r="U36" i="18" s="1"/>
  <c r="U29" i="18"/>
  <c r="U37" i="18" s="1"/>
  <c r="V25" i="18"/>
  <c r="DM21" i="1"/>
  <c r="BA470" i="12"/>
  <c r="BA469" i="12" s="1"/>
  <c r="BA462" i="12"/>
  <c r="AS380" i="12"/>
  <c r="AO428" i="12"/>
  <c r="AN429" i="12"/>
  <c r="AQ359" i="12"/>
  <c r="AQ364" i="12" s="1"/>
  <c r="AQ412" i="12"/>
  <c r="AP413" i="12"/>
  <c r="AP451" i="12" s="1"/>
  <c r="AY304" i="12"/>
  <c r="AX303" i="12"/>
  <c r="AS259" i="12"/>
  <c r="AR261" i="12"/>
  <c r="AR404" i="12"/>
  <c r="AQ405" i="12"/>
  <c r="AQ448" i="12" s="1"/>
  <c r="AP474" i="12"/>
  <c r="AX250" i="12"/>
  <c r="AW249" i="12"/>
  <c r="AV354" i="12"/>
  <c r="AV360" i="12"/>
  <c r="AS255" i="12"/>
  <c r="AR257" i="12"/>
  <c r="AR291" i="12" s="1"/>
  <c r="AR368" i="12" s="1"/>
  <c r="AR373" i="12" s="1"/>
  <c r="AS396" i="12"/>
  <c r="AR397" i="12"/>
  <c r="AT388" i="12"/>
  <c r="AS389" i="12"/>
  <c r="AS253" i="12"/>
  <c r="AR290" i="12"/>
  <c r="AW351" i="12"/>
  <c r="AW417" i="12" s="1"/>
  <c r="AW349" i="12"/>
  <c r="AW401" i="12" s="1"/>
  <c r="AW352" i="12"/>
  <c r="AW425" i="12" s="1"/>
  <c r="AW350" i="12"/>
  <c r="AW409" i="12" s="1"/>
  <c r="AW347" i="12"/>
  <c r="AW385" i="12" s="1"/>
  <c r="AW346" i="12"/>
  <c r="AW377" i="12" s="1"/>
  <c r="AW348" i="12"/>
  <c r="AW393" i="12" s="1"/>
  <c r="AW353" i="12"/>
  <c r="AW344" i="12"/>
  <c r="AW345" i="12"/>
  <c r="AW369" i="12" s="1"/>
  <c r="AZ470" i="12"/>
  <c r="AZ469" i="12" s="1"/>
  <c r="AZ462" i="12"/>
  <c r="AQ292" i="12"/>
  <c r="AQ376" i="12" s="1"/>
  <c r="AQ381" i="12" s="1"/>
  <c r="AQ287" i="12"/>
  <c r="AP420" i="12"/>
  <c r="AO421" i="12"/>
  <c r="AP475" i="12"/>
  <c r="AP300" i="12"/>
  <c r="AV298" i="12"/>
  <c r="AV424" i="12" s="1"/>
  <c r="AV296" i="12"/>
  <c r="AV408" i="12" s="1"/>
  <c r="AV299" i="12"/>
  <c r="AV297" i="12"/>
  <c r="AV416" i="12" s="1"/>
  <c r="AV295" i="12"/>
  <c r="AV400" i="12" s="1"/>
  <c r="AV294" i="12"/>
  <c r="AV392" i="12" s="1"/>
  <c r="AV293" i="12"/>
  <c r="AV384" i="12" s="1"/>
  <c r="DK11" i="1"/>
  <c r="DS21" i="1"/>
  <c r="DS11" i="1"/>
  <c r="DJ16" i="1"/>
  <c r="DK21" i="1"/>
  <c r="DL21" i="1"/>
  <c r="DQ21" i="1" s="1"/>
  <c r="DL6" i="1"/>
  <c r="EH192" i="1"/>
  <c r="EM169" i="1"/>
  <c r="DK26" i="1"/>
  <c r="DS6" i="1"/>
  <c r="DL11" i="1"/>
  <c r="DM11" i="1"/>
  <c r="DL16" i="1"/>
  <c r="DS26" i="1"/>
  <c r="DR26" i="1" s="1"/>
  <c r="DM16" i="1"/>
  <c r="DJ6" i="1"/>
  <c r="DS16" i="1"/>
  <c r="DP16" i="1" s="1"/>
  <c r="Q108" i="20" l="1"/>
  <c r="Q136" i="18" s="1"/>
  <c r="CY66" i="1" s="1"/>
  <c r="CY63" i="1" s="1"/>
  <c r="R105" i="20"/>
  <c r="R133" i="18" s="1"/>
  <c r="R106" i="20"/>
  <c r="R134" i="18" s="1"/>
  <c r="R107" i="20"/>
  <c r="R135" i="18" s="1"/>
  <c r="DO21" i="1"/>
  <c r="DR6" i="1"/>
  <c r="DO11" i="1"/>
  <c r="DR21" i="1"/>
  <c r="Y19" i="19"/>
  <c r="U52" i="18"/>
  <c r="U58" i="18" s="1"/>
  <c r="DP21" i="1"/>
  <c r="T9" i="20"/>
  <c r="T26" i="20"/>
  <c r="T15" i="20"/>
  <c r="T27" i="20" s="1"/>
  <c r="T66" i="20"/>
  <c r="T100" i="20" s="1"/>
  <c r="T62" i="20"/>
  <c r="T13" i="20" s="1"/>
  <c r="U10" i="20" s="1"/>
  <c r="T18" i="20"/>
  <c r="U53" i="20"/>
  <c r="S19" i="20"/>
  <c r="S102" i="20"/>
  <c r="Z109" i="19"/>
  <c r="Z107" i="19"/>
  <c r="Z111" i="19"/>
  <c r="Z9" i="19"/>
  <c r="Z26" i="19"/>
  <c r="Z15" i="19"/>
  <c r="Z27" i="19" s="1"/>
  <c r="Y109" i="19"/>
  <c r="Y107" i="19"/>
  <c r="Y111" i="19"/>
  <c r="T9" i="18"/>
  <c r="T15" i="18"/>
  <c r="T27" i="18" s="1"/>
  <c r="T26" i="18"/>
  <c r="U53" i="18"/>
  <c r="S20" i="18"/>
  <c r="S19" i="18"/>
  <c r="S108" i="18"/>
  <c r="S116" i="18"/>
  <c r="DI49" i="1" s="1"/>
  <c r="S119" i="18"/>
  <c r="DI59" i="1" s="1"/>
  <c r="S122" i="18"/>
  <c r="DI54" i="1" s="1"/>
  <c r="T65" i="18"/>
  <c r="T103" i="18" s="1"/>
  <c r="T105" i="18" s="1"/>
  <c r="T61" i="18"/>
  <c r="T13" i="18" s="1"/>
  <c r="U10" i="18" s="1"/>
  <c r="T18" i="18"/>
  <c r="V64" i="18"/>
  <c r="V29" i="18"/>
  <c r="V37" i="18" s="1"/>
  <c r="V30" i="18"/>
  <c r="V38" i="18" s="1"/>
  <c r="V28" i="18"/>
  <c r="V36" i="18" s="1"/>
  <c r="W25" i="18"/>
  <c r="DQ26" i="1"/>
  <c r="DO6" i="1"/>
  <c r="DP6" i="1"/>
  <c r="DO26" i="1"/>
  <c r="DR11" i="1"/>
  <c r="DQ11" i="1"/>
  <c r="DP26" i="1"/>
  <c r="AQ420" i="12"/>
  <c r="AP421" i="12"/>
  <c r="AT253" i="12"/>
  <c r="AS290" i="12"/>
  <c r="AU388" i="12"/>
  <c r="AT389" i="12"/>
  <c r="AT396" i="12"/>
  <c r="AS397" i="12"/>
  <c r="AT255" i="12"/>
  <c r="AS257" i="12"/>
  <c r="AS291" i="12" s="1"/>
  <c r="AS368" i="12" s="1"/>
  <c r="AS373" i="12" s="1"/>
  <c r="AY250" i="12"/>
  <c r="AX249" i="12"/>
  <c r="AP473" i="12"/>
  <c r="AP480" i="12" s="1"/>
  <c r="AP481" i="12" s="1"/>
  <c r="AS404" i="12"/>
  <c r="AR405" i="12"/>
  <c r="AR448" i="12" s="1"/>
  <c r="AT259" i="12"/>
  <c r="AS261" i="12"/>
  <c r="AZ304" i="12"/>
  <c r="AY303" i="12"/>
  <c r="AR412" i="12"/>
  <c r="AQ413" i="12"/>
  <c r="AQ451" i="12" s="1"/>
  <c r="AQ300" i="12"/>
  <c r="AN457" i="12"/>
  <c r="AN460" i="12" s="1"/>
  <c r="AN464" i="12" s="1"/>
  <c r="AN463" i="12"/>
  <c r="AT380" i="12"/>
  <c r="AQ475" i="12"/>
  <c r="AO454" i="12"/>
  <c r="AW360" i="12"/>
  <c r="AW354" i="12"/>
  <c r="AR359" i="12"/>
  <c r="AR364" i="12" s="1"/>
  <c r="AW299" i="12"/>
  <c r="AW297" i="12"/>
  <c r="AW416" i="12" s="1"/>
  <c r="AW295" i="12"/>
  <c r="AW400" i="12" s="1"/>
  <c r="AW298" i="12"/>
  <c r="AW424" i="12" s="1"/>
  <c r="AW296" i="12"/>
  <c r="AW408" i="12" s="1"/>
  <c r="AW294" i="12"/>
  <c r="AW392" i="12" s="1"/>
  <c r="AW293" i="12"/>
  <c r="AW384" i="12" s="1"/>
  <c r="AR292" i="12"/>
  <c r="AR376" i="12" s="1"/>
  <c r="AR381" i="12" s="1"/>
  <c r="AR287" i="12"/>
  <c r="AX352" i="12"/>
  <c r="AX425" i="12" s="1"/>
  <c r="AX350" i="12"/>
  <c r="AX409" i="12" s="1"/>
  <c r="AX351" i="12"/>
  <c r="AX417" i="12" s="1"/>
  <c r="AX349" i="12"/>
  <c r="AX401" i="12" s="1"/>
  <c r="AX346" i="12"/>
  <c r="AX377" i="12" s="1"/>
  <c r="AX348" i="12"/>
  <c r="AX393" i="12" s="1"/>
  <c r="AX347" i="12"/>
  <c r="AX385" i="12" s="1"/>
  <c r="AX353" i="12"/>
  <c r="AX344" i="12"/>
  <c r="AX345" i="12"/>
  <c r="AX369" i="12" s="1"/>
  <c r="AQ474" i="12"/>
  <c r="AP428" i="12"/>
  <c r="AO429" i="12"/>
  <c r="AO457" i="12" s="1"/>
  <c r="DR16" i="1"/>
  <c r="DQ16" i="1"/>
  <c r="DX6" i="1"/>
  <c r="EM192" i="1"/>
  <c r="ER169" i="1"/>
  <c r="ER192" i="1" s="1"/>
  <c r="DQ6" i="1"/>
  <c r="DP11" i="1"/>
  <c r="DX26" i="1"/>
  <c r="DO16" i="1"/>
  <c r="DX11" i="1"/>
  <c r="DX21" i="1"/>
  <c r="DX16" i="1"/>
  <c r="DU16" i="1" s="1"/>
  <c r="R108" i="20" l="1"/>
  <c r="R136" i="18" s="1"/>
  <c r="DD66" i="1" s="1"/>
  <c r="DD63" i="1" s="1"/>
  <c r="S105" i="20"/>
  <c r="S133" i="18" s="1"/>
  <c r="S106" i="20"/>
  <c r="S134" i="18" s="1"/>
  <c r="S107" i="20"/>
  <c r="S135" i="18" s="1"/>
  <c r="DT21" i="1"/>
  <c r="DW11" i="1"/>
  <c r="DT26" i="1"/>
  <c r="DW6" i="1"/>
  <c r="T19" i="20"/>
  <c r="V52" i="18"/>
  <c r="V58" i="18" s="1"/>
  <c r="V53" i="18"/>
  <c r="AN465" i="12"/>
  <c r="DU6" i="1"/>
  <c r="DT11" i="1"/>
  <c r="DU11" i="1"/>
  <c r="U9" i="20"/>
  <c r="U26" i="20"/>
  <c r="U15" i="20"/>
  <c r="U27" i="20" s="1"/>
  <c r="U59" i="20"/>
  <c r="V53" i="20" s="1"/>
  <c r="T111" i="20"/>
  <c r="T102" i="20"/>
  <c r="Z19" i="19"/>
  <c r="U9" i="18"/>
  <c r="U15" i="18"/>
  <c r="U27" i="18" s="1"/>
  <c r="U26" i="18"/>
  <c r="T20" i="18"/>
  <c r="T19" i="18"/>
  <c r="T108" i="18"/>
  <c r="T116" i="18"/>
  <c r="DN49" i="1" s="1"/>
  <c r="T119" i="18"/>
  <c r="DN59" i="1" s="1"/>
  <c r="T122" i="18"/>
  <c r="DN54" i="1" s="1"/>
  <c r="U65" i="18"/>
  <c r="U103" i="18" s="1"/>
  <c r="U105" i="18" s="1"/>
  <c r="U61" i="18"/>
  <c r="U13" i="18" s="1"/>
  <c r="V10" i="18" s="1"/>
  <c r="U18" i="18"/>
  <c r="W64" i="18"/>
  <c r="W30" i="18"/>
  <c r="W38" i="18" s="1"/>
  <c r="W28" i="18"/>
  <c r="W36" i="18" s="1"/>
  <c r="W29" i="18"/>
  <c r="W37" i="18" s="1"/>
  <c r="X25" i="18"/>
  <c r="AQ473" i="12"/>
  <c r="AQ480" i="12" s="1"/>
  <c r="AQ481" i="12" s="1"/>
  <c r="AR300" i="12"/>
  <c r="DV21" i="1"/>
  <c r="DT6" i="1"/>
  <c r="DV6" i="1"/>
  <c r="AQ428" i="12"/>
  <c r="AP429" i="12"/>
  <c r="AP457" i="12" s="1"/>
  <c r="AX354" i="12"/>
  <c r="AX360" i="12"/>
  <c r="AR474" i="12"/>
  <c r="AO460" i="12"/>
  <c r="AO464" i="12" s="1"/>
  <c r="AU380" i="12"/>
  <c r="AS412" i="12"/>
  <c r="AR413" i="12"/>
  <c r="AR451" i="12" s="1"/>
  <c r="BA304" i="12"/>
  <c r="BA303" i="12" s="1"/>
  <c r="AZ303" i="12"/>
  <c r="AU259" i="12"/>
  <c r="AT261" i="12"/>
  <c r="AT404" i="12"/>
  <c r="AS405" i="12"/>
  <c r="AS448" i="12" s="1"/>
  <c r="AX298" i="12"/>
  <c r="AX424" i="12" s="1"/>
  <c r="AX296" i="12"/>
  <c r="AX408" i="12" s="1"/>
  <c r="AX299" i="12"/>
  <c r="AX297" i="12"/>
  <c r="AX416" i="12" s="1"/>
  <c r="AX295" i="12"/>
  <c r="AX400" i="12" s="1"/>
  <c r="AX294" i="12"/>
  <c r="AX392" i="12" s="1"/>
  <c r="AX293" i="12"/>
  <c r="AX384" i="12" s="1"/>
  <c r="AS359" i="12"/>
  <c r="AS364" i="12" s="1"/>
  <c r="AP454" i="12"/>
  <c r="DW21" i="1"/>
  <c r="AO463" i="12"/>
  <c r="AR475" i="12"/>
  <c r="AY351" i="12"/>
  <c r="AY417" i="12" s="1"/>
  <c r="AY349" i="12"/>
  <c r="AY401" i="12" s="1"/>
  <c r="AY352" i="12"/>
  <c r="AY425" i="12" s="1"/>
  <c r="AY350" i="12"/>
  <c r="AY409" i="12" s="1"/>
  <c r="AY346" i="12"/>
  <c r="AY377" i="12" s="1"/>
  <c r="AY348" i="12"/>
  <c r="AY393" i="12" s="1"/>
  <c r="AY347" i="12"/>
  <c r="AY385" i="12" s="1"/>
  <c r="AY353" i="12"/>
  <c r="AY344" i="12"/>
  <c r="AY345" i="12"/>
  <c r="AY369" i="12" s="1"/>
  <c r="AS292" i="12"/>
  <c r="AS376" i="12" s="1"/>
  <c r="AS381" i="12" s="1"/>
  <c r="AS287" i="12"/>
  <c r="AZ250" i="12"/>
  <c r="AY249" i="12"/>
  <c r="AU255" i="12"/>
  <c r="AT257" i="12"/>
  <c r="AT291" i="12" s="1"/>
  <c r="AT368" i="12" s="1"/>
  <c r="AT373" i="12" s="1"/>
  <c r="AU396" i="12"/>
  <c r="AT397" i="12"/>
  <c r="AV388" i="12"/>
  <c r="AU389" i="12"/>
  <c r="AU253" i="12"/>
  <c r="AT290" i="12"/>
  <c r="AR420" i="12"/>
  <c r="AQ421" i="12"/>
  <c r="DT16" i="1"/>
  <c r="DU26" i="1"/>
  <c r="DV26" i="1"/>
  <c r="EC26" i="1"/>
  <c r="DU21" i="1"/>
  <c r="DV11" i="1"/>
  <c r="DV16" i="1"/>
  <c r="DW26" i="1"/>
  <c r="EC21" i="1"/>
  <c r="EC11" i="1"/>
  <c r="EC6" i="1"/>
  <c r="DW16" i="1"/>
  <c r="EC16" i="1"/>
  <c r="DZ16" i="1" s="1"/>
  <c r="S108" i="20" l="1"/>
  <c r="S136" i="18" s="1"/>
  <c r="DI66" i="1" s="1"/>
  <c r="DI63" i="1" s="1"/>
  <c r="T105" i="20"/>
  <c r="T133" i="18" s="1"/>
  <c r="T106" i="20"/>
  <c r="T134" i="18" s="1"/>
  <c r="T107" i="20"/>
  <c r="T135" i="18" s="1"/>
  <c r="DY21" i="1"/>
  <c r="DY26" i="1"/>
  <c r="EB11" i="1"/>
  <c r="EB6" i="1"/>
  <c r="EB21" i="1"/>
  <c r="AP463" i="12"/>
  <c r="W52" i="18"/>
  <c r="W58" i="18" s="1"/>
  <c r="EB26" i="1"/>
  <c r="AP460" i="12"/>
  <c r="AP464" i="12" s="1"/>
  <c r="V59" i="20"/>
  <c r="W53" i="20" s="1"/>
  <c r="U66" i="20"/>
  <c r="U100" i="20" s="1"/>
  <c r="U62" i="20"/>
  <c r="U13" i="20" s="1"/>
  <c r="V10" i="20" s="1"/>
  <c r="U18" i="20"/>
  <c r="U19" i="20" s="1"/>
  <c r="V9" i="18"/>
  <c r="V15" i="18"/>
  <c r="V27" i="18" s="1"/>
  <c r="V26" i="18"/>
  <c r="W53" i="18"/>
  <c r="U20" i="18"/>
  <c r="U19" i="18"/>
  <c r="U108" i="18"/>
  <c r="U116" i="18"/>
  <c r="DS49" i="1" s="1"/>
  <c r="U119" i="18"/>
  <c r="DS59" i="1" s="1"/>
  <c r="U122" i="18"/>
  <c r="DS54" i="1" s="1"/>
  <c r="V65" i="18"/>
  <c r="V103" i="18" s="1"/>
  <c r="V105" i="18" s="1"/>
  <c r="V61" i="18"/>
  <c r="V13" i="18" s="1"/>
  <c r="W10" i="18" s="1"/>
  <c r="V18" i="18"/>
  <c r="X64" i="18"/>
  <c r="X29" i="18"/>
  <c r="X37" i="18" s="1"/>
  <c r="X30" i="18"/>
  <c r="X38" i="18" s="1"/>
  <c r="X28" i="18"/>
  <c r="X36" i="18" s="1"/>
  <c r="Y25" i="18"/>
  <c r="DZ26" i="1"/>
  <c r="AQ454" i="12"/>
  <c r="AT359" i="12"/>
  <c r="AT364" i="12" s="1"/>
  <c r="AY299" i="12"/>
  <c r="AY297" i="12"/>
  <c r="AY416" i="12" s="1"/>
  <c r="AY295" i="12"/>
  <c r="AY400" i="12" s="1"/>
  <c r="AY298" i="12"/>
  <c r="AY424" i="12" s="1"/>
  <c r="AY296" i="12"/>
  <c r="AY408" i="12" s="1"/>
  <c r="AY294" i="12"/>
  <c r="AY392" i="12" s="1"/>
  <c r="AY293" i="12"/>
  <c r="AY384" i="12" s="1"/>
  <c r="AY360" i="12"/>
  <c r="AY354" i="12"/>
  <c r="AS300" i="12"/>
  <c r="AU404" i="12"/>
  <c r="AT405" i="12"/>
  <c r="AT448" i="12" s="1"/>
  <c r="AV259" i="12"/>
  <c r="AU261" i="12"/>
  <c r="BA351" i="12"/>
  <c r="BA417" i="12" s="1"/>
  <c r="BA349" i="12"/>
  <c r="BA401" i="12" s="1"/>
  <c r="BA352" i="12"/>
  <c r="BA425" i="12" s="1"/>
  <c r="BA350" i="12"/>
  <c r="BA409" i="12" s="1"/>
  <c r="BA347" i="12"/>
  <c r="BA385" i="12" s="1"/>
  <c r="BA346" i="12"/>
  <c r="BA377" i="12" s="1"/>
  <c r="BA348" i="12"/>
  <c r="BA393" i="12" s="1"/>
  <c r="BA353" i="12"/>
  <c r="BA344" i="12"/>
  <c r="BA345" i="12"/>
  <c r="BA369" i="12" s="1"/>
  <c r="AT412" i="12"/>
  <c r="AS413" i="12"/>
  <c r="AS451" i="12" s="1"/>
  <c r="AR428" i="12"/>
  <c r="AQ429" i="12"/>
  <c r="AQ457" i="12" s="1"/>
  <c r="AS420" i="12"/>
  <c r="AR421" i="12"/>
  <c r="AR454" i="12" s="1"/>
  <c r="AV253" i="12"/>
  <c r="AU290" i="12"/>
  <c r="AW388" i="12"/>
  <c r="AV389" i="12"/>
  <c r="AV396" i="12"/>
  <c r="AU397" i="12"/>
  <c r="AV255" i="12"/>
  <c r="AV266" i="12" s="1"/>
  <c r="AU257" i="12"/>
  <c r="AU291" i="12" s="1"/>
  <c r="AU368" i="12" s="1"/>
  <c r="AU373" i="12" s="1"/>
  <c r="BA250" i="12"/>
  <c r="BA249" i="12" s="1"/>
  <c r="AZ249" i="12"/>
  <c r="AS475" i="12"/>
  <c r="AS474" i="12"/>
  <c r="AT292" i="12"/>
  <c r="AT376" i="12" s="1"/>
  <c r="AT381" i="12" s="1"/>
  <c r="AT287" i="12"/>
  <c r="AZ352" i="12"/>
  <c r="AZ425" i="12" s="1"/>
  <c r="AZ350" i="12"/>
  <c r="AZ409" i="12" s="1"/>
  <c r="AZ351" i="12"/>
  <c r="AZ417" i="12" s="1"/>
  <c r="AZ349" i="12"/>
  <c r="AZ401" i="12" s="1"/>
  <c r="AZ346" i="12"/>
  <c r="AZ377" i="12" s="1"/>
  <c r="AZ348" i="12"/>
  <c r="AZ393" i="12" s="1"/>
  <c r="AZ347" i="12"/>
  <c r="AZ385" i="12" s="1"/>
  <c r="AZ353" i="12"/>
  <c r="AZ344" i="12"/>
  <c r="AZ345" i="12"/>
  <c r="AZ369" i="12" s="1"/>
  <c r="AV380" i="12"/>
  <c r="AO465" i="12"/>
  <c r="AR473" i="12"/>
  <c r="AR480" i="12" s="1"/>
  <c r="AR481" i="12" s="1"/>
  <c r="EB16" i="1"/>
  <c r="EH6" i="1"/>
  <c r="DZ11" i="1"/>
  <c r="EA21" i="1"/>
  <c r="EH11" i="1"/>
  <c r="EH21" i="1"/>
  <c r="EA11" i="1"/>
  <c r="DY6" i="1"/>
  <c r="EA26" i="1"/>
  <c r="DY16" i="1"/>
  <c r="EA6" i="1"/>
  <c r="DZ6" i="1"/>
  <c r="EE6" i="1" s="1"/>
  <c r="DY11" i="1"/>
  <c r="EA16" i="1"/>
  <c r="DZ21" i="1"/>
  <c r="EH26" i="1"/>
  <c r="EH16" i="1"/>
  <c r="EE16" i="1" s="1"/>
  <c r="EG11" i="1" l="1"/>
  <c r="ED21" i="1"/>
  <c r="T108" i="20"/>
  <c r="T136" i="18" s="1"/>
  <c r="DN66" i="1" s="1"/>
  <c r="DN63" i="1" s="1"/>
  <c r="ED26" i="1"/>
  <c r="EG6" i="1"/>
  <c r="EF11" i="1"/>
  <c r="AP465" i="12"/>
  <c r="ED6" i="1"/>
  <c r="X52" i="18"/>
  <c r="X58" i="18" s="1"/>
  <c r="X53" i="18"/>
  <c r="EE21" i="1"/>
  <c r="EE26" i="1"/>
  <c r="EF6" i="1"/>
  <c r="EG21" i="1"/>
  <c r="EF26" i="1"/>
  <c r="U111" i="20"/>
  <c r="U102" i="20"/>
  <c r="V9" i="20"/>
  <c r="V26" i="20"/>
  <c r="V15" i="20"/>
  <c r="V27" i="20" s="1"/>
  <c r="V66" i="20"/>
  <c r="V100" i="20" s="1"/>
  <c r="V62" i="20"/>
  <c r="V13" i="20" s="1"/>
  <c r="W10" i="20" s="1"/>
  <c r="V18" i="20"/>
  <c r="W59" i="20"/>
  <c r="X53" i="20" s="1"/>
  <c r="W9" i="18"/>
  <c r="W15" i="18"/>
  <c r="W27" i="18" s="1"/>
  <c r="W26" i="18"/>
  <c r="V20" i="18"/>
  <c r="V19" i="18"/>
  <c r="V108" i="18"/>
  <c r="V116" i="18"/>
  <c r="DX49" i="1" s="1"/>
  <c r="V119" i="18"/>
  <c r="DX59" i="1" s="1"/>
  <c r="V122" i="18"/>
  <c r="DX54" i="1" s="1"/>
  <c r="W65" i="18"/>
  <c r="W103" i="18" s="1"/>
  <c r="W105" i="18" s="1"/>
  <c r="W61" i="18"/>
  <c r="W13" i="18" s="1"/>
  <c r="X10" i="18" s="1"/>
  <c r="W18" i="18"/>
  <c r="Y64" i="18"/>
  <c r="Y30" i="18"/>
  <c r="Y38" i="18" s="1"/>
  <c r="Y28" i="18"/>
  <c r="Y36" i="18" s="1"/>
  <c r="Y29" i="18"/>
  <c r="Y37" i="18" s="1"/>
  <c r="Z25" i="18"/>
  <c r="EE11" i="1"/>
  <c r="AW380" i="12"/>
  <c r="AT475" i="12"/>
  <c r="AZ298" i="12"/>
  <c r="AZ424" i="12" s="1"/>
  <c r="AZ296" i="12"/>
  <c r="AZ408" i="12" s="1"/>
  <c r="AZ299" i="12"/>
  <c r="AZ297" i="12"/>
  <c r="AZ416" i="12" s="1"/>
  <c r="AZ295" i="12"/>
  <c r="AZ400" i="12" s="1"/>
  <c r="AZ294" i="12"/>
  <c r="AZ392" i="12" s="1"/>
  <c r="AZ293" i="12"/>
  <c r="AZ384" i="12" s="1"/>
  <c r="AW255" i="12"/>
  <c r="AV257" i="12"/>
  <c r="AV291" i="12" s="1"/>
  <c r="AV368" i="12" s="1"/>
  <c r="AV373" i="12" s="1"/>
  <c r="AW396" i="12"/>
  <c r="AV397" i="12"/>
  <c r="AX388" i="12"/>
  <c r="AW389" i="12"/>
  <c r="AW253" i="12"/>
  <c r="AV290" i="12"/>
  <c r="AT420" i="12"/>
  <c r="AS421" i="12"/>
  <c r="AS428" i="12"/>
  <c r="AR429" i="12"/>
  <c r="AR457" i="12" s="1"/>
  <c r="AR460" i="12" s="1"/>
  <c r="AR464" i="12" s="1"/>
  <c r="AU292" i="12"/>
  <c r="AU376" i="12" s="1"/>
  <c r="AU381" i="12" s="1"/>
  <c r="AU287" i="12"/>
  <c r="AT474" i="12"/>
  <c r="AT473" i="12" s="1"/>
  <c r="AT480" i="12" s="1"/>
  <c r="AQ460" i="12"/>
  <c r="AQ464" i="12" s="1"/>
  <c r="ED11" i="1"/>
  <c r="AZ354" i="12"/>
  <c r="AZ360" i="12"/>
  <c r="AS473" i="12"/>
  <c r="AS480" i="12" s="1"/>
  <c r="AS481" i="12" s="1"/>
  <c r="BA299" i="12"/>
  <c r="BA297" i="12"/>
  <c r="BA416" i="12" s="1"/>
  <c r="BA295" i="12"/>
  <c r="BA400" i="12" s="1"/>
  <c r="BA298" i="12"/>
  <c r="BA424" i="12" s="1"/>
  <c r="BA296" i="12"/>
  <c r="BA408" i="12" s="1"/>
  <c r="BA294" i="12"/>
  <c r="BA392" i="12" s="1"/>
  <c r="BA293" i="12"/>
  <c r="BA384" i="12" s="1"/>
  <c r="AU359" i="12"/>
  <c r="AU364" i="12" s="1"/>
  <c r="AU300" i="12"/>
  <c r="AU412" i="12"/>
  <c r="AT413" i="12"/>
  <c r="AT451" i="12" s="1"/>
  <c r="BA360" i="12"/>
  <c r="BA354" i="12"/>
  <c r="AW259" i="12"/>
  <c r="AV261" i="12"/>
  <c r="AV404" i="12"/>
  <c r="AU405" i="12"/>
  <c r="AU448" i="12" s="1"/>
  <c r="AT300" i="12"/>
  <c r="AQ463" i="12"/>
  <c r="ED16" i="1"/>
  <c r="EF21" i="1"/>
  <c r="EG16" i="1"/>
  <c r="ER26" i="1"/>
  <c r="EM26" i="1"/>
  <c r="EF16" i="1"/>
  <c r="EG26" i="1"/>
  <c r="ER21" i="1"/>
  <c r="EM21" i="1"/>
  <c r="ER11" i="1"/>
  <c r="EM11" i="1"/>
  <c r="ER6" i="1"/>
  <c r="EM6" i="1"/>
  <c r="ER16" i="1"/>
  <c r="EM16" i="1"/>
  <c r="EJ16" i="1" s="1"/>
  <c r="EL11" i="1" l="1"/>
  <c r="U105" i="20"/>
  <c r="U133" i="18" s="1"/>
  <c r="U106" i="20"/>
  <c r="U134" i="18" s="1"/>
  <c r="U107" i="20"/>
  <c r="U135" i="18" s="1"/>
  <c r="EI26" i="1"/>
  <c r="EN26" i="1" s="1"/>
  <c r="EL6" i="1"/>
  <c r="EQ6" i="1" s="1"/>
  <c r="EJ21" i="1"/>
  <c r="EO21" i="1" s="1"/>
  <c r="EO16" i="1"/>
  <c r="Y52" i="18"/>
  <c r="Y58" i="18" s="1"/>
  <c r="EI21" i="1"/>
  <c r="EN21" i="1" s="1"/>
  <c r="AR463" i="12"/>
  <c r="AR465" i="12" s="1"/>
  <c r="EL21" i="1"/>
  <c r="EQ21" i="1" s="1"/>
  <c r="EJ11" i="1"/>
  <c r="EO11" i="1" s="1"/>
  <c r="W9" i="20"/>
  <c r="W26" i="20"/>
  <c r="W15" i="20"/>
  <c r="W27" i="20" s="1"/>
  <c r="X59" i="20"/>
  <c r="Y53" i="20" s="1"/>
  <c r="W66" i="20"/>
  <c r="W100" i="20" s="1"/>
  <c r="W62" i="20"/>
  <c r="W13" i="20" s="1"/>
  <c r="X10" i="20" s="1"/>
  <c r="W18" i="20"/>
  <c r="V19" i="20"/>
  <c r="V111" i="20"/>
  <c r="V102" i="20"/>
  <c r="X9" i="18"/>
  <c r="X15" i="18"/>
  <c r="X27" i="18" s="1"/>
  <c r="X26" i="18"/>
  <c r="Y53" i="18"/>
  <c r="W20" i="18"/>
  <c r="W19" i="18"/>
  <c r="W108" i="18"/>
  <c r="W116" i="18"/>
  <c r="EC49" i="1" s="1"/>
  <c r="W119" i="18"/>
  <c r="EC59" i="1" s="1"/>
  <c r="W122" i="18"/>
  <c r="EC54" i="1" s="1"/>
  <c r="X65" i="18"/>
  <c r="X103" i="18" s="1"/>
  <c r="X105" i="18" s="1"/>
  <c r="X61" i="18"/>
  <c r="X13" i="18" s="1"/>
  <c r="Y10" i="18" s="1"/>
  <c r="X18" i="18"/>
  <c r="Z64" i="18"/>
  <c r="Z29" i="18"/>
  <c r="Z37" i="18" s="1"/>
  <c r="Z30" i="18"/>
  <c r="Z38" i="18" s="1"/>
  <c r="Z28" i="18"/>
  <c r="Z36" i="18" s="1"/>
  <c r="AW404" i="12"/>
  <c r="AV405" i="12"/>
  <c r="AV448" i="12" s="1"/>
  <c r="AX259" i="12"/>
  <c r="AW261" i="12"/>
  <c r="AV412" i="12"/>
  <c r="AU413" i="12"/>
  <c r="AU451" i="12" s="1"/>
  <c r="AU474" i="12"/>
  <c r="AQ465" i="12"/>
  <c r="AT428" i="12"/>
  <c r="AS429" i="12"/>
  <c r="AS457" i="12" s="1"/>
  <c r="AU420" i="12"/>
  <c r="AT421" i="12"/>
  <c r="AT454" i="12" s="1"/>
  <c r="AX253" i="12"/>
  <c r="AW290" i="12"/>
  <c r="AY388" i="12"/>
  <c r="AX389" i="12"/>
  <c r="AX396" i="12"/>
  <c r="AW397" i="12"/>
  <c r="AX255" i="12"/>
  <c r="AW257" i="12"/>
  <c r="AW291" i="12" s="1"/>
  <c r="AW368" i="12" s="1"/>
  <c r="AW373" i="12" s="1"/>
  <c r="EQ11" i="1"/>
  <c r="EK26" i="1"/>
  <c r="EP26" i="1" s="1"/>
  <c r="AV292" i="12"/>
  <c r="AV376" i="12" s="1"/>
  <c r="AV381" i="12" s="1"/>
  <c r="AV287" i="12"/>
  <c r="AS454" i="12"/>
  <c r="AV359" i="12"/>
  <c r="AV364" i="12" s="1"/>
  <c r="AW266" i="12"/>
  <c r="AT481" i="12"/>
  <c r="AU475" i="12"/>
  <c r="AX380" i="12"/>
  <c r="EI6" i="1"/>
  <c r="EN6" i="1" s="1"/>
  <c r="EJ26" i="1"/>
  <c r="EO26" i="1" s="1"/>
  <c r="EK21" i="1"/>
  <c r="EP21" i="1" s="1"/>
  <c r="EJ6" i="1"/>
  <c r="EO6" i="1" s="1"/>
  <c r="EL26" i="1"/>
  <c r="EQ26" i="1" s="1"/>
  <c r="EK6" i="1"/>
  <c r="EP6" i="1" s="1"/>
  <c r="EK16" i="1"/>
  <c r="EP16" i="1" s="1"/>
  <c r="EL16" i="1"/>
  <c r="EQ16" i="1" s="1"/>
  <c r="EK11" i="1"/>
  <c r="EP11" i="1" s="1"/>
  <c r="EI16" i="1"/>
  <c r="EN16" i="1" s="1"/>
  <c r="EI11" i="1"/>
  <c r="EN11" i="1" s="1"/>
  <c r="CJ19" i="1"/>
  <c r="CI19" i="1" s="1"/>
  <c r="CJ9" i="1"/>
  <c r="CJ29" i="1"/>
  <c r="CI29" i="1" s="1"/>
  <c r="CJ4" i="1"/>
  <c r="CI4" i="1" s="1"/>
  <c r="CJ24" i="1"/>
  <c r="CI24" i="1" s="1"/>
  <c r="AX266" i="12" l="1"/>
  <c r="CH9" i="1"/>
  <c r="U108" i="20"/>
  <c r="U136" i="18" s="1"/>
  <c r="DS66" i="1" s="1"/>
  <c r="DS63" i="1" s="1"/>
  <c r="V105" i="20"/>
  <c r="V133" i="18" s="1"/>
  <c r="V106" i="20"/>
  <c r="V134" i="18" s="1"/>
  <c r="V107" i="20"/>
  <c r="V135" i="18" s="1"/>
  <c r="W19" i="20"/>
  <c r="AS460" i="12"/>
  <c r="AS464" i="12" s="1"/>
  <c r="Z52" i="18"/>
  <c r="Z58" i="18" s="1"/>
  <c r="Z18" i="18" s="1"/>
  <c r="Z20" i="18" s="1"/>
  <c r="Z53" i="18"/>
  <c r="W111" i="20"/>
  <c r="W102" i="20"/>
  <c r="Y59" i="20"/>
  <c r="Z53" i="20" s="1"/>
  <c r="Z59" i="20" s="1"/>
  <c r="X66" i="20"/>
  <c r="X100" i="20" s="1"/>
  <c r="X62" i="20"/>
  <c r="X13" i="20" s="1"/>
  <c r="Y10" i="20" s="1"/>
  <c r="X18" i="20"/>
  <c r="X9" i="20"/>
  <c r="X26" i="20"/>
  <c r="X15" i="20"/>
  <c r="X27" i="20" s="1"/>
  <c r="Y9" i="18"/>
  <c r="Y15" i="18"/>
  <c r="Y27" i="18" s="1"/>
  <c r="Y26" i="18"/>
  <c r="Y65" i="18"/>
  <c r="Y103" i="18" s="1"/>
  <c r="Y105" i="18" s="1"/>
  <c r="Y61" i="18"/>
  <c r="Y13" i="18" s="1"/>
  <c r="Z10" i="18" s="1"/>
  <c r="Y18" i="18"/>
  <c r="X20" i="18"/>
  <c r="X19" i="18"/>
  <c r="X108" i="18"/>
  <c r="X116" i="18"/>
  <c r="EH49" i="1" s="1"/>
  <c r="X119" i="18"/>
  <c r="EH59" i="1" s="1"/>
  <c r="X122" i="18"/>
  <c r="EH54" i="1" s="1"/>
  <c r="AS463" i="12"/>
  <c r="AY380" i="12"/>
  <c r="AV475" i="12"/>
  <c r="AV300" i="12"/>
  <c r="AY255" i="12"/>
  <c r="AY266" i="12" s="1"/>
  <c r="AZ266" i="12" s="1"/>
  <c r="BA266" i="12" s="1"/>
  <c r="AX257" i="12"/>
  <c r="AX291" i="12" s="1"/>
  <c r="AX368" i="12" s="1"/>
  <c r="AX373" i="12" s="1"/>
  <c r="AY396" i="12"/>
  <c r="AX397" i="12"/>
  <c r="AZ388" i="12"/>
  <c r="AY389" i="12"/>
  <c r="AY253" i="12"/>
  <c r="AX290" i="12"/>
  <c r="AV420" i="12"/>
  <c r="AU421" i="12"/>
  <c r="AU428" i="12"/>
  <c r="AT429" i="12"/>
  <c r="AU473" i="12"/>
  <c r="AU480" i="12" s="1"/>
  <c r="AU481" i="12" s="1"/>
  <c r="AW412" i="12"/>
  <c r="AV413" i="12"/>
  <c r="AV451" i="12" s="1"/>
  <c r="AY259" i="12"/>
  <c r="AX261" i="12"/>
  <c r="AX404" i="12"/>
  <c r="AW405" i="12"/>
  <c r="AW448" i="12" s="1"/>
  <c r="AV474" i="12"/>
  <c r="AV473" i="12" s="1"/>
  <c r="AV480" i="12" s="1"/>
  <c r="AW359" i="12"/>
  <c r="AW364" i="12" s="1"/>
  <c r="AW292" i="12"/>
  <c r="AW376" i="12" s="1"/>
  <c r="AW381" i="12" s="1"/>
  <c r="AW287" i="12"/>
  <c r="CG9" i="1"/>
  <c r="CE92" i="1"/>
  <c r="CJ14" i="1"/>
  <c r="CI14" i="1" s="1"/>
  <c r="CO9" i="1"/>
  <c r="CM9" i="1" s="1"/>
  <c r="CO19" i="1"/>
  <c r="CO29" i="1"/>
  <c r="CO4" i="1"/>
  <c r="CO24" i="1"/>
  <c r="CI9" i="1" l="1"/>
  <c r="V108" i="20"/>
  <c r="V136" i="18" s="1"/>
  <c r="DX66" i="1" s="1"/>
  <c r="DX63" i="1" s="1"/>
  <c r="W105" i="20"/>
  <c r="W133" i="18" s="1"/>
  <c r="W106" i="20"/>
  <c r="W134" i="18" s="1"/>
  <c r="W107" i="20"/>
  <c r="W135" i="18" s="1"/>
  <c r="AS465" i="12"/>
  <c r="Z61" i="18"/>
  <c r="Z13" i="18" s="1"/>
  <c r="Z65" i="18"/>
  <c r="Z103" i="18" s="1"/>
  <c r="Z105" i="18" s="1"/>
  <c r="Y9" i="20"/>
  <c r="Y26" i="20"/>
  <c r="Y15" i="20"/>
  <c r="Y27" i="20" s="1"/>
  <c r="Z66" i="20"/>
  <c r="Z100" i="20" s="1"/>
  <c r="Z62" i="20"/>
  <c r="Z13" i="20" s="1"/>
  <c r="Z18" i="20"/>
  <c r="X19" i="20"/>
  <c r="X111" i="20"/>
  <c r="X102" i="20"/>
  <c r="Y66" i="20"/>
  <c r="Y100" i="20" s="1"/>
  <c r="Y62" i="20"/>
  <c r="Y13" i="20" s="1"/>
  <c r="Z10" i="20" s="1"/>
  <c r="Y18" i="20"/>
  <c r="Y20" i="18"/>
  <c r="Y19" i="18"/>
  <c r="Y108" i="18"/>
  <c r="Y116" i="18"/>
  <c r="EM49" i="1" s="1"/>
  <c r="Y119" i="18"/>
  <c r="EM59" i="1" s="1"/>
  <c r="Y122" i="18"/>
  <c r="EM54" i="1" s="1"/>
  <c r="Z9" i="18"/>
  <c r="Z15" i="18"/>
  <c r="Z26" i="18"/>
  <c r="AW474" i="12"/>
  <c r="AX292" i="12"/>
  <c r="AX376" i="12" s="1"/>
  <c r="AX381" i="12" s="1"/>
  <c r="AX287" i="12"/>
  <c r="AV428" i="12"/>
  <c r="AU429" i="12"/>
  <c r="AU457" i="12" s="1"/>
  <c r="AW420" i="12"/>
  <c r="AV421" i="12"/>
  <c r="AV454" i="12" s="1"/>
  <c r="AZ253" i="12"/>
  <c r="AY290" i="12"/>
  <c r="BA388" i="12"/>
  <c r="BA389" i="12" s="1"/>
  <c r="AZ389" i="12"/>
  <c r="AZ396" i="12"/>
  <c r="AY397" i="12"/>
  <c r="AZ255" i="12"/>
  <c r="AY257" i="12"/>
  <c r="AY291" i="12" s="1"/>
  <c r="AY368" i="12" s="1"/>
  <c r="AY373" i="12" s="1"/>
  <c r="AV481" i="12"/>
  <c r="AW475" i="12"/>
  <c r="AZ380" i="12"/>
  <c r="AW300" i="12"/>
  <c r="AY404" i="12"/>
  <c r="AX405" i="12"/>
  <c r="AX448" i="12" s="1"/>
  <c r="AZ259" i="12"/>
  <c r="AY261" i="12"/>
  <c r="AX412" i="12"/>
  <c r="AW413" i="12"/>
  <c r="AW451" i="12" s="1"/>
  <c r="AT457" i="12"/>
  <c r="AT460" i="12" s="1"/>
  <c r="AT464" i="12" s="1"/>
  <c r="AT463" i="12"/>
  <c r="AU454" i="12"/>
  <c r="AX359" i="12"/>
  <c r="AX364" i="12" s="1"/>
  <c r="CN9" i="1"/>
  <c r="CL19" i="1"/>
  <c r="CN24" i="1"/>
  <c r="CK24" i="1"/>
  <c r="CM24" i="1"/>
  <c r="CM4" i="1"/>
  <c r="CN4" i="1"/>
  <c r="CK9" i="1"/>
  <c r="CK19" i="1"/>
  <c r="CK4" i="1"/>
  <c r="CM19" i="1"/>
  <c r="CN19" i="1"/>
  <c r="CM29" i="1"/>
  <c r="CN29" i="1"/>
  <c r="CL24" i="1"/>
  <c r="CL4" i="1"/>
  <c r="CL9" i="1"/>
  <c r="CL29" i="1"/>
  <c r="CK29" i="1"/>
  <c r="CO14" i="1"/>
  <c r="CT9" i="1"/>
  <c r="CR9" i="1" s="1"/>
  <c r="CW9" i="1" s="1"/>
  <c r="DB9" i="1" s="1"/>
  <c r="DG9" i="1" s="1"/>
  <c r="DL9" i="1" s="1"/>
  <c r="DQ9" i="1" s="1"/>
  <c r="DV9" i="1" s="1"/>
  <c r="EA9" i="1" s="1"/>
  <c r="EF9" i="1" s="1"/>
  <c r="EK9" i="1" s="1"/>
  <c r="EP9" i="1" s="1"/>
  <c r="CT19" i="1"/>
  <c r="CT29" i="1"/>
  <c r="CT4" i="1"/>
  <c r="CT24" i="1"/>
  <c r="U4" i="10"/>
  <c r="V24" i="11" s="1"/>
  <c r="W108" i="20" l="1"/>
  <c r="W136" i="18" s="1"/>
  <c r="EC66" i="1" s="1"/>
  <c r="EC63" i="1" s="1"/>
  <c r="X105" i="20"/>
  <c r="X133" i="18" s="1"/>
  <c r="X106" i="20"/>
  <c r="X134" i="18" s="1"/>
  <c r="X107" i="20"/>
  <c r="X135" i="18" s="1"/>
  <c r="Z119" i="18"/>
  <c r="ER59" i="1" s="1"/>
  <c r="AU463" i="12"/>
  <c r="Z116" i="18"/>
  <c r="ER49" i="1" s="1"/>
  <c r="Z108" i="18"/>
  <c r="Z122" i="18"/>
  <c r="ER54" i="1" s="1"/>
  <c r="Y19" i="20"/>
  <c r="AT465" i="12"/>
  <c r="AU460" i="12"/>
  <c r="AU464" i="12" s="1"/>
  <c r="Z9" i="20"/>
  <c r="Z26" i="20"/>
  <c r="Z15" i="20"/>
  <c r="Z27" i="20" s="1"/>
  <c r="Y111" i="20"/>
  <c r="Y102" i="20"/>
  <c r="Z111" i="20"/>
  <c r="Z102" i="20"/>
  <c r="Z27" i="18"/>
  <c r="Z19" i="18"/>
  <c r="AY412" i="12"/>
  <c r="AX413" i="12"/>
  <c r="AX451" i="12" s="1"/>
  <c r="BA259" i="12"/>
  <c r="BA261" i="12" s="1"/>
  <c r="AZ261" i="12"/>
  <c r="BA255" i="12"/>
  <c r="BA257" i="12" s="1"/>
  <c r="BA291" i="12" s="1"/>
  <c r="BA368" i="12" s="1"/>
  <c r="BA373" i="12" s="1"/>
  <c r="AZ257" i="12"/>
  <c r="AZ291" i="12" s="1"/>
  <c r="AZ368" i="12" s="1"/>
  <c r="AZ373" i="12" s="1"/>
  <c r="BA396" i="12"/>
  <c r="BA397" i="12" s="1"/>
  <c r="AZ397" i="12"/>
  <c r="BA253" i="12"/>
  <c r="BA290" i="12" s="1"/>
  <c r="AZ290" i="12"/>
  <c r="AX420" i="12"/>
  <c r="AW421" i="12"/>
  <c r="AW454" i="12" s="1"/>
  <c r="AW428" i="12"/>
  <c r="AV429" i="12"/>
  <c r="AX474" i="12"/>
  <c r="AZ404" i="12"/>
  <c r="AY405" i="12"/>
  <c r="AY448" i="12" s="1"/>
  <c r="AX300" i="12"/>
  <c r="AY292" i="12"/>
  <c r="AY376" i="12" s="1"/>
  <c r="AY381" i="12" s="1"/>
  <c r="AY287" i="12"/>
  <c r="BA380" i="12"/>
  <c r="AX475" i="12"/>
  <c r="AY359" i="12"/>
  <c r="AY364" i="12" s="1"/>
  <c r="AW473" i="12"/>
  <c r="AW480" i="12" s="1"/>
  <c r="AW481" i="12" s="1"/>
  <c r="CL14" i="1"/>
  <c r="CQ29" i="1"/>
  <c r="CP9" i="1"/>
  <c r="CU9" i="1" s="1"/>
  <c r="CZ9" i="1" s="1"/>
  <c r="DE9" i="1" s="1"/>
  <c r="DJ9" i="1" s="1"/>
  <c r="DO9" i="1" s="1"/>
  <c r="DT9" i="1" s="1"/>
  <c r="DY9" i="1" s="1"/>
  <c r="ED9" i="1" s="1"/>
  <c r="EI9" i="1" s="1"/>
  <c r="EN9" i="1" s="1"/>
  <c r="CS4" i="1"/>
  <c r="CR4" i="1"/>
  <c r="CR24" i="1"/>
  <c r="CP24" i="1"/>
  <c r="CS24" i="1"/>
  <c r="CQ19" i="1"/>
  <c r="CM14" i="1"/>
  <c r="CN14" i="1"/>
  <c r="CP29" i="1"/>
  <c r="CQ9" i="1"/>
  <c r="CV9" i="1" s="1"/>
  <c r="DA9" i="1" s="1"/>
  <c r="DF9" i="1" s="1"/>
  <c r="DK9" i="1" s="1"/>
  <c r="DP9" i="1" s="1"/>
  <c r="DU9" i="1" s="1"/>
  <c r="DZ9" i="1" s="1"/>
  <c r="EE9" i="1" s="1"/>
  <c r="EJ9" i="1" s="1"/>
  <c r="EO9" i="1" s="1"/>
  <c r="CQ4" i="1"/>
  <c r="CQ24" i="1"/>
  <c r="CS29" i="1"/>
  <c r="CR29" i="1"/>
  <c r="CS19" i="1"/>
  <c r="CR19" i="1"/>
  <c r="CP4" i="1"/>
  <c r="CK14" i="1"/>
  <c r="CP19" i="1"/>
  <c r="CS9" i="1"/>
  <c r="CX9" i="1" s="1"/>
  <c r="DC9" i="1" s="1"/>
  <c r="DH9" i="1" s="1"/>
  <c r="DM9" i="1" s="1"/>
  <c r="DR9" i="1" s="1"/>
  <c r="DW9" i="1" s="1"/>
  <c r="EB9" i="1" s="1"/>
  <c r="EG9" i="1" s="1"/>
  <c r="EL9" i="1" s="1"/>
  <c r="EQ9" i="1" s="1"/>
  <c r="CT14" i="1"/>
  <c r="N109" i="18"/>
  <c r="N111" i="18" s="1"/>
  <c r="CY4" i="1"/>
  <c r="CY24" i="1"/>
  <c r="DD19" i="1"/>
  <c r="CY19" i="1"/>
  <c r="CY29" i="1"/>
  <c r="Y105" i="20" l="1"/>
  <c r="Y133" i="18" s="1"/>
  <c r="Y106" i="20"/>
  <c r="Y134" i="18" s="1"/>
  <c r="Y107" i="20"/>
  <c r="Y135" i="18" s="1"/>
  <c r="Z105" i="20"/>
  <c r="Z133" i="18" s="1"/>
  <c r="Z106" i="20"/>
  <c r="Z134" i="18" s="1"/>
  <c r="Z107" i="20"/>
  <c r="Z135" i="18" s="1"/>
  <c r="X108" i="20"/>
  <c r="X136" i="18" s="1"/>
  <c r="EH66" i="1" s="1"/>
  <c r="EH63" i="1" s="1"/>
  <c r="AU465" i="12"/>
  <c r="Z19" i="20"/>
  <c r="AY300" i="12"/>
  <c r="AY475" i="12"/>
  <c r="AX428" i="12"/>
  <c r="AW429" i="12"/>
  <c r="AY420" i="12"/>
  <c r="AX421" i="12"/>
  <c r="BA359" i="12"/>
  <c r="BA364" i="12" s="1"/>
  <c r="BA292" i="12"/>
  <c r="BA376" i="12" s="1"/>
  <c r="BA381" i="12" s="1"/>
  <c r="BA287" i="12"/>
  <c r="AZ412" i="12"/>
  <c r="AY413" i="12"/>
  <c r="AY451" i="12" s="1"/>
  <c r="AY474" i="12"/>
  <c r="BA404" i="12"/>
  <c r="BA405" i="12" s="1"/>
  <c r="BA448" i="12" s="1"/>
  <c r="AZ405" i="12"/>
  <c r="AZ448" i="12" s="1"/>
  <c r="AX473" i="12"/>
  <c r="AX480" i="12" s="1"/>
  <c r="AX481" i="12" s="1"/>
  <c r="AV457" i="12"/>
  <c r="AV460" i="12" s="1"/>
  <c r="AV464" i="12" s="1"/>
  <c r="AV463" i="12"/>
  <c r="AZ359" i="12"/>
  <c r="AZ364" i="12" s="1"/>
  <c r="AZ292" i="12"/>
  <c r="AZ376" i="12" s="1"/>
  <c r="AZ381" i="12" s="1"/>
  <c r="AZ287" i="12"/>
  <c r="CU29" i="1"/>
  <c r="CS14" i="1"/>
  <c r="CR14" i="1"/>
  <c r="CV29" i="1"/>
  <c r="CQ14" i="1"/>
  <c r="CU19" i="1"/>
  <c r="CP14" i="1"/>
  <c r="CU4" i="1"/>
  <c r="CW19" i="1"/>
  <c r="CX19" i="1"/>
  <c r="CW29" i="1"/>
  <c r="CX29" i="1"/>
  <c r="CV24" i="1"/>
  <c r="CV4" i="1"/>
  <c r="CV19" i="1"/>
  <c r="CX24" i="1"/>
  <c r="CU24" i="1"/>
  <c r="CW24" i="1"/>
  <c r="CW4" i="1"/>
  <c r="CX4" i="1"/>
  <c r="DD24" i="1"/>
  <c r="DD29" i="1"/>
  <c r="DD4" i="1"/>
  <c r="O109" i="18"/>
  <c r="O111" i="18" s="1"/>
  <c r="N130" i="18"/>
  <c r="N140" i="18" s="1"/>
  <c r="N129" i="18"/>
  <c r="N139" i="18" s="1"/>
  <c r="N128" i="18"/>
  <c r="N138" i="18" s="1"/>
  <c r="CY14" i="1"/>
  <c r="Z108" i="20" l="1"/>
  <c r="Z136" i="18" s="1"/>
  <c r="ER66" i="1" s="1"/>
  <c r="ER63" i="1" s="1"/>
  <c r="Y108" i="20"/>
  <c r="Y136" i="18" s="1"/>
  <c r="CJ61" i="1"/>
  <c r="CJ56" i="1"/>
  <c r="AY473" i="12"/>
  <c r="AY480" i="12" s="1"/>
  <c r="AY481" i="12" s="1"/>
  <c r="CJ51" i="1"/>
  <c r="CJ50" i="1"/>
  <c r="CI50" i="1" s="1"/>
  <c r="CJ55" i="1"/>
  <c r="CI55" i="1" s="1"/>
  <c r="CJ60" i="1"/>
  <c r="CI60" i="1" s="1"/>
  <c r="AZ300" i="12"/>
  <c r="BA412" i="12"/>
  <c r="BA413" i="12" s="1"/>
  <c r="BA451" i="12" s="1"/>
  <c r="AZ413" i="12"/>
  <c r="AZ451" i="12" s="1"/>
  <c r="BA474" i="12"/>
  <c r="AZ420" i="12"/>
  <c r="AY421" i="12"/>
  <c r="AY428" i="12"/>
  <c r="AX429" i="12"/>
  <c r="AX457" i="12" s="1"/>
  <c r="AZ474" i="12"/>
  <c r="AV465" i="12"/>
  <c r="BA300" i="12"/>
  <c r="AX454" i="12"/>
  <c r="AW457" i="12"/>
  <c r="AW460" i="12" s="1"/>
  <c r="AW464" i="12" s="1"/>
  <c r="AW463" i="12"/>
  <c r="AZ475" i="12"/>
  <c r="CV14" i="1"/>
  <c r="DA29" i="1"/>
  <c r="CW14" i="1"/>
  <c r="CX14" i="1"/>
  <c r="CZ29" i="1"/>
  <c r="DC4" i="1"/>
  <c r="DB4" i="1"/>
  <c r="DB24" i="1"/>
  <c r="CZ24" i="1"/>
  <c r="DC24" i="1"/>
  <c r="DA19" i="1"/>
  <c r="DA4" i="1"/>
  <c r="DA24" i="1"/>
  <c r="DC29" i="1"/>
  <c r="DB29" i="1"/>
  <c r="DC19" i="1"/>
  <c r="DB19" i="1"/>
  <c r="CZ4" i="1"/>
  <c r="CU14" i="1"/>
  <c r="CZ19" i="1"/>
  <c r="DI24" i="1"/>
  <c r="DI29" i="1"/>
  <c r="DI4" i="1"/>
  <c r="O129" i="18"/>
  <c r="O139" i="18" s="1"/>
  <c r="O128" i="18"/>
  <c r="O138" i="18" s="1"/>
  <c r="O130" i="18"/>
  <c r="O140" i="18" s="1"/>
  <c r="DN4" i="1"/>
  <c r="DN24" i="1"/>
  <c r="CH56" i="1" l="1"/>
  <c r="CG56" i="1"/>
  <c r="CO56" i="1"/>
  <c r="CG51" i="1"/>
  <c r="CF51" i="1"/>
  <c r="CH51" i="1"/>
  <c r="AX460" i="12"/>
  <c r="AX464" i="12" s="1"/>
  <c r="AW465" i="12"/>
  <c r="CO55" i="1"/>
  <c r="CO60" i="1"/>
  <c r="CO51" i="1"/>
  <c r="CO50" i="1"/>
  <c r="AX463" i="12"/>
  <c r="AY454" i="12"/>
  <c r="BA475" i="12"/>
  <c r="BA473" i="12" s="1"/>
  <c r="BA480" i="12" s="1"/>
  <c r="AZ473" i="12"/>
  <c r="AZ480" i="12" s="1"/>
  <c r="AZ481" i="12" s="1"/>
  <c r="AZ428" i="12"/>
  <c r="AY429" i="12"/>
  <c r="AY457" i="12" s="1"/>
  <c r="BA420" i="12"/>
  <c r="BA421" i="12" s="1"/>
  <c r="AZ421" i="12"/>
  <c r="DE29" i="1"/>
  <c r="DF29" i="1"/>
  <c r="DE19" i="1"/>
  <c r="DE4" i="1"/>
  <c r="DG19" i="1"/>
  <c r="DH19" i="1"/>
  <c r="DG29" i="1"/>
  <c r="DH29" i="1"/>
  <c r="DF24" i="1"/>
  <c r="DF4" i="1"/>
  <c r="DF19" i="1"/>
  <c r="DH24" i="1"/>
  <c r="DE24" i="1"/>
  <c r="DG24" i="1"/>
  <c r="DG4" i="1"/>
  <c r="DH4" i="1"/>
  <c r="P109" i="18"/>
  <c r="P111" i="18" s="1"/>
  <c r="DN29" i="1"/>
  <c r="DD14" i="1"/>
  <c r="CI56" i="1" l="1"/>
  <c r="CG53" i="1"/>
  <c r="CG185" i="1" s="1"/>
  <c r="CH53" i="1"/>
  <c r="CH185" i="1" s="1"/>
  <c r="CF53" i="1"/>
  <c r="CF185" i="1" s="1"/>
  <c r="AX465" i="12"/>
  <c r="AZ454" i="12"/>
  <c r="AY460" i="12"/>
  <c r="AY464" i="12" s="1"/>
  <c r="BA454" i="12"/>
  <c r="BA428" i="12"/>
  <c r="BA429" i="12" s="1"/>
  <c r="BA457" i="12" s="1"/>
  <c r="AZ429" i="12"/>
  <c r="AZ457" i="12" s="1"/>
  <c r="BA481" i="12"/>
  <c r="AY463" i="12"/>
  <c r="DM4" i="1"/>
  <c r="DL4" i="1"/>
  <c r="DL24" i="1"/>
  <c r="DJ24" i="1"/>
  <c r="DM24" i="1"/>
  <c r="DK19" i="1"/>
  <c r="DK4" i="1"/>
  <c r="DK24" i="1"/>
  <c r="DM29" i="1"/>
  <c r="DL29" i="1"/>
  <c r="DM19" i="1"/>
  <c r="DL19" i="1"/>
  <c r="DJ4" i="1"/>
  <c r="CZ14" i="1"/>
  <c r="DJ19" i="1"/>
  <c r="DA14" i="1"/>
  <c r="DK29" i="1"/>
  <c r="DB14" i="1"/>
  <c r="DC14" i="1"/>
  <c r="DJ29" i="1"/>
  <c r="K110" i="18"/>
  <c r="K112" i="18" s="1"/>
  <c r="K113" i="18" s="1"/>
  <c r="P129" i="18"/>
  <c r="P139" i="18" s="1"/>
  <c r="P128" i="18"/>
  <c r="P138" i="18" s="1"/>
  <c r="P130" i="18"/>
  <c r="P140" i="18" s="1"/>
  <c r="Q109" i="18"/>
  <c r="Q111" i="18" s="1"/>
  <c r="DI14" i="1"/>
  <c r="DS4" i="1"/>
  <c r="DS24" i="1"/>
  <c r="DS29" i="1"/>
  <c r="CT56" i="1" l="1"/>
  <c r="CT51" i="1"/>
  <c r="CT50" i="1"/>
  <c r="CT55" i="1"/>
  <c r="CT60" i="1"/>
  <c r="BA460" i="12"/>
  <c r="BA464" i="12" s="1"/>
  <c r="AZ463" i="12"/>
  <c r="BA463" i="12"/>
  <c r="AY465" i="12"/>
  <c r="AZ460" i="12"/>
  <c r="AZ464" i="12" s="1"/>
  <c r="DH14" i="1"/>
  <c r="DF14" i="1"/>
  <c r="DO19" i="1"/>
  <c r="DO29" i="1"/>
  <c r="DG14" i="1"/>
  <c r="DP29" i="1"/>
  <c r="DE14" i="1"/>
  <c r="DO4" i="1"/>
  <c r="DQ19" i="1"/>
  <c r="DR19" i="1"/>
  <c r="DQ29" i="1"/>
  <c r="DR29" i="1"/>
  <c r="DP24" i="1"/>
  <c r="DP4" i="1"/>
  <c r="DP19" i="1"/>
  <c r="DR24" i="1"/>
  <c r="DO24" i="1"/>
  <c r="DQ24" i="1"/>
  <c r="DQ4" i="1"/>
  <c r="DR4" i="1"/>
  <c r="DX24" i="1"/>
  <c r="DX4" i="1"/>
  <c r="Q128" i="18"/>
  <c r="Q138" i="18" s="1"/>
  <c r="Q129" i="18"/>
  <c r="Q139" i="18" s="1"/>
  <c r="Q130" i="18"/>
  <c r="Q140" i="18" s="1"/>
  <c r="DN14" i="1"/>
  <c r="DX29" i="1"/>
  <c r="DS14" i="1"/>
  <c r="CY56" i="1" l="1"/>
  <c r="CY55" i="1"/>
  <c r="CY60" i="1"/>
  <c r="CY51" i="1"/>
  <c r="CY50" i="1"/>
  <c r="AZ465" i="12"/>
  <c r="BA465" i="12"/>
  <c r="DV19" i="1"/>
  <c r="DW4" i="1"/>
  <c r="DV4" i="1"/>
  <c r="DV24" i="1"/>
  <c r="DT24" i="1"/>
  <c r="DW24" i="1"/>
  <c r="DU19" i="1"/>
  <c r="DU4" i="1"/>
  <c r="DU24" i="1"/>
  <c r="DW29" i="1"/>
  <c r="DV29" i="1"/>
  <c r="DW19" i="1"/>
  <c r="DT4" i="1"/>
  <c r="DJ14" i="1"/>
  <c r="DU29" i="1"/>
  <c r="DL14" i="1"/>
  <c r="DT29" i="1"/>
  <c r="DT19" i="1"/>
  <c r="DK14" i="1"/>
  <c r="DM14" i="1"/>
  <c r="L110" i="18"/>
  <c r="L112" i="18" s="1"/>
  <c r="L113" i="18" s="1"/>
  <c r="R109" i="18"/>
  <c r="R111" i="18" s="1"/>
  <c r="EC14" i="1"/>
  <c r="EC4" i="1"/>
  <c r="EC24" i="1"/>
  <c r="EC29" i="1"/>
  <c r="DX14" i="1"/>
  <c r="DR14" i="1" l="1"/>
  <c r="DP14" i="1"/>
  <c r="DY19" i="1"/>
  <c r="DY29" i="1"/>
  <c r="DQ14" i="1"/>
  <c r="DZ29" i="1"/>
  <c r="DO14" i="1"/>
  <c r="DY4" i="1"/>
  <c r="EB19" i="1"/>
  <c r="EA29" i="1"/>
  <c r="EB29" i="1"/>
  <c r="DZ24" i="1"/>
  <c r="DZ4" i="1"/>
  <c r="EB24" i="1"/>
  <c r="DY24" i="1"/>
  <c r="EA24" i="1"/>
  <c r="EA4" i="1"/>
  <c r="EB4" i="1"/>
  <c r="EA19" i="1"/>
  <c r="DZ19" i="1"/>
  <c r="R129" i="18"/>
  <c r="R139" i="18" s="1"/>
  <c r="R128" i="18"/>
  <c r="R138" i="18" s="1"/>
  <c r="R130" i="18"/>
  <c r="R140" i="18" s="1"/>
  <c r="EH14" i="1"/>
  <c r="EH4" i="1"/>
  <c r="EH24" i="1"/>
  <c r="EM4" i="1"/>
  <c r="EH29" i="1"/>
  <c r="DD56" i="1" l="1"/>
  <c r="DD55" i="1"/>
  <c r="DD60" i="1"/>
  <c r="DD51" i="1"/>
  <c r="DD50" i="1"/>
  <c r="CE18" i="1"/>
  <c r="CE178" i="1" s="1"/>
  <c r="EE19" i="1"/>
  <c r="EF19" i="1"/>
  <c r="EG4" i="1"/>
  <c r="EF4" i="1"/>
  <c r="EF24" i="1"/>
  <c r="ED24" i="1"/>
  <c r="EG24" i="1"/>
  <c r="EE4" i="1"/>
  <c r="EE24" i="1"/>
  <c r="EG29" i="1"/>
  <c r="EF29" i="1"/>
  <c r="EG19" i="1"/>
  <c r="ED4" i="1"/>
  <c r="DT14" i="1"/>
  <c r="EE29" i="1"/>
  <c r="DV14" i="1"/>
  <c r="ED29" i="1"/>
  <c r="ED19" i="1"/>
  <c r="DU14" i="1"/>
  <c r="DW14" i="1"/>
  <c r="ER4" i="1"/>
  <c r="M110" i="18"/>
  <c r="M112" i="18" s="1"/>
  <c r="M113" i="18" s="1"/>
  <c r="S109" i="18"/>
  <c r="S111" i="18" s="1"/>
  <c r="CJ20" i="1"/>
  <c r="CJ18" i="1" s="1"/>
  <c r="CJ178" i="1" s="1"/>
  <c r="CI20" i="1" l="1"/>
  <c r="CE8" i="1"/>
  <c r="CE176" i="1" s="1"/>
  <c r="EB14" i="1"/>
  <c r="DZ14" i="1"/>
  <c r="EI19" i="1"/>
  <c r="EI29" i="1"/>
  <c r="EA14" i="1"/>
  <c r="EJ29" i="1"/>
  <c r="DY14" i="1"/>
  <c r="EI4" i="1"/>
  <c r="EL19" i="1"/>
  <c r="EK29" i="1"/>
  <c r="EL29" i="1"/>
  <c r="EJ24" i="1"/>
  <c r="EJ4" i="1"/>
  <c r="EL24" i="1"/>
  <c r="EI24" i="1"/>
  <c r="EK24" i="1"/>
  <c r="EK4" i="1"/>
  <c r="EL4" i="1"/>
  <c r="EK19" i="1"/>
  <c r="EJ19" i="1"/>
  <c r="CF20" i="1"/>
  <c r="CC18" i="1"/>
  <c r="CC178" i="1" s="1"/>
  <c r="CH20" i="1"/>
  <c r="CG20" i="1"/>
  <c r="CB18" i="1"/>
  <c r="CB178" i="1" s="1"/>
  <c r="S129" i="18"/>
  <c r="S139" i="18" s="1"/>
  <c r="S128" i="18"/>
  <c r="S138" i="18" s="1"/>
  <c r="S130" i="18"/>
  <c r="S140" i="18" s="1"/>
  <c r="T109" i="18"/>
  <c r="T111" i="18" s="1"/>
  <c r="ER14" i="1"/>
  <c r="CJ10" i="1"/>
  <c r="CO20" i="1"/>
  <c r="CO18" i="1" s="1"/>
  <c r="CO178" i="1" s="1"/>
  <c r="CJ8" i="1" l="1"/>
  <c r="CJ176" i="1" s="1"/>
  <c r="CI10" i="1"/>
  <c r="DI56" i="1"/>
  <c r="CI51" i="1"/>
  <c r="CD18" i="1"/>
  <c r="CD178" i="1" s="1"/>
  <c r="DI51" i="1"/>
  <c r="DI50" i="1"/>
  <c r="DI55" i="1"/>
  <c r="DI60" i="1"/>
  <c r="CL20" i="1"/>
  <c r="CG18" i="1"/>
  <c r="CG178" i="1" s="1"/>
  <c r="CK20" i="1"/>
  <c r="CF18" i="1"/>
  <c r="CF178" i="1" s="1"/>
  <c r="EO19" i="1"/>
  <c r="EQ4" i="1"/>
  <c r="EP4" i="1"/>
  <c r="EP24" i="1"/>
  <c r="EN24" i="1"/>
  <c r="EQ24" i="1"/>
  <c r="EO4" i="1"/>
  <c r="EO24" i="1"/>
  <c r="EQ29" i="1"/>
  <c r="EP29" i="1"/>
  <c r="EQ19" i="1"/>
  <c r="EN4" i="1"/>
  <c r="ED14" i="1"/>
  <c r="EO29" i="1"/>
  <c r="EF14" i="1"/>
  <c r="EN29" i="1"/>
  <c r="EN19" i="1"/>
  <c r="EE14" i="1"/>
  <c r="EG14" i="1"/>
  <c r="CE23" i="1"/>
  <c r="CE179" i="1" s="1"/>
  <c r="CE3" i="1"/>
  <c r="CM20" i="1"/>
  <c r="CH18" i="1"/>
  <c r="CH178" i="1" s="1"/>
  <c r="EP19" i="1"/>
  <c r="CD8" i="1"/>
  <c r="CD176" i="1" s="1"/>
  <c r="CN20" i="1"/>
  <c r="CI18" i="1"/>
  <c r="CI178" i="1" s="1"/>
  <c r="N110" i="18"/>
  <c r="N112" i="18" s="1"/>
  <c r="N113" i="18" s="1"/>
  <c r="CJ48" i="1"/>
  <c r="CJ184" i="1" s="1"/>
  <c r="T129" i="18"/>
  <c r="T139" i="18" s="1"/>
  <c r="T128" i="18"/>
  <c r="T138" i="18" s="1"/>
  <c r="T130" i="18"/>
  <c r="T140" i="18" s="1"/>
  <c r="CO10" i="1"/>
  <c r="CO8" i="1" s="1"/>
  <c r="CO176" i="1" s="1"/>
  <c r="EM14" i="1"/>
  <c r="CJ5" i="1"/>
  <c r="CT20" i="1"/>
  <c r="CT18" i="1" s="1"/>
  <c r="CT178" i="1" s="1"/>
  <c r="CJ25" i="1"/>
  <c r="CJ23" i="1" s="1"/>
  <c r="CJ179" i="1" s="1"/>
  <c r="CJ3" i="1" l="1"/>
  <c r="CI5" i="1"/>
  <c r="DN56" i="1"/>
  <c r="CE53" i="1"/>
  <c r="DN51" i="1"/>
  <c r="DN50" i="1"/>
  <c r="DN55" i="1"/>
  <c r="DN60" i="1"/>
  <c r="CI25" i="1"/>
  <c r="CD23" i="1"/>
  <c r="CD179" i="1" s="1"/>
  <c r="CG8" i="1"/>
  <c r="CL10" i="1"/>
  <c r="CC23" i="1"/>
  <c r="CC89" i="1" s="1"/>
  <c r="CH25" i="1"/>
  <c r="CQ20" i="1"/>
  <c r="CL18" i="1"/>
  <c r="CS20" i="1"/>
  <c r="CN18" i="1"/>
  <c r="CK10" i="1"/>
  <c r="CF8" i="1"/>
  <c r="CI8" i="1"/>
  <c r="CI176" i="1" s="1"/>
  <c r="CN10" i="1"/>
  <c r="CR20" i="1"/>
  <c r="CM18" i="1"/>
  <c r="CE175" i="1"/>
  <c r="CD3" i="1"/>
  <c r="CG25" i="1"/>
  <c r="CB23" i="1"/>
  <c r="CF25" i="1"/>
  <c r="CM10" i="1"/>
  <c r="CH8" i="1"/>
  <c r="EL14" i="1"/>
  <c r="EJ14" i="1"/>
  <c r="EK14" i="1"/>
  <c r="EI14" i="1"/>
  <c r="CP20" i="1"/>
  <c r="CK18" i="1"/>
  <c r="U109" i="18"/>
  <c r="U111" i="18" s="1"/>
  <c r="CO5" i="1"/>
  <c r="CO3" i="1" s="1"/>
  <c r="CO25" i="1"/>
  <c r="CO23" i="1" s="1"/>
  <c r="CO179" i="1" s="1"/>
  <c r="CY20" i="1"/>
  <c r="CY18" i="1" s="1"/>
  <c r="CY178" i="1" s="1"/>
  <c r="CT10" i="1"/>
  <c r="CT8" i="1" s="1"/>
  <c r="CT176" i="1" s="1"/>
  <c r="CJ175" i="1" l="1"/>
  <c r="CF176" i="1"/>
  <c r="CH176" i="1"/>
  <c r="CG176" i="1"/>
  <c r="CD53" i="1"/>
  <c r="CD185" i="1" s="1"/>
  <c r="CI53" i="1"/>
  <c r="CE185" i="1"/>
  <c r="CI61" i="1"/>
  <c r="CJ53" i="1"/>
  <c r="CJ185" i="1" s="1"/>
  <c r="CJ31" i="1"/>
  <c r="CG31" i="1" s="1"/>
  <c r="CJ30" i="1"/>
  <c r="CI30" i="1" s="1"/>
  <c r="CO175" i="1"/>
  <c r="CU20" i="1"/>
  <c r="CP18" i="1"/>
  <c r="EP14" i="1"/>
  <c r="EO14" i="1"/>
  <c r="EQ14" i="1"/>
  <c r="CM8" i="1"/>
  <c r="CR10" i="1"/>
  <c r="CB179" i="1"/>
  <c r="CB195" i="1" s="1"/>
  <c r="CB172" i="1" s="1"/>
  <c r="CB89" i="1"/>
  <c r="CL5" i="1"/>
  <c r="CG3" i="1"/>
  <c r="CG175" i="1" s="1"/>
  <c r="CN5" i="1"/>
  <c r="CI3" i="1"/>
  <c r="CW20" i="1"/>
  <c r="CR18" i="1"/>
  <c r="CS10" i="1"/>
  <c r="CN8" i="1"/>
  <c r="CE28" i="1"/>
  <c r="CE180" i="1" s="1"/>
  <c r="CV20" i="1"/>
  <c r="CQ18" i="1"/>
  <c r="CM25" i="1"/>
  <c r="CH23" i="1"/>
  <c r="CH179" i="1" s="1"/>
  <c r="CK5" i="1"/>
  <c r="CF3" i="1"/>
  <c r="CF175" i="1" s="1"/>
  <c r="CQ10" i="1"/>
  <c r="CL8" i="1"/>
  <c r="EN14" i="1"/>
  <c r="CK25" i="1"/>
  <c r="CF23" i="1"/>
  <c r="CF179" i="1" s="1"/>
  <c r="CL25" i="1"/>
  <c r="CG23" i="1"/>
  <c r="CG179" i="1" s="1"/>
  <c r="CD175" i="1"/>
  <c r="CK8" i="1"/>
  <c r="CP10" i="1"/>
  <c r="CX20" i="1"/>
  <c r="CS18" i="1"/>
  <c r="CC179" i="1"/>
  <c r="CM5" i="1"/>
  <c r="CH3" i="1"/>
  <c r="CH175" i="1" s="1"/>
  <c r="CN25" i="1"/>
  <c r="CI23" i="1"/>
  <c r="CI179" i="1" s="1"/>
  <c r="O110" i="18"/>
  <c r="O112" i="18" s="1"/>
  <c r="O113" i="18" s="1"/>
  <c r="CO48" i="1"/>
  <c r="CO184" i="1" s="1"/>
  <c r="V109" i="18"/>
  <c r="V111" i="18" s="1"/>
  <c r="U128" i="18"/>
  <c r="U138" i="18" s="1"/>
  <c r="U129" i="18"/>
  <c r="U139" i="18" s="1"/>
  <c r="U130" i="18"/>
  <c r="U140" i="18" s="1"/>
  <c r="CY10" i="1"/>
  <c r="CY8" i="1" s="1"/>
  <c r="CY176" i="1" s="1"/>
  <c r="CT5" i="1"/>
  <c r="CT3" i="1" s="1"/>
  <c r="DD20" i="1"/>
  <c r="DD18" i="1" s="1"/>
  <c r="DD178" i="1" s="1"/>
  <c r="CT25" i="1"/>
  <c r="CT23" i="1" s="1"/>
  <c r="CT179" i="1" s="1"/>
  <c r="CI175" i="1" l="1"/>
  <c r="DS56" i="1"/>
  <c r="CJ58" i="1"/>
  <c r="CJ91" i="1" s="1"/>
  <c r="CG61" i="1"/>
  <c r="CF61" i="1"/>
  <c r="CH61" i="1"/>
  <c r="CI185" i="1"/>
  <c r="CF31" i="1"/>
  <c r="CH31" i="1"/>
  <c r="CH28" i="1" s="1"/>
  <c r="CH180" i="1" s="1"/>
  <c r="CI31" i="1"/>
  <c r="CG28" i="1"/>
  <c r="CG180" i="1" s="1"/>
  <c r="DS60" i="1"/>
  <c r="DS55" i="1"/>
  <c r="DS51" i="1"/>
  <c r="DS50" i="1"/>
  <c r="BZ45" i="1"/>
  <c r="CJ36" i="1"/>
  <c r="CG36" i="1" s="1"/>
  <c r="CJ35" i="1"/>
  <c r="CF35" i="1" s="1"/>
  <c r="CT175" i="1"/>
  <c r="CS25" i="1"/>
  <c r="CN23" i="1"/>
  <c r="CC130" i="1"/>
  <c r="CC90" i="1"/>
  <c r="CU10" i="1"/>
  <c r="CP8" i="1"/>
  <c r="CQ25" i="1"/>
  <c r="CL23" i="1"/>
  <c r="CP25" i="1"/>
  <c r="CK23" i="1"/>
  <c r="CQ8" i="1"/>
  <c r="CV10" i="1"/>
  <c r="CP5" i="1"/>
  <c r="CK3" i="1"/>
  <c r="CR25" i="1"/>
  <c r="CM23" i="1"/>
  <c r="DA20" i="1"/>
  <c r="CV18" i="1"/>
  <c r="CB130" i="1"/>
  <c r="CB173" i="1" s="1"/>
  <c r="CB90" i="1"/>
  <c r="CW10" i="1"/>
  <c r="CR8" i="1"/>
  <c r="CJ28" i="1"/>
  <c r="CE33" i="1"/>
  <c r="CE181" i="1" s="1"/>
  <c r="CO31" i="1"/>
  <c r="CO30" i="1"/>
  <c r="CJ15" i="1"/>
  <c r="CJ13" i="1" s="1"/>
  <c r="CR5" i="1"/>
  <c r="CM3" i="1"/>
  <c r="DC20" i="1"/>
  <c r="CX18" i="1"/>
  <c r="CE13" i="1"/>
  <c r="CD28" i="1"/>
  <c r="CS8" i="1"/>
  <c r="CX10" i="1"/>
  <c r="DB20" i="1"/>
  <c r="CW18" i="1"/>
  <c r="CS5" i="1"/>
  <c r="CN3" i="1"/>
  <c r="CQ5" i="1"/>
  <c r="CL3" i="1"/>
  <c r="CZ20" i="1"/>
  <c r="CU18" i="1"/>
  <c r="W109" i="18"/>
  <c r="W111" i="18" s="1"/>
  <c r="V129" i="18"/>
  <c r="V139" i="18" s="1"/>
  <c r="V128" i="18"/>
  <c r="V138" i="18" s="1"/>
  <c r="V130" i="18"/>
  <c r="V140" i="18" s="1"/>
  <c r="CY5" i="1"/>
  <c r="CY3" i="1" s="1"/>
  <c r="CY25" i="1"/>
  <c r="CY23" i="1" s="1"/>
  <c r="CY179" i="1" s="1"/>
  <c r="DI20" i="1"/>
  <c r="DI18" i="1" s="1"/>
  <c r="DI178" i="1" s="1"/>
  <c r="CJ40" i="1"/>
  <c r="DD10" i="1"/>
  <c r="DD8" i="1" s="1"/>
  <c r="DD176" i="1" s="1"/>
  <c r="CJ180" i="1" l="1"/>
  <c r="DX56" i="1"/>
  <c r="CJ186" i="1"/>
  <c r="CD180" i="1"/>
  <c r="CF28" i="1"/>
  <c r="CG35" i="1"/>
  <c r="CG33" i="1" s="1"/>
  <c r="CG181" i="1" s="1"/>
  <c r="CH35" i="1"/>
  <c r="CI36" i="1"/>
  <c r="CH36" i="1"/>
  <c r="CM31" i="1"/>
  <c r="CL31" i="1"/>
  <c r="CK31" i="1"/>
  <c r="CO28" i="1"/>
  <c r="CO180" i="1" s="1"/>
  <c r="DX51" i="1"/>
  <c r="DX50" i="1"/>
  <c r="DX55" i="1"/>
  <c r="DX60" i="1"/>
  <c r="CO61" i="1"/>
  <c r="CO58" i="1" s="1"/>
  <c r="CO53" i="1"/>
  <c r="CO185" i="1" s="1"/>
  <c r="CF36" i="1"/>
  <c r="CF33" i="1" s="1"/>
  <c r="CF181" i="1" s="1"/>
  <c r="CF13" i="1"/>
  <c r="CF177" i="1" s="1"/>
  <c r="CG13" i="1"/>
  <c r="CG177" i="1" s="1"/>
  <c r="CJ33" i="1"/>
  <c r="CJ181" i="1" s="1"/>
  <c r="DC10" i="1"/>
  <c r="CX8" i="1"/>
  <c r="CD13" i="1"/>
  <c r="DH20" i="1"/>
  <c r="DC18" i="1"/>
  <c r="CW5" i="1"/>
  <c r="CR3" i="1"/>
  <c r="CI35" i="1"/>
  <c r="CD33" i="1"/>
  <c r="CD181" i="1" s="1"/>
  <c r="DA10" i="1"/>
  <c r="CV8" i="1"/>
  <c r="CU25" i="1"/>
  <c r="CP23" i="1"/>
  <c r="CV25" i="1"/>
  <c r="CQ23" i="1"/>
  <c r="CU8" i="1"/>
  <c r="CZ10" i="1"/>
  <c r="CN31" i="1"/>
  <c r="CC3" i="4"/>
  <c r="CC146" i="1"/>
  <c r="BY45" i="1"/>
  <c r="BY43" i="1" s="1"/>
  <c r="BZ43" i="1"/>
  <c r="CO36" i="1"/>
  <c r="CO35" i="1"/>
  <c r="CT31" i="1"/>
  <c r="CT30" i="1"/>
  <c r="CD38" i="1"/>
  <c r="CD182" i="1" s="1"/>
  <c r="CY175" i="1"/>
  <c r="CO15" i="1"/>
  <c r="CO13" i="1" s="1"/>
  <c r="DE20" i="1"/>
  <c r="CZ18" i="1"/>
  <c r="CV5" i="1"/>
  <c r="CQ3" i="1"/>
  <c r="CX5" i="1"/>
  <c r="CS3" i="1"/>
  <c r="DG20" i="1"/>
  <c r="DB18" i="1"/>
  <c r="CM30" i="1"/>
  <c r="CN30" i="1"/>
  <c r="CI28" i="1"/>
  <c r="CE177" i="1"/>
  <c r="CJ177" i="1"/>
  <c r="CE38" i="1"/>
  <c r="CH40" i="1"/>
  <c r="CI40" i="1" s="1"/>
  <c r="CW8" i="1"/>
  <c r="DB10" i="1"/>
  <c r="CB3" i="4"/>
  <c r="CB146" i="1"/>
  <c r="CK30" i="1"/>
  <c r="CL30" i="1"/>
  <c r="DF20" i="1"/>
  <c r="DA18" i="1"/>
  <c r="CW25" i="1"/>
  <c r="CR23" i="1"/>
  <c r="CU5" i="1"/>
  <c r="CP3" i="1"/>
  <c r="CX25" i="1"/>
  <c r="CS23" i="1"/>
  <c r="P110" i="18"/>
  <c r="P112" i="18" s="1"/>
  <c r="P113" i="18" s="1"/>
  <c r="CT48" i="1"/>
  <c r="CT184" i="1" s="1"/>
  <c r="X109" i="18"/>
  <c r="X111" i="18" s="1"/>
  <c r="W129" i="18"/>
  <c r="W139" i="18" s="1"/>
  <c r="W128" i="18"/>
  <c r="W138" i="18" s="1"/>
  <c r="W130" i="18"/>
  <c r="W140" i="18" s="1"/>
  <c r="DI10" i="1"/>
  <c r="DI8" i="1" s="1"/>
  <c r="DI176" i="1" s="1"/>
  <c r="DD5" i="1"/>
  <c r="DD3" i="1" s="1"/>
  <c r="CJ41" i="1"/>
  <c r="CG41" i="1" s="1"/>
  <c r="DN20" i="1"/>
  <c r="DN18" i="1" s="1"/>
  <c r="DN178" i="1" s="1"/>
  <c r="DD25" i="1"/>
  <c r="DD23" i="1" s="1"/>
  <c r="DD179" i="1" s="1"/>
  <c r="CI180" i="1" l="1"/>
  <c r="CF180" i="1"/>
  <c r="EC56" i="1"/>
  <c r="CN36" i="1"/>
  <c r="CE182" i="1"/>
  <c r="CO91" i="1"/>
  <c r="CH33" i="1"/>
  <c r="CR31" i="1"/>
  <c r="CK36" i="1"/>
  <c r="CM36" i="1"/>
  <c r="CL15" i="1"/>
  <c r="CL13" i="1" s="1"/>
  <c r="CQ31" i="1"/>
  <c r="CT28" i="1"/>
  <c r="CT180" i="1" s="1"/>
  <c r="CO33" i="1"/>
  <c r="CO181" i="1" s="1"/>
  <c r="CM15" i="1"/>
  <c r="CM13" i="1" s="1"/>
  <c r="CH13" i="1"/>
  <c r="CH177" i="1" s="1"/>
  <c r="EC55" i="1"/>
  <c r="EC51" i="1"/>
  <c r="EC50" i="1"/>
  <c r="EC60" i="1"/>
  <c r="CO186" i="1"/>
  <c r="CK35" i="1"/>
  <c r="CL35" i="1"/>
  <c r="CJ46" i="1"/>
  <c r="CI46" i="1" s="1"/>
  <c r="CJ45" i="1"/>
  <c r="CI45" i="1" s="1"/>
  <c r="CT36" i="1"/>
  <c r="CT35" i="1"/>
  <c r="CO41" i="1"/>
  <c r="CL41" i="1" s="1"/>
  <c r="CO40" i="1"/>
  <c r="CM40" i="1" s="1"/>
  <c r="DC25" i="1"/>
  <c r="CX23" i="1"/>
  <c r="CZ5" i="1"/>
  <c r="CU3" i="1"/>
  <c r="DB25" i="1"/>
  <c r="CW23" i="1"/>
  <c r="DK20" i="1"/>
  <c r="DF18" i="1"/>
  <c r="CP30" i="1"/>
  <c r="CK28" i="1"/>
  <c r="CK180" i="1" s="1"/>
  <c r="CB101" i="4"/>
  <c r="CB6" i="4"/>
  <c r="CB102" i="4" s="1"/>
  <c r="CS30" i="1"/>
  <c r="CN28" i="1"/>
  <c r="CN180" i="1" s="1"/>
  <c r="CO177" i="1"/>
  <c r="CI41" i="1"/>
  <c r="CH41" i="1"/>
  <c r="CH38" i="1" s="1"/>
  <c r="CH182" i="1" s="1"/>
  <c r="CE43" i="1"/>
  <c r="CE183" i="1" s="1"/>
  <c r="BZ89" i="1"/>
  <c r="BZ183" i="1"/>
  <c r="CC6" i="4"/>
  <c r="CC102" i="4" s="1"/>
  <c r="CC101" i="4"/>
  <c r="DE10" i="1"/>
  <c r="CZ8" i="1"/>
  <c r="CM35" i="1"/>
  <c r="CN35" i="1"/>
  <c r="CI33" i="1"/>
  <c r="CI181" i="1" s="1"/>
  <c r="CG38" i="1"/>
  <c r="CG182" i="1" s="1"/>
  <c r="DB5" i="1"/>
  <c r="CW3" i="1"/>
  <c r="CD177" i="1"/>
  <c r="CL36" i="1"/>
  <c r="CJ38" i="1"/>
  <c r="CY31" i="1"/>
  <c r="CY30" i="1"/>
  <c r="CT15" i="1"/>
  <c r="CT13" i="1" s="1"/>
  <c r="DD175" i="1"/>
  <c r="CQ30" i="1"/>
  <c r="CL28" i="1"/>
  <c r="CL180" i="1" s="1"/>
  <c r="DG10" i="1"/>
  <c r="DB8" i="1"/>
  <c r="CR30" i="1"/>
  <c r="CM28" i="1"/>
  <c r="CM180" i="1" s="1"/>
  <c r="DL20" i="1"/>
  <c r="DG18" i="1"/>
  <c r="DC5" i="1"/>
  <c r="CX3" i="1"/>
  <c r="DA5" i="1"/>
  <c r="CV3" i="1"/>
  <c r="DJ20" i="1"/>
  <c r="DE18" i="1"/>
  <c r="CF41" i="1"/>
  <c r="BY89" i="1"/>
  <c r="BY183" i="1"/>
  <c r="CS31" i="1"/>
  <c r="DA25" i="1"/>
  <c r="CV23" i="1"/>
  <c r="CZ25" i="1"/>
  <c r="CU23" i="1"/>
  <c r="DA8" i="1"/>
  <c r="DF10" i="1"/>
  <c r="CP31" i="1"/>
  <c r="DM20" i="1"/>
  <c r="DH18" i="1"/>
  <c r="CK15" i="1"/>
  <c r="CN15" i="1"/>
  <c r="CI13" i="1"/>
  <c r="CI177" i="1" s="1"/>
  <c r="DC8" i="1"/>
  <c r="DH10" i="1"/>
  <c r="Z109" i="18"/>
  <c r="Z111" i="18" s="1"/>
  <c r="Y109" i="18"/>
  <c r="Y111" i="18" s="1"/>
  <c r="X129" i="18"/>
  <c r="X139" i="18" s="1"/>
  <c r="X128" i="18"/>
  <c r="X138" i="18" s="1"/>
  <c r="X130" i="18"/>
  <c r="X140" i="18" s="1"/>
  <c r="DI5" i="1"/>
  <c r="DI3" i="1" s="1"/>
  <c r="DN10" i="1"/>
  <c r="DN8" i="1" s="1"/>
  <c r="DN176" i="1" s="1"/>
  <c r="DI25" i="1"/>
  <c r="DI23" i="1" s="1"/>
  <c r="DI179" i="1" s="1"/>
  <c r="DS20" i="1"/>
  <c r="DS18" i="1" s="1"/>
  <c r="DS178" i="1" s="1"/>
  <c r="CO45" i="1"/>
  <c r="CH181" i="1" l="1"/>
  <c r="CH148" i="1"/>
  <c r="CG148" i="1"/>
  <c r="EH56" i="1"/>
  <c r="BY195" i="1"/>
  <c r="BZ195" i="1" s="1"/>
  <c r="BZ172" i="1" s="1"/>
  <c r="CX31" i="1"/>
  <c r="CM45" i="1"/>
  <c r="CL40" i="1"/>
  <c r="CL38" i="1" s="1"/>
  <c r="CL182" i="1" s="1"/>
  <c r="CW31" i="1"/>
  <c r="CR36" i="1"/>
  <c r="CS36" i="1"/>
  <c r="CK33" i="1"/>
  <c r="CK181" i="1" s="1"/>
  <c r="CP36" i="1"/>
  <c r="CK41" i="1"/>
  <c r="CP35" i="1"/>
  <c r="CU31" i="1"/>
  <c r="CQ36" i="1"/>
  <c r="CM41" i="1"/>
  <c r="CM38" i="1" s="1"/>
  <c r="CM182" i="1" s="1"/>
  <c r="CN41" i="1"/>
  <c r="CQ35" i="1"/>
  <c r="CI38" i="1"/>
  <c r="CI182" i="1" s="1"/>
  <c r="EH55" i="1"/>
  <c r="EH60" i="1"/>
  <c r="EH51" i="1"/>
  <c r="EH50" i="1"/>
  <c r="CT61" i="1"/>
  <c r="CT58" i="1" s="1"/>
  <c r="CT53" i="1"/>
  <c r="CT185" i="1" s="1"/>
  <c r="CK40" i="1"/>
  <c r="CN40" i="1"/>
  <c r="CF38" i="1"/>
  <c r="CT41" i="1"/>
  <c r="CQ41" i="1" s="1"/>
  <c r="CT40" i="1"/>
  <c r="CR40" i="1" s="1"/>
  <c r="DM10" i="1"/>
  <c r="DH8" i="1"/>
  <c r="CP15" i="1"/>
  <c r="CK13" i="1"/>
  <c r="CY15" i="1"/>
  <c r="CY13" i="1" s="1"/>
  <c r="CY36" i="1"/>
  <c r="CY35" i="1"/>
  <c r="DD31" i="1"/>
  <c r="DD30" i="1"/>
  <c r="DI175" i="1"/>
  <c r="CS15" i="1"/>
  <c r="CN13" i="1"/>
  <c r="DK10" i="1"/>
  <c r="DF8" i="1"/>
  <c r="BY130" i="1"/>
  <c r="BY90" i="1"/>
  <c r="DO20" i="1"/>
  <c r="DJ18" i="1"/>
  <c r="DF5" i="1"/>
  <c r="DA3" i="1"/>
  <c r="DH5" i="1"/>
  <c r="DC3" i="1"/>
  <c r="DQ20" i="1"/>
  <c r="DL18" i="1"/>
  <c r="CW30" i="1"/>
  <c r="CR28" i="1"/>
  <c r="CR180" i="1" s="1"/>
  <c r="CR35" i="1"/>
  <c r="CM33" i="1"/>
  <c r="CM181" i="1" s="1"/>
  <c r="DE8" i="1"/>
  <c r="DJ10" i="1"/>
  <c r="BZ90" i="1"/>
  <c r="BZ130" i="1"/>
  <c r="CK45" i="1"/>
  <c r="CF183" i="1"/>
  <c r="CR15" i="1"/>
  <c r="CQ15" i="1"/>
  <c r="CU30" i="1"/>
  <c r="CP28" i="1"/>
  <c r="CP180" i="1" s="1"/>
  <c r="DP20" i="1"/>
  <c r="DK18" i="1"/>
  <c r="DG25" i="1"/>
  <c r="DB23" i="1"/>
  <c r="DE5" i="1"/>
  <c r="CZ3" i="1"/>
  <c r="DH25" i="1"/>
  <c r="DC23" i="1"/>
  <c r="DR20" i="1"/>
  <c r="DM18" i="1"/>
  <c r="DE25" i="1"/>
  <c r="CZ23" i="1"/>
  <c r="DF25" i="1"/>
  <c r="DA23" i="1"/>
  <c r="DG8" i="1"/>
  <c r="DL10" i="1"/>
  <c r="CV30" i="1"/>
  <c r="CQ28" i="1"/>
  <c r="CQ180" i="1" s="1"/>
  <c r="CT177" i="1"/>
  <c r="CY28" i="1"/>
  <c r="CY180" i="1" s="1"/>
  <c r="CJ182" i="1"/>
  <c r="DG5" i="1"/>
  <c r="DB3" i="1"/>
  <c r="CS35" i="1"/>
  <c r="CN33" i="1"/>
  <c r="CN181" i="1" s="1"/>
  <c r="CD43" i="1"/>
  <c r="CL45" i="1"/>
  <c r="CX30" i="1"/>
  <c r="CS28" i="1"/>
  <c r="CS180" i="1" s="1"/>
  <c r="CV31" i="1"/>
  <c r="CL33" i="1"/>
  <c r="CL181" i="1" s="1"/>
  <c r="CO38" i="1"/>
  <c r="CT33" i="1"/>
  <c r="CT181" i="1" s="1"/>
  <c r="CJ43" i="1"/>
  <c r="CJ183" i="1" s="1"/>
  <c r="Q110" i="18"/>
  <c r="Q112" i="18" s="1"/>
  <c r="Q113" i="18" s="1"/>
  <c r="CY48" i="1"/>
  <c r="CY184" i="1" s="1"/>
  <c r="Y128" i="18"/>
  <c r="Y138" i="18" s="1"/>
  <c r="Y129" i="18"/>
  <c r="Y139" i="18" s="1"/>
  <c r="Y130" i="18"/>
  <c r="Y140" i="18" s="1"/>
  <c r="Z129" i="18"/>
  <c r="Z139" i="18" s="1"/>
  <c r="Z128" i="18"/>
  <c r="Z138" i="18" s="1"/>
  <c r="Z130" i="18"/>
  <c r="Z140" i="18" s="1"/>
  <c r="DD35" i="1"/>
  <c r="CT45" i="1"/>
  <c r="DN5" i="1"/>
  <c r="DN3" i="1" s="1"/>
  <c r="DS10" i="1"/>
  <c r="DS8" i="1" s="1"/>
  <c r="DS176" i="1" s="1"/>
  <c r="DX20" i="1"/>
  <c r="DX18" i="1" s="1"/>
  <c r="DX178" i="1" s="1"/>
  <c r="DN25" i="1"/>
  <c r="DN23" i="1" s="1"/>
  <c r="DN179" i="1" s="1"/>
  <c r="V4" i="10"/>
  <c r="W24" i="11" s="1"/>
  <c r="CF182" i="1" l="1"/>
  <c r="CF148" i="1"/>
  <c r="CJ148" i="1"/>
  <c r="ER56" i="1"/>
  <c r="EM56" i="1"/>
  <c r="CN38" i="1"/>
  <c r="CN182" i="1" s="1"/>
  <c r="CU36" i="1"/>
  <c r="CJ89" i="1"/>
  <c r="CT91" i="1"/>
  <c r="BY172" i="1"/>
  <c r="DB31" i="1"/>
  <c r="CG183" i="1"/>
  <c r="CH43" i="1"/>
  <c r="CH183" i="1" s="1"/>
  <c r="CS41" i="1"/>
  <c r="CQ40" i="1"/>
  <c r="CQ38" i="1" s="1"/>
  <c r="CQ182" i="1" s="1"/>
  <c r="CP40" i="1"/>
  <c r="CU35" i="1"/>
  <c r="CZ35" i="1" s="1"/>
  <c r="CW36" i="1"/>
  <c r="CK38" i="1"/>
  <c r="CK182" i="1" s="1"/>
  <c r="CP33" i="1"/>
  <c r="CP181" i="1" s="1"/>
  <c r="CP41" i="1"/>
  <c r="CQ33" i="1"/>
  <c r="CQ181" i="1" s="1"/>
  <c r="BZ196" i="1"/>
  <c r="BZ173" i="1" s="1"/>
  <c r="CV35" i="1"/>
  <c r="DA35" i="1" s="1"/>
  <c r="DA31" i="1"/>
  <c r="CX36" i="1"/>
  <c r="CS40" i="1"/>
  <c r="ER51" i="1"/>
  <c r="ER50" i="1"/>
  <c r="EM55" i="1"/>
  <c r="EM51" i="1"/>
  <c r="EM50" i="1"/>
  <c r="ER55" i="1"/>
  <c r="ER61" i="1"/>
  <c r="ER60" i="1"/>
  <c r="EM60" i="1"/>
  <c r="CT186" i="1"/>
  <c r="CR41" i="1"/>
  <c r="CR38" i="1" s="1"/>
  <c r="CR182" i="1" s="1"/>
  <c r="CT38" i="1"/>
  <c r="CT182" i="1" s="1"/>
  <c r="CV36" i="1"/>
  <c r="DC31" i="1"/>
  <c r="DI31" i="1"/>
  <c r="DI30" i="1"/>
  <c r="DC30" i="1"/>
  <c r="CX28" i="1"/>
  <c r="CX180" i="1" s="1"/>
  <c r="CQ45" i="1"/>
  <c r="CR45" i="1"/>
  <c r="CN45" i="1"/>
  <c r="CI43" i="1"/>
  <c r="CI183" i="1" s="1"/>
  <c r="DA30" i="1"/>
  <c r="CV28" i="1"/>
  <c r="CV180" i="1" s="1"/>
  <c r="CV15" i="1"/>
  <c r="CQ13" i="1"/>
  <c r="BZ146" i="1"/>
  <c r="BZ3" i="4"/>
  <c r="DO10" i="1"/>
  <c r="DJ8" i="1"/>
  <c r="DB30" i="1"/>
  <c r="CW28" i="1"/>
  <c r="CW180" i="1" s="1"/>
  <c r="DV20" i="1"/>
  <c r="DQ18" i="1"/>
  <c r="DM5" i="1"/>
  <c r="DH3" i="1"/>
  <c r="DK5" i="1"/>
  <c r="DF3" i="1"/>
  <c r="DT20" i="1"/>
  <c r="DO18" i="1"/>
  <c r="DK8" i="1"/>
  <c r="DP10" i="1"/>
  <c r="CU15" i="1"/>
  <c r="CP13" i="1"/>
  <c r="CO46" i="1"/>
  <c r="CY41" i="1"/>
  <c r="CV41" i="1" s="1"/>
  <c r="CY40" i="1"/>
  <c r="DN175" i="1"/>
  <c r="DD15" i="1"/>
  <c r="DD13" i="1" s="1"/>
  <c r="CO182" i="1"/>
  <c r="CD183" i="1"/>
  <c r="CX35" i="1"/>
  <c r="CS33" i="1"/>
  <c r="CS181" i="1" s="1"/>
  <c r="DL5" i="1"/>
  <c r="DG3" i="1"/>
  <c r="DQ10" i="1"/>
  <c r="DL8" i="1"/>
  <c r="DK25" i="1"/>
  <c r="DF23" i="1"/>
  <c r="DJ25" i="1"/>
  <c r="DE23" i="1"/>
  <c r="DW20" i="1"/>
  <c r="DR18" i="1"/>
  <c r="DM25" i="1"/>
  <c r="DH23" i="1"/>
  <c r="DJ5" i="1"/>
  <c r="DE3" i="1"/>
  <c r="DL25" i="1"/>
  <c r="DG23" i="1"/>
  <c r="DU20" i="1"/>
  <c r="DP18" i="1"/>
  <c r="CZ30" i="1"/>
  <c r="CU28" i="1"/>
  <c r="CU180" i="1" s="1"/>
  <c r="CW15" i="1"/>
  <c r="CR13" i="1"/>
  <c r="CP45" i="1"/>
  <c r="CW35" i="1"/>
  <c r="CR33" i="1"/>
  <c r="CR181" i="1" s="1"/>
  <c r="BY173" i="1"/>
  <c r="BY146" i="1"/>
  <c r="BY3" i="4"/>
  <c r="CZ31" i="1"/>
  <c r="CX15" i="1"/>
  <c r="CS13" i="1"/>
  <c r="DD28" i="1"/>
  <c r="DD180" i="1" s="1"/>
  <c r="CY33" i="1"/>
  <c r="CY181" i="1" s="1"/>
  <c r="CY177" i="1"/>
  <c r="DM8" i="1"/>
  <c r="DR10" i="1"/>
  <c r="DS5" i="1"/>
  <c r="DS3" i="1" s="1"/>
  <c r="DD36" i="1"/>
  <c r="DD33" i="1" s="1"/>
  <c r="DD181" i="1" s="1"/>
  <c r="DS25" i="1"/>
  <c r="DS23" i="1" s="1"/>
  <c r="DS179" i="1" s="1"/>
  <c r="EC20" i="1"/>
  <c r="EC18" i="1" s="1"/>
  <c r="EC178" i="1" s="1"/>
  <c r="DX10" i="1"/>
  <c r="DX8" i="1" s="1"/>
  <c r="DX176" i="1" s="1"/>
  <c r="DI35" i="1"/>
  <c r="CI148" i="1" l="1"/>
  <c r="CV33" i="1"/>
  <c r="CV181" i="1" s="1"/>
  <c r="CU33" i="1"/>
  <c r="CU181" i="1" s="1"/>
  <c r="CS38" i="1"/>
  <c r="CS182" i="1" s="1"/>
  <c r="CV40" i="1"/>
  <c r="CV38" i="1" s="1"/>
  <c r="CV182" i="1" s="1"/>
  <c r="DG31" i="1"/>
  <c r="CP38" i="1"/>
  <c r="CP182" i="1" s="1"/>
  <c r="CU40" i="1"/>
  <c r="CW41" i="1"/>
  <c r="CU41" i="1"/>
  <c r="DH31" i="1"/>
  <c r="DF31" i="1"/>
  <c r="CY61" i="1"/>
  <c r="CY58" i="1" s="1"/>
  <c r="CY53" i="1"/>
  <c r="CY185" i="1" s="1"/>
  <c r="DE31" i="1"/>
  <c r="DI28" i="1"/>
  <c r="DI180" i="1" s="1"/>
  <c r="DS175" i="1"/>
  <c r="DI15" i="1"/>
  <c r="DI13" i="1" s="1"/>
  <c r="DC36" i="1"/>
  <c r="DB35" i="1"/>
  <c r="CW33" i="1"/>
  <c r="CW181" i="1" s="1"/>
  <c r="DQ8" i="1"/>
  <c r="DV10" i="1"/>
  <c r="CJ90" i="1"/>
  <c r="DQ5" i="1"/>
  <c r="DL3" i="1"/>
  <c r="DC35" i="1"/>
  <c r="CX33" i="1"/>
  <c r="CX181" i="1" s="1"/>
  <c r="CZ15" i="1"/>
  <c r="CU13" i="1"/>
  <c r="DA36" i="1"/>
  <c r="DA33" i="1" s="1"/>
  <c r="DA181" i="1" s="1"/>
  <c r="DO8" i="1"/>
  <c r="DT10" i="1"/>
  <c r="R47" i="10"/>
  <c r="BZ6" i="4"/>
  <c r="DA15" i="1"/>
  <c r="CV13" i="1"/>
  <c r="CS45" i="1"/>
  <c r="CZ36" i="1"/>
  <c r="CZ33" i="1" s="1"/>
  <c r="CZ181" i="1" s="1"/>
  <c r="DN31" i="1"/>
  <c r="DN30" i="1"/>
  <c r="CY45" i="1"/>
  <c r="CU45" i="1" s="1"/>
  <c r="DD41" i="1"/>
  <c r="DA41" i="1" s="1"/>
  <c r="DD40" i="1"/>
  <c r="CT46" i="1"/>
  <c r="CT43" i="1" s="1"/>
  <c r="CT89" i="1" s="1"/>
  <c r="DW10" i="1"/>
  <c r="DR8" i="1"/>
  <c r="DC15" i="1"/>
  <c r="CX13" i="1"/>
  <c r="BY6" i="4"/>
  <c r="BY101" i="4"/>
  <c r="DB15" i="1"/>
  <c r="CW13" i="1"/>
  <c r="DF35" i="1"/>
  <c r="DE35" i="1"/>
  <c r="DE30" i="1"/>
  <c r="CZ28" i="1"/>
  <c r="CZ180" i="1" s="1"/>
  <c r="DZ20" i="1"/>
  <c r="DU18" i="1"/>
  <c r="DQ25" i="1"/>
  <c r="DL23" i="1"/>
  <c r="DO5" i="1"/>
  <c r="DJ3" i="1"/>
  <c r="DR25" i="1"/>
  <c r="DM23" i="1"/>
  <c r="EB20" i="1"/>
  <c r="DW18" i="1"/>
  <c r="DO25" i="1"/>
  <c r="DJ23" i="1"/>
  <c r="DP25" i="1"/>
  <c r="DK23" i="1"/>
  <c r="DB36" i="1"/>
  <c r="DD177" i="1"/>
  <c r="CY38" i="1"/>
  <c r="CN46" i="1"/>
  <c r="CL46" i="1"/>
  <c r="CO43" i="1"/>
  <c r="CO89" i="1" s="1"/>
  <c r="CM46" i="1"/>
  <c r="CK46" i="1"/>
  <c r="DU10" i="1"/>
  <c r="DP8" i="1"/>
  <c r="DY20" i="1"/>
  <c r="DT18" i="1"/>
  <c r="DP5" i="1"/>
  <c r="DK3" i="1"/>
  <c r="DR5" i="1"/>
  <c r="DM3" i="1"/>
  <c r="EA20" i="1"/>
  <c r="DV18" i="1"/>
  <c r="DG30" i="1"/>
  <c r="DB28" i="1"/>
  <c r="DB180" i="1" s="1"/>
  <c r="BZ101" i="4"/>
  <c r="CX40" i="1"/>
  <c r="CW40" i="1"/>
  <c r="DF30" i="1"/>
  <c r="DA28" i="1"/>
  <c r="DA180" i="1" s="1"/>
  <c r="CX41" i="1"/>
  <c r="DH30" i="1"/>
  <c r="DC28" i="1"/>
  <c r="DC180" i="1" s="1"/>
  <c r="R110" i="18"/>
  <c r="R112" i="18" s="1"/>
  <c r="R113" i="18" s="1"/>
  <c r="DD48" i="1"/>
  <c r="DD184" i="1" s="1"/>
  <c r="DI36" i="1"/>
  <c r="DI33" i="1" s="1"/>
  <c r="DI181" i="1" s="1"/>
  <c r="EH20" i="1"/>
  <c r="EH18" i="1" s="1"/>
  <c r="EH178" i="1" s="1"/>
  <c r="DX25" i="1"/>
  <c r="DX23" i="1" s="1"/>
  <c r="DX179" i="1" s="1"/>
  <c r="EC10" i="1"/>
  <c r="EC8" i="1" s="1"/>
  <c r="EC176" i="1" s="1"/>
  <c r="DX5" i="1"/>
  <c r="DX3" i="1" s="1"/>
  <c r="CY91" i="1" l="1"/>
  <c r="CU38" i="1"/>
  <c r="CU182" i="1" s="1"/>
  <c r="DL31" i="1"/>
  <c r="DC41" i="1"/>
  <c r="CZ40" i="1"/>
  <c r="CS46" i="1"/>
  <c r="CS43" i="1" s="1"/>
  <c r="DM31" i="1"/>
  <c r="CY186" i="1"/>
  <c r="DN28" i="1"/>
  <c r="DN180" i="1" s="1"/>
  <c r="DB41" i="1"/>
  <c r="DD38" i="1"/>
  <c r="DD182" i="1" s="1"/>
  <c r="DK31" i="1"/>
  <c r="DI41" i="1"/>
  <c r="DF41" i="1" s="1"/>
  <c r="DI40" i="1"/>
  <c r="DS31" i="1"/>
  <c r="DS30" i="1"/>
  <c r="DX175" i="1"/>
  <c r="DN15" i="1"/>
  <c r="DN13" i="1" s="1"/>
  <c r="DK30" i="1"/>
  <c r="DF28" i="1"/>
  <c r="DF180" i="1" s="1"/>
  <c r="DC40" i="1"/>
  <c r="CX38" i="1"/>
  <c r="CX182" i="1" s="1"/>
  <c r="DU8" i="1"/>
  <c r="DZ10" i="1"/>
  <c r="CP46" i="1"/>
  <c r="CK43" i="1"/>
  <c r="CO183" i="1"/>
  <c r="DU25" i="1"/>
  <c r="DP23" i="1"/>
  <c r="DT25" i="1"/>
  <c r="DO23" i="1"/>
  <c r="EG20" i="1"/>
  <c r="EB18" i="1"/>
  <c r="DW25" i="1"/>
  <c r="DR23" i="1"/>
  <c r="DT5" i="1"/>
  <c r="DO3" i="1"/>
  <c r="DV25" i="1"/>
  <c r="DQ23" i="1"/>
  <c r="EE20" i="1"/>
  <c r="DZ18" i="1"/>
  <c r="DJ30" i="1"/>
  <c r="DE28" i="1"/>
  <c r="DE180" i="1" s="1"/>
  <c r="DG15" i="1"/>
  <c r="DB13" i="1"/>
  <c r="DW8" i="1"/>
  <c r="EB10" i="1"/>
  <c r="CY46" i="1"/>
  <c r="DE36" i="1"/>
  <c r="CN43" i="1"/>
  <c r="BZ102" i="4"/>
  <c r="BZ10" i="4"/>
  <c r="DY10" i="1"/>
  <c r="DT8" i="1"/>
  <c r="DF36" i="1"/>
  <c r="DE15" i="1"/>
  <c r="CZ13" i="1"/>
  <c r="EA10" i="1"/>
  <c r="DV8" i="1"/>
  <c r="CZ41" i="1"/>
  <c r="DG35" i="1"/>
  <c r="DB33" i="1"/>
  <c r="DB181" i="1" s="1"/>
  <c r="DJ31" i="1"/>
  <c r="DI177" i="1"/>
  <c r="DD45" i="1"/>
  <c r="DN36" i="1"/>
  <c r="DN35" i="1"/>
  <c r="DM30" i="1"/>
  <c r="DH28" i="1"/>
  <c r="DH180" i="1" s="1"/>
  <c r="DB40" i="1"/>
  <c r="CW38" i="1"/>
  <c r="CW182" i="1" s="1"/>
  <c r="DL30" i="1"/>
  <c r="DG28" i="1"/>
  <c r="DG180" i="1" s="1"/>
  <c r="EF20" i="1"/>
  <c r="EA18" i="1"/>
  <c r="DW5" i="1"/>
  <c r="DR3" i="1"/>
  <c r="DU5" i="1"/>
  <c r="DP3" i="1"/>
  <c r="ED20" i="1"/>
  <c r="DY18" i="1"/>
  <c r="CR46" i="1"/>
  <c r="CM43" i="1"/>
  <c r="CQ46" i="1"/>
  <c r="CL43" i="1"/>
  <c r="CY182" i="1"/>
  <c r="DG36" i="1"/>
  <c r="BY10" i="4"/>
  <c r="BY102" i="4"/>
  <c r="DH15" i="1"/>
  <c r="DC13" i="1"/>
  <c r="CT183" i="1"/>
  <c r="CV45" i="1"/>
  <c r="CW45" i="1"/>
  <c r="CX45" i="1"/>
  <c r="DF15" i="1"/>
  <c r="DA13" i="1"/>
  <c r="R66" i="10"/>
  <c r="R68" i="10"/>
  <c r="R117" i="10"/>
  <c r="R96" i="10"/>
  <c r="R84" i="10"/>
  <c r="R94" i="10"/>
  <c r="R63" i="10"/>
  <c r="R113" i="10"/>
  <c r="R172" i="10"/>
  <c r="R190" i="10" s="1"/>
  <c r="R97" i="10"/>
  <c r="R55" i="10"/>
  <c r="R60" i="10" s="1"/>
  <c r="R58" i="10"/>
  <c r="R75" i="10"/>
  <c r="R78" i="10"/>
  <c r="R81" i="10"/>
  <c r="DH35" i="1"/>
  <c r="DC33" i="1"/>
  <c r="DC181" i="1" s="1"/>
  <c r="DA40" i="1"/>
  <c r="DV5" i="1"/>
  <c r="DQ3" i="1"/>
  <c r="DH36" i="1"/>
  <c r="EC5" i="1"/>
  <c r="EC3" i="1" s="1"/>
  <c r="EH10" i="1"/>
  <c r="EH8" i="1" s="1"/>
  <c r="EH176" i="1" s="1"/>
  <c r="EC25" i="1"/>
  <c r="EC23" i="1" s="1"/>
  <c r="EC179" i="1" s="1"/>
  <c r="ER20" i="1"/>
  <c r="ER18" i="1" s="1"/>
  <c r="ER178" i="1" s="1"/>
  <c r="EM20" i="1"/>
  <c r="EM18" i="1" s="1"/>
  <c r="EM178" i="1" s="1"/>
  <c r="DE40" i="1" l="1"/>
  <c r="DQ31" i="1"/>
  <c r="DM36" i="1"/>
  <c r="CX46" i="1"/>
  <c r="CX43" i="1" s="1"/>
  <c r="DG41" i="1"/>
  <c r="DO31" i="1"/>
  <c r="DL36" i="1"/>
  <c r="CY43" i="1"/>
  <c r="DE41" i="1"/>
  <c r="DR31" i="1"/>
  <c r="DP31" i="1"/>
  <c r="DH41" i="1"/>
  <c r="DD61" i="1"/>
  <c r="DD58" i="1" s="1"/>
  <c r="DD53" i="1"/>
  <c r="DD185" i="1" s="1"/>
  <c r="DN33" i="1"/>
  <c r="DN181" i="1" s="1"/>
  <c r="DS28" i="1"/>
  <c r="DS180" i="1" s="1"/>
  <c r="DI38" i="1"/>
  <c r="DI182" i="1" s="1"/>
  <c r="EC175" i="1"/>
  <c r="DS15" i="1"/>
  <c r="DS13" i="1" s="1"/>
  <c r="DF40" i="1"/>
  <c r="DA38" i="1"/>
  <c r="DA182" i="1" s="1"/>
  <c r="DM35" i="1"/>
  <c r="DH33" i="1"/>
  <c r="DH181" i="1" s="1"/>
  <c r="T81" i="10"/>
  <c r="T75" i="10"/>
  <c r="T84" i="10"/>
  <c r="DK15" i="1"/>
  <c r="DF13" i="1"/>
  <c r="CS183" i="1"/>
  <c r="CS89" i="1"/>
  <c r="DB45" i="1"/>
  <c r="CT90" i="1"/>
  <c r="CL183" i="1"/>
  <c r="CL89" i="1"/>
  <c r="CM183" i="1"/>
  <c r="CM89" i="1"/>
  <c r="DR30" i="1"/>
  <c r="DM28" i="1"/>
  <c r="DM180" i="1" s="1"/>
  <c r="EA8" i="1"/>
  <c r="EF10" i="1"/>
  <c r="DK36" i="1"/>
  <c r="DY8" i="1"/>
  <c r="ED10" i="1"/>
  <c r="CN183" i="1"/>
  <c r="CN89" i="1"/>
  <c r="EG10" i="1"/>
  <c r="EB8" i="1"/>
  <c r="DL15" i="1"/>
  <c r="DG13" i="1"/>
  <c r="DK35" i="1"/>
  <c r="DJ35" i="1"/>
  <c r="DO30" i="1"/>
  <c r="DJ28" i="1"/>
  <c r="DJ180" i="1" s="1"/>
  <c r="EJ20" i="1"/>
  <c r="EE18" i="1"/>
  <c r="EA25" i="1"/>
  <c r="DV23" i="1"/>
  <c r="DY5" i="1"/>
  <c r="DT3" i="1"/>
  <c r="EB25" i="1"/>
  <c r="DW23" i="1"/>
  <c r="EL20" i="1"/>
  <c r="EG18" i="1"/>
  <c r="DY25" i="1"/>
  <c r="DT23" i="1"/>
  <c r="DZ25" i="1"/>
  <c r="DU23" i="1"/>
  <c r="CU46" i="1"/>
  <c r="CP43" i="1"/>
  <c r="DH40" i="1"/>
  <c r="DC38" i="1"/>
  <c r="DC182" i="1" s="1"/>
  <c r="DP30" i="1"/>
  <c r="DK28" i="1"/>
  <c r="DK180" i="1" s="1"/>
  <c r="DN177" i="1"/>
  <c r="DS36" i="1"/>
  <c r="DS35" i="1"/>
  <c r="DX31" i="1"/>
  <c r="DX30" i="1"/>
  <c r="DI45" i="1"/>
  <c r="DN41" i="1"/>
  <c r="DK41" i="1" s="1"/>
  <c r="DN40" i="1"/>
  <c r="EA5" i="1"/>
  <c r="DV3" i="1"/>
  <c r="T113" i="10"/>
  <c r="DC45" i="1"/>
  <c r="DA45" i="1"/>
  <c r="DM15" i="1"/>
  <c r="DH13" i="1"/>
  <c r="BY20" i="4"/>
  <c r="BY92" i="4"/>
  <c r="CV46" i="1"/>
  <c r="CV43" i="1" s="1"/>
  <c r="CQ43" i="1"/>
  <c r="CW46" i="1"/>
  <c r="CW43" i="1" s="1"/>
  <c r="CR43" i="1"/>
  <c r="EI20" i="1"/>
  <c r="ED18" i="1"/>
  <c r="DZ5" i="1"/>
  <c r="DU3" i="1"/>
  <c r="EB5" i="1"/>
  <c r="DW3" i="1"/>
  <c r="EK20" i="1"/>
  <c r="EF18" i="1"/>
  <c r="DQ30" i="1"/>
  <c r="DL28" i="1"/>
  <c r="DL180" i="1" s="1"/>
  <c r="DG40" i="1"/>
  <c r="DB38" i="1"/>
  <c r="DB182" i="1" s="1"/>
  <c r="DD46" i="1"/>
  <c r="DL35" i="1"/>
  <c r="DG33" i="1"/>
  <c r="DG181" i="1" s="1"/>
  <c r="DJ15" i="1"/>
  <c r="DE13" i="1"/>
  <c r="BZ20" i="4"/>
  <c r="BZ92" i="4"/>
  <c r="DJ36" i="1"/>
  <c r="DF33" i="1"/>
  <c r="DF181" i="1" s="1"/>
  <c r="DE33" i="1"/>
  <c r="DE181" i="1" s="1"/>
  <c r="CZ38" i="1"/>
  <c r="CZ182" i="1" s="1"/>
  <c r="CO90" i="1"/>
  <c r="CK183" i="1"/>
  <c r="CK89" i="1"/>
  <c r="EE10" i="1"/>
  <c r="DZ8" i="1"/>
  <c r="CZ45" i="1"/>
  <c r="S110" i="18"/>
  <c r="S112" i="18" s="1"/>
  <c r="S113" i="18" s="1"/>
  <c r="DI48" i="1"/>
  <c r="DI184" i="1" s="1"/>
  <c r="EH25" i="1"/>
  <c r="EH23" i="1" s="1"/>
  <c r="EH179" i="1" s="1"/>
  <c r="ER10" i="1"/>
  <c r="ER8" i="1" s="1"/>
  <c r="ER176" i="1" s="1"/>
  <c r="EM10" i="1"/>
  <c r="EM8" i="1" s="1"/>
  <c r="EM176" i="1" s="1"/>
  <c r="EH5" i="1"/>
  <c r="EH3" i="1" s="1"/>
  <c r="CY183" i="1" l="1"/>
  <c r="CY89" i="1"/>
  <c r="DD91" i="1"/>
  <c r="DE38" i="1"/>
  <c r="DE182" i="1" s="1"/>
  <c r="DC46" i="1"/>
  <c r="DC43" i="1" s="1"/>
  <c r="DC183" i="1" s="1"/>
  <c r="DU31" i="1"/>
  <c r="DR36" i="1"/>
  <c r="DW31" i="1"/>
  <c r="DT31" i="1"/>
  <c r="DO36" i="1"/>
  <c r="DQ36" i="1"/>
  <c r="DM41" i="1"/>
  <c r="DD186" i="1"/>
  <c r="DN38" i="1"/>
  <c r="DN182" i="1" s="1"/>
  <c r="DX28" i="1"/>
  <c r="DX180" i="1" s="1"/>
  <c r="DS33" i="1"/>
  <c r="DS181" i="1" s="1"/>
  <c r="CW183" i="1"/>
  <c r="CW89" i="1"/>
  <c r="EH175" i="1"/>
  <c r="DX15" i="1"/>
  <c r="DX13" i="1" s="1"/>
  <c r="DE45" i="1"/>
  <c r="EE8" i="1"/>
  <c r="EJ10" i="1"/>
  <c r="CR183" i="1"/>
  <c r="CR89" i="1"/>
  <c r="CQ183" i="1"/>
  <c r="CQ89" i="1"/>
  <c r="CV183" i="1"/>
  <c r="CV89" i="1"/>
  <c r="CX183" i="1"/>
  <c r="CX89" i="1"/>
  <c r="DU30" i="1"/>
  <c r="DP28" i="1"/>
  <c r="DP180" i="1" s="1"/>
  <c r="DM40" i="1"/>
  <c r="DH38" i="1"/>
  <c r="DH182" i="1" s="1"/>
  <c r="CZ46" i="1"/>
  <c r="CU43" i="1"/>
  <c r="EE25" i="1"/>
  <c r="DZ23" i="1"/>
  <c r="ED25" i="1"/>
  <c r="DY23" i="1"/>
  <c r="DJ40" i="1"/>
  <c r="EQ20" i="1"/>
  <c r="EQ18" i="1" s="1"/>
  <c r="EL18" i="1"/>
  <c r="EG25" i="1"/>
  <c r="EB23" i="1"/>
  <c r="ED5" i="1"/>
  <c r="DY3" i="1"/>
  <c r="EF25" i="1"/>
  <c r="EA23" i="1"/>
  <c r="EO20" i="1"/>
  <c r="EO18" i="1" s="1"/>
  <c r="EJ18" i="1"/>
  <c r="DT30" i="1"/>
  <c r="DO28" i="1"/>
  <c r="DO180" i="1" s="1"/>
  <c r="DP35" i="1"/>
  <c r="DK33" i="1"/>
  <c r="DK181" i="1" s="1"/>
  <c r="DQ15" i="1"/>
  <c r="DL13" i="1"/>
  <c r="EG8" i="1"/>
  <c r="EL10" i="1"/>
  <c r="CM90" i="1"/>
  <c r="CL130" i="1"/>
  <c r="CL90" i="1"/>
  <c r="CS90" i="1"/>
  <c r="U75" i="10"/>
  <c r="DV31" i="1"/>
  <c r="EC15" i="1"/>
  <c r="EC13" i="1" s="1"/>
  <c r="DS41" i="1"/>
  <c r="DP41" i="1" s="1"/>
  <c r="DS40" i="1"/>
  <c r="DN45" i="1"/>
  <c r="EC31" i="1"/>
  <c r="EC30" i="1"/>
  <c r="DX36" i="1"/>
  <c r="DX35" i="1"/>
  <c r="CK130" i="1"/>
  <c r="CK90" i="1"/>
  <c r="R173" i="10"/>
  <c r="BZ110" i="4"/>
  <c r="R49" i="14" s="1"/>
  <c r="R50" i="14" s="1"/>
  <c r="BZ24" i="4"/>
  <c r="BZ96" i="4"/>
  <c r="BZ106" i="4" s="1"/>
  <c r="DO15" i="1"/>
  <c r="DJ13" i="1"/>
  <c r="DQ35" i="1"/>
  <c r="DL33" i="1"/>
  <c r="DL181" i="1" s="1"/>
  <c r="DL40" i="1"/>
  <c r="DG38" i="1"/>
  <c r="DG182" i="1" s="1"/>
  <c r="DV30" i="1"/>
  <c r="DQ28" i="1"/>
  <c r="DQ180" i="1" s="1"/>
  <c r="EP20" i="1"/>
  <c r="EP18" i="1" s="1"/>
  <c r="EK18" i="1"/>
  <c r="EG5" i="1"/>
  <c r="EB3" i="1"/>
  <c r="EE5" i="1"/>
  <c r="DZ3" i="1"/>
  <c r="EN20" i="1"/>
  <c r="EN18" i="1" s="1"/>
  <c r="EI18" i="1"/>
  <c r="DB46" i="1"/>
  <c r="DB43" i="1" s="1"/>
  <c r="DB183" i="1" s="1"/>
  <c r="DA46" i="1"/>
  <c r="DA43" i="1" s="1"/>
  <c r="BY96" i="4"/>
  <c r="BY106" i="4" s="1"/>
  <c r="BY110" i="4"/>
  <c r="BY97" i="4" s="1"/>
  <c r="BY107" i="4" s="1"/>
  <c r="BY24" i="4"/>
  <c r="BY28" i="4" s="1"/>
  <c r="BY30" i="4" s="1"/>
  <c r="DR15" i="1"/>
  <c r="DM13" i="1"/>
  <c r="DF45" i="1"/>
  <c r="DH45" i="1"/>
  <c r="U113" i="10"/>
  <c r="EF5" i="1"/>
  <c r="EA3" i="1"/>
  <c r="DI46" i="1"/>
  <c r="CP183" i="1"/>
  <c r="CP89" i="1"/>
  <c r="DO35" i="1"/>
  <c r="DJ33" i="1"/>
  <c r="DJ181" i="1" s="1"/>
  <c r="CN90" i="1"/>
  <c r="EI10" i="1"/>
  <c r="ED8" i="1"/>
  <c r="DP36" i="1"/>
  <c r="EK10" i="1"/>
  <c r="EF8" i="1"/>
  <c r="DJ41" i="1"/>
  <c r="DD43" i="1"/>
  <c r="DD89" i="1" s="1"/>
  <c r="DW30" i="1"/>
  <c r="DR28" i="1"/>
  <c r="DR180" i="1" s="1"/>
  <c r="DL41" i="1"/>
  <c r="DG45" i="1"/>
  <c r="DP15" i="1"/>
  <c r="DK13" i="1"/>
  <c r="U84" i="10"/>
  <c r="DR35" i="1"/>
  <c r="DM33" i="1"/>
  <c r="DM181" i="1" s="1"/>
  <c r="DK40" i="1"/>
  <c r="DF38" i="1"/>
  <c r="DF182" i="1" s="1"/>
  <c r="DS177" i="1"/>
  <c r="EM5" i="1"/>
  <c r="EM3" i="1" s="1"/>
  <c r="DX40" i="1"/>
  <c r="EC35" i="1"/>
  <c r="ER5" i="1"/>
  <c r="ER3" i="1" s="1"/>
  <c r="ER25" i="1"/>
  <c r="ER23" i="1" s="1"/>
  <c r="ER179" i="1" s="1"/>
  <c r="EM25" i="1"/>
  <c r="EM23" i="1" s="1"/>
  <c r="EM179" i="1" s="1"/>
  <c r="DH46" i="1" l="1"/>
  <c r="DH43" i="1" s="1"/>
  <c r="DH183" i="1" s="1"/>
  <c r="DQ41" i="1"/>
  <c r="DY31" i="1"/>
  <c r="DV36" i="1"/>
  <c r="CY90" i="1"/>
  <c r="DT36" i="1"/>
  <c r="DO41" i="1"/>
  <c r="DR41" i="1"/>
  <c r="DS38" i="1"/>
  <c r="DS182" i="1" s="1"/>
  <c r="DI61" i="1"/>
  <c r="DI58" i="1" s="1"/>
  <c r="DI53" i="1"/>
  <c r="DI185" i="1" s="1"/>
  <c r="DU36" i="1"/>
  <c r="DX33" i="1"/>
  <c r="DX181" i="1" s="1"/>
  <c r="EC28" i="1"/>
  <c r="EC180" i="1" s="1"/>
  <c r="EM175" i="1"/>
  <c r="V84" i="10"/>
  <c r="DD183" i="1"/>
  <c r="EI8" i="1"/>
  <c r="EN10" i="1"/>
  <c r="EN8" i="1" s="1"/>
  <c r="DA183" i="1"/>
  <c r="DA89" i="1"/>
  <c r="BY38" i="4"/>
  <c r="BY39" i="4" s="1"/>
  <c r="BY32" i="4"/>
  <c r="BY98" i="4"/>
  <c r="BY82" i="4"/>
  <c r="DF46" i="1"/>
  <c r="DF43" i="1" s="1"/>
  <c r="DF183" i="1" s="1"/>
  <c r="BZ97" i="4"/>
  <c r="BZ107" i="4" s="1"/>
  <c r="R100" i="10"/>
  <c r="R101" i="10"/>
  <c r="DN46" i="1"/>
  <c r="EC177" i="1"/>
  <c r="EA31" i="1"/>
  <c r="V75" i="10"/>
  <c r="DV15" i="1"/>
  <c r="DQ13" i="1"/>
  <c r="DU35" i="1"/>
  <c r="DP33" i="1"/>
  <c r="DP181" i="1" s="1"/>
  <c r="DY30" i="1"/>
  <c r="DT28" i="1"/>
  <c r="DT180" i="1" s="1"/>
  <c r="EK25" i="1"/>
  <c r="EF23" i="1"/>
  <c r="EI5" i="1"/>
  <c r="ED3" i="1"/>
  <c r="EL25" i="1"/>
  <c r="EG23" i="1"/>
  <c r="DE46" i="1"/>
  <c r="DR40" i="1"/>
  <c r="DM38" i="1"/>
  <c r="DM182" i="1" s="1"/>
  <c r="DZ30" i="1"/>
  <c r="DU28" i="1"/>
  <c r="DU180" i="1" s="1"/>
  <c r="DI43" i="1"/>
  <c r="CX90" i="1"/>
  <c r="CV90" i="1"/>
  <c r="EO10" i="1"/>
  <c r="EO8" i="1" s="1"/>
  <c r="EJ8" i="1"/>
  <c r="EB31" i="1"/>
  <c r="DJ45" i="1"/>
  <c r="CW90" i="1"/>
  <c r="DZ31" i="1"/>
  <c r="ER175" i="1"/>
  <c r="EH31" i="1"/>
  <c r="EH30" i="1"/>
  <c r="DS45" i="1"/>
  <c r="DP40" i="1"/>
  <c r="DK38" i="1"/>
  <c r="DK182" i="1" s="1"/>
  <c r="DW35" i="1"/>
  <c r="DR33" i="1"/>
  <c r="DR181" i="1" s="1"/>
  <c r="DU15" i="1"/>
  <c r="DP13" i="1"/>
  <c r="DL45" i="1"/>
  <c r="EB30" i="1"/>
  <c r="DW28" i="1"/>
  <c r="DW180" i="1" s="1"/>
  <c r="EK8" i="1"/>
  <c r="EP10" i="1"/>
  <c r="EP8" i="1" s="1"/>
  <c r="DT35" i="1"/>
  <c r="DO33" i="1"/>
  <c r="DO181" i="1" s="1"/>
  <c r="CP130" i="1"/>
  <c r="CP90" i="1"/>
  <c r="EK5" i="1"/>
  <c r="EF3" i="1"/>
  <c r="V113" i="10"/>
  <c r="DM45" i="1"/>
  <c r="DK45" i="1"/>
  <c r="DW15" i="1"/>
  <c r="DR13" i="1"/>
  <c r="DG46" i="1"/>
  <c r="EJ5" i="1"/>
  <c r="EE3" i="1"/>
  <c r="EL5" i="1"/>
  <c r="EG3" i="1"/>
  <c r="EA30" i="1"/>
  <c r="DV28" i="1"/>
  <c r="DV180" i="1" s="1"/>
  <c r="DQ40" i="1"/>
  <c r="DL38" i="1"/>
  <c r="DL182" i="1" s="1"/>
  <c r="DV35" i="1"/>
  <c r="DQ33" i="1"/>
  <c r="DQ181" i="1" s="1"/>
  <c r="DT15" i="1"/>
  <c r="DO13" i="1"/>
  <c r="BZ28" i="4"/>
  <c r="BZ30" i="4" s="1"/>
  <c r="BZ26" i="4"/>
  <c r="DB89" i="1"/>
  <c r="DC89" i="1"/>
  <c r="EQ10" i="1"/>
  <c r="EQ8" i="1" s="1"/>
  <c r="EL8" i="1"/>
  <c r="DO40" i="1"/>
  <c r="DJ38" i="1"/>
  <c r="DJ182" i="1" s="1"/>
  <c r="EI25" i="1"/>
  <c r="ED23" i="1"/>
  <c r="EJ25" i="1"/>
  <c r="EE23" i="1"/>
  <c r="CU183" i="1"/>
  <c r="CU89" i="1"/>
  <c r="DW36" i="1"/>
  <c r="CQ130" i="1"/>
  <c r="CQ90" i="1"/>
  <c r="CR90" i="1"/>
  <c r="CZ43" i="1"/>
  <c r="DX177" i="1"/>
  <c r="T110" i="18"/>
  <c r="T112" i="18" s="1"/>
  <c r="T113" i="18" s="1"/>
  <c r="DN48" i="1"/>
  <c r="DN184" i="1" s="1"/>
  <c r="EC36" i="1"/>
  <c r="DX41" i="1"/>
  <c r="DU41" i="1" s="1"/>
  <c r="DM46" i="1" l="1"/>
  <c r="DM43" i="1" s="1"/>
  <c r="DM183" i="1" s="1"/>
  <c r="DI91" i="1"/>
  <c r="DI89" i="1"/>
  <c r="ED31" i="1"/>
  <c r="DY36" i="1"/>
  <c r="DL46" i="1"/>
  <c r="DL43" i="1" s="1"/>
  <c r="DN43" i="1"/>
  <c r="DN183" i="1" s="1"/>
  <c r="DJ46" i="1"/>
  <c r="DJ43" i="1" s="1"/>
  <c r="DJ183" i="1" s="1"/>
  <c r="DI186" i="1"/>
  <c r="EB36" i="1"/>
  <c r="DK46" i="1"/>
  <c r="DK43" i="1" s="1"/>
  <c r="DK183" i="1" s="1"/>
  <c r="EM31" i="1"/>
  <c r="EM30" i="1"/>
  <c r="EO25" i="1"/>
  <c r="EO23" i="1" s="1"/>
  <c r="EJ23" i="1"/>
  <c r="EN25" i="1"/>
  <c r="EN23" i="1" s="1"/>
  <c r="EI23" i="1"/>
  <c r="DT40" i="1"/>
  <c r="DO38" i="1"/>
  <c r="DO182" i="1" s="1"/>
  <c r="DB90" i="1"/>
  <c r="R79" i="11"/>
  <c r="R174" i="10"/>
  <c r="R175" i="10" s="1"/>
  <c r="R176" i="10" s="1"/>
  <c r="R177" i="10" s="1"/>
  <c r="R170" i="10" s="1"/>
  <c r="W113" i="10"/>
  <c r="DT41" i="1"/>
  <c r="EG30" i="1"/>
  <c r="EB28" i="1"/>
  <c r="EB180" i="1" s="1"/>
  <c r="DG43" i="1"/>
  <c r="DS46" i="1"/>
  <c r="EE31" i="1"/>
  <c r="DO45" i="1"/>
  <c r="DH89" i="1"/>
  <c r="EQ25" i="1"/>
  <c r="EQ23" i="1" s="1"/>
  <c r="EL23" i="1"/>
  <c r="EN5" i="1"/>
  <c r="EN3" i="1" s="1"/>
  <c r="EI3" i="1"/>
  <c r="EP25" i="1"/>
  <c r="EP23" i="1" s="1"/>
  <c r="EK23" i="1"/>
  <c r="ED30" i="1"/>
  <c r="DY28" i="1"/>
  <c r="DY180" i="1" s="1"/>
  <c r="DZ35" i="1"/>
  <c r="DU33" i="1"/>
  <c r="DU181" i="1" s="1"/>
  <c r="EA15" i="1"/>
  <c r="DV13" i="1"/>
  <c r="W75" i="10"/>
  <c r="EF31" i="1"/>
  <c r="DA90" i="1"/>
  <c r="DD90" i="1"/>
  <c r="DV41" i="1"/>
  <c r="W84" i="10"/>
  <c r="DX38" i="1"/>
  <c r="DX46" i="1"/>
  <c r="DX45" i="1"/>
  <c r="EH36" i="1"/>
  <c r="EH35" i="1"/>
  <c r="EH15" i="1"/>
  <c r="EH13" i="1" s="1"/>
  <c r="EC41" i="1"/>
  <c r="DZ41" i="1" s="1"/>
  <c r="EC40" i="1"/>
  <c r="ER31" i="1"/>
  <c r="ER30" i="1"/>
  <c r="CZ183" i="1"/>
  <c r="CZ89" i="1"/>
  <c r="CU90" i="1"/>
  <c r="DC90" i="1"/>
  <c r="R51" i="10"/>
  <c r="BZ98" i="4"/>
  <c r="BZ38" i="4"/>
  <c r="BZ39" i="4" s="1"/>
  <c r="BZ82" i="4"/>
  <c r="BZ32" i="4"/>
  <c r="DY15" i="1"/>
  <c r="DT13" i="1"/>
  <c r="EA35" i="1"/>
  <c r="DV33" i="1"/>
  <c r="DV181" i="1" s="1"/>
  <c r="DV40" i="1"/>
  <c r="DQ38" i="1"/>
  <c r="DQ182" i="1" s="1"/>
  <c r="EF30" i="1"/>
  <c r="EA28" i="1"/>
  <c r="EA180" i="1" s="1"/>
  <c r="EQ5" i="1"/>
  <c r="EQ3" i="1" s="1"/>
  <c r="EL3" i="1"/>
  <c r="EO5" i="1"/>
  <c r="EO3" i="1" s="1"/>
  <c r="EJ3" i="1"/>
  <c r="EA36" i="1"/>
  <c r="EB15" i="1"/>
  <c r="DW13" i="1"/>
  <c r="DP45" i="1"/>
  <c r="DR45" i="1"/>
  <c r="EP5" i="1"/>
  <c r="EP3" i="1" s="1"/>
  <c r="EK3" i="1"/>
  <c r="DY35" i="1"/>
  <c r="DT33" i="1"/>
  <c r="DT181" i="1" s="1"/>
  <c r="DQ45" i="1"/>
  <c r="DZ15" i="1"/>
  <c r="DU13" i="1"/>
  <c r="EB35" i="1"/>
  <c r="DW33" i="1"/>
  <c r="DW181" i="1" s="1"/>
  <c r="DU40" i="1"/>
  <c r="DP38" i="1"/>
  <c r="DP182" i="1" s="1"/>
  <c r="EH28" i="1"/>
  <c r="EH180" i="1" s="1"/>
  <c r="EC33" i="1"/>
  <c r="DE43" i="1"/>
  <c r="EG31" i="1"/>
  <c r="DI183" i="1"/>
  <c r="EE30" i="1"/>
  <c r="DZ28" i="1"/>
  <c r="DZ180" i="1" s="1"/>
  <c r="DW40" i="1"/>
  <c r="DR38" i="1"/>
  <c r="DR182" i="1" s="1"/>
  <c r="DF89" i="1"/>
  <c r="DW41" i="1"/>
  <c r="BY136" i="4"/>
  <c r="BY84" i="4"/>
  <c r="DZ36" i="1"/>
  <c r="ER35" i="1"/>
  <c r="EM35" i="1"/>
  <c r="DR46" i="1" l="1"/>
  <c r="DR43" i="1" s="1"/>
  <c r="DR183" i="1" s="1"/>
  <c r="EI31" i="1"/>
  <c r="EN31" i="1" s="1"/>
  <c r="EB41" i="1"/>
  <c r="DS43" i="1"/>
  <c r="DS183" i="1" s="1"/>
  <c r="DP46" i="1"/>
  <c r="DP43" i="1" s="1"/>
  <c r="DO46" i="1"/>
  <c r="DT46" i="1" s="1"/>
  <c r="EG36" i="1"/>
  <c r="EL31" i="1"/>
  <c r="EQ31" i="1" s="1"/>
  <c r="EE36" i="1"/>
  <c r="DM89" i="1"/>
  <c r="DJ89" i="1"/>
  <c r="EK31" i="1"/>
  <c r="EP31" i="1" s="1"/>
  <c r="EJ31" i="1"/>
  <c r="EO31" i="1" s="1"/>
  <c r="DN61" i="1"/>
  <c r="DN58" i="1" s="1"/>
  <c r="DN53" i="1"/>
  <c r="DN185" i="1" s="1"/>
  <c r="EF36" i="1"/>
  <c r="ER28" i="1"/>
  <c r="ER180" i="1" s="1"/>
  <c r="EC38" i="1"/>
  <c r="EC182" i="1" s="1"/>
  <c r="EA41" i="1"/>
  <c r="DQ46" i="1"/>
  <c r="DV46" i="1" s="1"/>
  <c r="EM28" i="1"/>
  <c r="EM180" i="1" s="1"/>
  <c r="ER15" i="1"/>
  <c r="ER13" i="1" s="1"/>
  <c r="EH41" i="1"/>
  <c r="EE41" i="1" s="1"/>
  <c r="EH40" i="1"/>
  <c r="EM15" i="1"/>
  <c r="EM13" i="1" s="1"/>
  <c r="DF90" i="1"/>
  <c r="EB40" i="1"/>
  <c r="DW38" i="1"/>
  <c r="DW182" i="1" s="1"/>
  <c r="EJ30" i="1"/>
  <c r="EE28" i="1"/>
  <c r="EE180" i="1" s="1"/>
  <c r="DE183" i="1"/>
  <c r="DE89" i="1"/>
  <c r="DL183" i="1"/>
  <c r="DL89" i="1"/>
  <c r="DW45" i="1"/>
  <c r="DU45" i="1"/>
  <c r="EG15" i="1"/>
  <c r="EB13" i="1"/>
  <c r="BZ132" i="4"/>
  <c r="R108" i="11"/>
  <c r="R110" i="11" s="1"/>
  <c r="R111" i="11" s="1"/>
  <c r="R93" i="10"/>
  <c r="R95" i="10"/>
  <c r="R92" i="10"/>
  <c r="X75" i="10"/>
  <c r="DT45" i="1"/>
  <c r="DG183" i="1"/>
  <c r="DG89" i="1"/>
  <c r="EL30" i="1"/>
  <c r="EG28" i="1"/>
  <c r="EG180" i="1" s="1"/>
  <c r="DY40" i="1"/>
  <c r="DT38" i="1"/>
  <c r="DT182" i="1" s="1"/>
  <c r="ED36" i="1"/>
  <c r="EC45" i="1"/>
  <c r="DI90" i="1"/>
  <c r="EC181" i="1"/>
  <c r="DZ40" i="1"/>
  <c r="DU38" i="1"/>
  <c r="DU182" i="1" s="1"/>
  <c r="EG35" i="1"/>
  <c r="EB33" i="1"/>
  <c r="EB181" i="1" s="1"/>
  <c r="EE15" i="1"/>
  <c r="DZ13" i="1"/>
  <c r="DV45" i="1"/>
  <c r="ED35" i="1"/>
  <c r="DY33" i="1"/>
  <c r="DY181" i="1" s="1"/>
  <c r="EK30" i="1"/>
  <c r="EF28" i="1"/>
  <c r="EF180" i="1" s="1"/>
  <c r="EA40" i="1"/>
  <c r="DV38" i="1"/>
  <c r="DV182" i="1" s="1"/>
  <c r="EF35" i="1"/>
  <c r="EA33" i="1"/>
  <c r="EA181" i="1" s="1"/>
  <c r="ED15" i="1"/>
  <c r="DY13" i="1"/>
  <c r="R117" i="11"/>
  <c r="BZ136" i="4"/>
  <c r="BZ84" i="4"/>
  <c r="CZ90" i="1"/>
  <c r="EH177" i="1"/>
  <c r="EH33" i="1"/>
  <c r="EH181" i="1" s="1"/>
  <c r="DX43" i="1"/>
  <c r="DX183" i="1" s="1"/>
  <c r="DX182" i="1"/>
  <c r="X84" i="10"/>
  <c r="DK89" i="1"/>
  <c r="EF15" i="1"/>
  <c r="EA13" i="1"/>
  <c r="EE35" i="1"/>
  <c r="DZ33" i="1"/>
  <c r="DZ181" i="1" s="1"/>
  <c r="EI30" i="1"/>
  <c r="ED28" i="1"/>
  <c r="ED180" i="1" s="1"/>
  <c r="DH90" i="1"/>
  <c r="DY41" i="1"/>
  <c r="X113" i="10"/>
  <c r="U110" i="18"/>
  <c r="U112" i="18" s="1"/>
  <c r="U113" i="18" s="1"/>
  <c r="DS48" i="1"/>
  <c r="DS184" i="1" s="1"/>
  <c r="ER36" i="1"/>
  <c r="ER33" i="1" s="1"/>
  <c r="ER181" i="1" s="1"/>
  <c r="EM36" i="1"/>
  <c r="EH45" i="1"/>
  <c r="DW46" i="1" l="1"/>
  <c r="DW43" i="1" s="1"/>
  <c r="DN91" i="1"/>
  <c r="DN89" i="1"/>
  <c r="EL36" i="1"/>
  <c r="EQ36" i="1" s="1"/>
  <c r="DR89" i="1"/>
  <c r="DU46" i="1"/>
  <c r="DU43" i="1" s="1"/>
  <c r="DU183" i="1" s="1"/>
  <c r="DP183" i="1"/>
  <c r="DP89" i="1"/>
  <c r="DO43" i="1"/>
  <c r="DO183" i="1" s="1"/>
  <c r="EF41" i="1"/>
  <c r="DQ43" i="1"/>
  <c r="DQ89" i="1" s="1"/>
  <c r="DM90" i="1"/>
  <c r="ED41" i="1"/>
  <c r="DJ90" i="1"/>
  <c r="EG41" i="1"/>
  <c r="DN186" i="1"/>
  <c r="Y84" i="10"/>
  <c r="EK36" i="1"/>
  <c r="EP36" i="1" s="1"/>
  <c r="EI35" i="1"/>
  <c r="ED33" i="1"/>
  <c r="ED181" i="1" s="1"/>
  <c r="EA45" i="1"/>
  <c r="DV43" i="1"/>
  <c r="DV183" i="1" s="1"/>
  <c r="EJ15" i="1"/>
  <c r="EE13" i="1"/>
  <c r="EL35" i="1"/>
  <c r="EG33" i="1"/>
  <c r="EG181" i="1" s="1"/>
  <c r="EE40" i="1"/>
  <c r="DZ38" i="1"/>
  <c r="DZ182" i="1" s="1"/>
  <c r="EJ36" i="1"/>
  <c r="EO36" i="1" s="1"/>
  <c r="EC46" i="1"/>
  <c r="EI36" i="1"/>
  <c r="EN36" i="1" s="1"/>
  <c r="ED40" i="1"/>
  <c r="DY38" i="1"/>
  <c r="DY182" i="1" s="1"/>
  <c r="DG90" i="1"/>
  <c r="Y75" i="10"/>
  <c r="DE90" i="1"/>
  <c r="EO30" i="1"/>
  <c r="EO28" i="1" s="1"/>
  <c r="EO180" i="1" s="1"/>
  <c r="EJ28" i="1"/>
  <c r="EJ180" i="1" s="1"/>
  <c r="EG40" i="1"/>
  <c r="EB38" i="1"/>
  <c r="EB182" i="1" s="1"/>
  <c r="EM41" i="1"/>
  <c r="EJ41" i="1" s="1"/>
  <c r="EM40" i="1"/>
  <c r="ER41" i="1"/>
  <c r="ER40" i="1"/>
  <c r="Y113" i="10"/>
  <c r="EN30" i="1"/>
  <c r="EN28" i="1" s="1"/>
  <c r="EN180" i="1" s="1"/>
  <c r="EI28" i="1"/>
  <c r="EI180" i="1" s="1"/>
  <c r="EJ35" i="1"/>
  <c r="EE33" i="1"/>
  <c r="EE181" i="1" s="1"/>
  <c r="EK15" i="1"/>
  <c r="EF13" i="1"/>
  <c r="DK90" i="1"/>
  <c r="R118" i="11"/>
  <c r="R120" i="11"/>
  <c r="EI15" i="1"/>
  <c r="ED13" i="1"/>
  <c r="EK35" i="1"/>
  <c r="EF33" i="1"/>
  <c r="EF181" i="1" s="1"/>
  <c r="EF40" i="1"/>
  <c r="EA38" i="1"/>
  <c r="EA182" i="1" s="1"/>
  <c r="EP30" i="1"/>
  <c r="EP28" i="1" s="1"/>
  <c r="EP180" i="1" s="1"/>
  <c r="EK28" i="1"/>
  <c r="EK180" i="1" s="1"/>
  <c r="EM33" i="1"/>
  <c r="EM181" i="1" s="1"/>
  <c r="EQ30" i="1"/>
  <c r="EQ28" i="1" s="1"/>
  <c r="EQ180" i="1" s="1"/>
  <c r="EL28" i="1"/>
  <c r="EL180" i="1" s="1"/>
  <c r="DY45" i="1"/>
  <c r="DT43" i="1"/>
  <c r="DT183" i="1" s="1"/>
  <c r="EL15" i="1"/>
  <c r="EG13" i="1"/>
  <c r="DZ45" i="1"/>
  <c r="EB45" i="1"/>
  <c r="DL90" i="1"/>
  <c r="EM177" i="1"/>
  <c r="EH38" i="1"/>
  <c r="ER177" i="1"/>
  <c r="EM45" i="1"/>
  <c r="EB46" i="1" l="1"/>
  <c r="EB43" i="1" s="1"/>
  <c r="EB183" i="1" s="1"/>
  <c r="DQ183" i="1"/>
  <c r="DR90" i="1"/>
  <c r="EA46" i="1"/>
  <c r="EA43" i="1" s="1"/>
  <c r="EA183" i="1" s="1"/>
  <c r="DO89" i="1"/>
  <c r="DO90" i="1" s="1"/>
  <c r="DP90" i="1"/>
  <c r="DV89" i="1"/>
  <c r="EK41" i="1"/>
  <c r="EP41" i="1" s="1"/>
  <c r="EL41" i="1"/>
  <c r="EQ41" i="1" s="1"/>
  <c r="EC43" i="1"/>
  <c r="EC183" i="1" s="1"/>
  <c r="DU89" i="1"/>
  <c r="DU90" i="1" s="1"/>
  <c r="EO41" i="1"/>
  <c r="ER38" i="1"/>
  <c r="ER182" i="1" s="1"/>
  <c r="DS61" i="1"/>
  <c r="DS58" i="1" s="1"/>
  <c r="DS53" i="1"/>
  <c r="DS185" i="1" s="1"/>
  <c r="DN90" i="1"/>
  <c r="DY46" i="1"/>
  <c r="DT89" i="1"/>
  <c r="ER45" i="1"/>
  <c r="EH46" i="1"/>
  <c r="EH43" i="1" s="1"/>
  <c r="EH183" i="1" s="1"/>
  <c r="EH182" i="1"/>
  <c r="EG45" i="1"/>
  <c r="EE45" i="1"/>
  <c r="EQ15" i="1"/>
  <c r="EQ13" i="1" s="1"/>
  <c r="EL13" i="1"/>
  <c r="ED45" i="1"/>
  <c r="EK40" i="1"/>
  <c r="EF38" i="1"/>
  <c r="EF182" i="1" s="1"/>
  <c r="EP35" i="1"/>
  <c r="EP33" i="1" s="1"/>
  <c r="EP181" i="1" s="1"/>
  <c r="EK33" i="1"/>
  <c r="EK181" i="1" s="1"/>
  <c r="EN15" i="1"/>
  <c r="EN13" i="1" s="1"/>
  <c r="EI13" i="1"/>
  <c r="EP15" i="1"/>
  <c r="EP13" i="1" s="1"/>
  <c r="EK13" i="1"/>
  <c r="EO35" i="1"/>
  <c r="EO33" i="1" s="1"/>
  <c r="EO181" i="1" s="1"/>
  <c r="EJ33" i="1"/>
  <c r="EJ181" i="1" s="1"/>
  <c r="Z75" i="10"/>
  <c r="Z84" i="10"/>
  <c r="DZ46" i="1"/>
  <c r="EI41" i="1"/>
  <c r="EN41" i="1" s="1"/>
  <c r="DW183" i="1"/>
  <c r="DW89" i="1"/>
  <c r="DQ90" i="1"/>
  <c r="Z113" i="10"/>
  <c r="EM38" i="1"/>
  <c r="EL40" i="1"/>
  <c r="EG38" i="1"/>
  <c r="EG182" i="1" s="1"/>
  <c r="EI40" i="1"/>
  <c r="ED38" i="1"/>
  <c r="ED182" i="1" s="1"/>
  <c r="EJ40" i="1"/>
  <c r="EE38" i="1"/>
  <c r="EE182" i="1" s="1"/>
  <c r="EQ35" i="1"/>
  <c r="EQ33" i="1" s="1"/>
  <c r="EQ181" i="1" s="1"/>
  <c r="EL33" i="1"/>
  <c r="EL181" i="1" s="1"/>
  <c r="EO15" i="1"/>
  <c r="EO13" i="1" s="1"/>
  <c r="EJ13" i="1"/>
  <c r="EF45" i="1"/>
  <c r="EN35" i="1"/>
  <c r="EN33" i="1" s="1"/>
  <c r="EN181" i="1" s="1"/>
  <c r="EI33" i="1"/>
  <c r="EI181" i="1" s="1"/>
  <c r="V110" i="18"/>
  <c r="V112" i="18" s="1"/>
  <c r="V113" i="18" s="1"/>
  <c r="DX48" i="1"/>
  <c r="DX184" i="1" s="1"/>
  <c r="DS89" i="1" l="1"/>
  <c r="DS91" i="1"/>
  <c r="EB89" i="1"/>
  <c r="EB90" i="1" s="1"/>
  <c r="DV90" i="1"/>
  <c r="EF46" i="1"/>
  <c r="EF43" i="1" s="1"/>
  <c r="EG46" i="1"/>
  <c r="EG43" i="1" s="1"/>
  <c r="EG183" i="1" s="1"/>
  <c r="EE46" i="1"/>
  <c r="EE43" i="1" s="1"/>
  <c r="EE183" i="1" s="1"/>
  <c r="ED46" i="1"/>
  <c r="ED43" i="1" s="1"/>
  <c r="ED183" i="1" s="1"/>
  <c r="DY43" i="1"/>
  <c r="DY183" i="1" s="1"/>
  <c r="DT90" i="1"/>
  <c r="EA89" i="1"/>
  <c r="DS186" i="1"/>
  <c r="EO40" i="1"/>
  <c r="EO38" i="1" s="1"/>
  <c r="EO182" i="1" s="1"/>
  <c r="EJ38" i="1"/>
  <c r="EJ182" i="1" s="1"/>
  <c r="EQ40" i="1"/>
  <c r="EQ38" i="1" s="1"/>
  <c r="EQ182" i="1" s="1"/>
  <c r="EL38" i="1"/>
  <c r="EL182" i="1" s="1"/>
  <c r="AA113" i="10"/>
  <c r="AA75" i="10"/>
  <c r="DZ43" i="1"/>
  <c r="ER46" i="1"/>
  <c r="ER43" i="1" s="1"/>
  <c r="EK45" i="1"/>
  <c r="EM46" i="1"/>
  <c r="EM43" i="1" s="1"/>
  <c r="EM183" i="1" s="1"/>
  <c r="EN40" i="1"/>
  <c r="EN38" i="1" s="1"/>
  <c r="EN182" i="1" s="1"/>
  <c r="EI38" i="1"/>
  <c r="EI182" i="1" s="1"/>
  <c r="EM182" i="1"/>
  <c r="DW90" i="1"/>
  <c r="AA84" i="10"/>
  <c r="EP40" i="1"/>
  <c r="EP38" i="1" s="1"/>
  <c r="EP182" i="1" s="1"/>
  <c r="EK38" i="1"/>
  <c r="EK182" i="1" s="1"/>
  <c r="EI45" i="1"/>
  <c r="EJ45" i="1"/>
  <c r="EL45" i="1"/>
  <c r="DY89" i="1" l="1"/>
  <c r="EL46" i="1"/>
  <c r="EQ46" i="1" s="1"/>
  <c r="EA90" i="1"/>
  <c r="DX61" i="1"/>
  <c r="DX58" i="1" s="1"/>
  <c r="DX53" i="1"/>
  <c r="DX185" i="1" s="1"/>
  <c r="DS90" i="1"/>
  <c r="ER183" i="1"/>
  <c r="EQ45" i="1"/>
  <c r="EP45" i="1"/>
  <c r="EJ46" i="1"/>
  <c r="EO46" i="1" s="1"/>
  <c r="ED89" i="1"/>
  <c r="AB113" i="10"/>
  <c r="EO45" i="1"/>
  <c r="EN45" i="1"/>
  <c r="EE89" i="1"/>
  <c r="AB84" i="10"/>
  <c r="EF183" i="1"/>
  <c r="EF89" i="1"/>
  <c r="DZ183" i="1"/>
  <c r="DZ89" i="1"/>
  <c r="AB75" i="10"/>
  <c r="EI46" i="1"/>
  <c r="EN46" i="1" s="1"/>
  <c r="EG89" i="1"/>
  <c r="EK46" i="1"/>
  <c r="EP46" i="1" s="1"/>
  <c r="W110" i="18"/>
  <c r="W112" i="18" s="1"/>
  <c r="W113" i="18" s="1"/>
  <c r="EC48" i="1"/>
  <c r="EC184" i="1" s="1"/>
  <c r="DX89" i="1" l="1"/>
  <c r="DX91" i="1"/>
  <c r="DY90" i="1"/>
  <c r="EL43" i="1"/>
  <c r="EL183" i="1" s="1"/>
  <c r="EQ43" i="1"/>
  <c r="EQ183" i="1" s="1"/>
  <c r="DX186" i="1"/>
  <c r="EO43" i="1"/>
  <c r="EG90" i="1"/>
  <c r="EN43" i="1"/>
  <c r="AC113" i="10"/>
  <c r="EP43" i="1"/>
  <c r="AC75" i="10"/>
  <c r="DZ90" i="1"/>
  <c r="EF90" i="1"/>
  <c r="AC84" i="10"/>
  <c r="EE90" i="1"/>
  <c r="EI43" i="1"/>
  <c r="EJ43" i="1"/>
  <c r="ED90" i="1"/>
  <c r="EK43" i="1"/>
  <c r="EQ89" i="1" l="1"/>
  <c r="EQ90" i="1" s="1"/>
  <c r="EL89" i="1"/>
  <c r="EC61" i="1"/>
  <c r="EC58" i="1" s="1"/>
  <c r="EC53" i="1"/>
  <c r="EC185" i="1" s="1"/>
  <c r="DX90" i="1"/>
  <c r="EO183" i="1"/>
  <c r="EO89" i="1"/>
  <c r="EK183" i="1"/>
  <c r="EK89" i="1"/>
  <c r="AD84" i="10"/>
  <c r="AD75" i="10"/>
  <c r="EP183" i="1"/>
  <c r="EP89" i="1"/>
  <c r="AD113" i="10"/>
  <c r="EJ183" i="1"/>
  <c r="EJ89" i="1"/>
  <c r="EI183" i="1"/>
  <c r="EI89" i="1"/>
  <c r="EN183" i="1"/>
  <c r="EN89" i="1"/>
  <c r="CB103" i="4"/>
  <c r="CB10" i="4"/>
  <c r="CC103" i="4"/>
  <c r="CC10" i="4"/>
  <c r="X110" i="18"/>
  <c r="X112" i="18" s="1"/>
  <c r="X113" i="18" s="1"/>
  <c r="EH48" i="1"/>
  <c r="EH184" i="1" s="1"/>
  <c r="EC91" i="1" l="1"/>
  <c r="EC89" i="1"/>
  <c r="EL90" i="1"/>
  <c r="EC186" i="1"/>
  <c r="EO90" i="1"/>
  <c r="EI90" i="1"/>
  <c r="EJ90" i="1"/>
  <c r="AE75" i="10"/>
  <c r="AE84" i="10"/>
  <c r="EN90" i="1"/>
  <c r="AE113" i="10"/>
  <c r="EP90" i="1"/>
  <c r="EK90" i="1"/>
  <c r="CC92" i="4"/>
  <c r="CC20" i="4"/>
  <c r="CB92" i="4"/>
  <c r="CB20" i="4"/>
  <c r="EH61" i="1" l="1"/>
  <c r="EH58" i="1" s="1"/>
  <c r="EH53" i="1"/>
  <c r="EH185" i="1" s="1"/>
  <c r="EC90" i="1"/>
  <c r="AF84" i="10"/>
  <c r="AF75" i="10"/>
  <c r="AF113" i="10"/>
  <c r="CB96" i="4"/>
  <c r="CB106" i="4" s="1"/>
  <c r="CB24" i="4"/>
  <c r="CB26" i="4" s="1"/>
  <c r="CB37" i="4" s="1"/>
  <c r="CC96" i="4"/>
  <c r="CC106" i="4" s="1"/>
  <c r="CC24" i="4"/>
  <c r="CC26" i="4" s="1"/>
  <c r="CC37" i="4" s="1"/>
  <c r="Y110" i="18"/>
  <c r="Y112" i="18" s="1"/>
  <c r="Y113" i="18" s="1"/>
  <c r="EM48" i="1"/>
  <c r="EM184" i="1" s="1"/>
  <c r="EH91" i="1" l="1"/>
  <c r="EH89" i="1"/>
  <c r="EH186" i="1"/>
  <c r="CC28" i="4"/>
  <c r="CC30" i="4" s="1"/>
  <c r="CC82" i="4" s="1"/>
  <c r="CB28" i="4"/>
  <c r="CB30" i="4" s="1"/>
  <c r="Z110" i="18"/>
  <c r="Z112" i="18" s="1"/>
  <c r="Z113" i="18" s="1"/>
  <c r="ER48" i="1"/>
  <c r="ER184" i="1" s="1"/>
  <c r="W4" i="10"/>
  <c r="X24" i="11" s="1"/>
  <c r="EH90" i="1" l="1"/>
  <c r="EM61" i="1"/>
  <c r="EM58" i="1" s="1"/>
  <c r="EM53" i="1"/>
  <c r="EM185" i="1" s="1"/>
  <c r="CC98" i="4"/>
  <c r="CC38" i="4"/>
  <c r="CC39" i="4" s="1"/>
  <c r="CC32" i="4"/>
  <c r="CB98" i="4"/>
  <c r="CB82" i="4"/>
  <c r="CB38" i="4"/>
  <c r="CB39" i="4" s="1"/>
  <c r="CB32" i="4"/>
  <c r="EM89" i="1" l="1"/>
  <c r="EM91" i="1"/>
  <c r="EM186" i="1"/>
  <c r="ER58" i="1"/>
  <c r="ER53" i="1"/>
  <c r="ER185" i="1" s="1"/>
  <c r="CB136" i="4"/>
  <c r="CB84" i="4"/>
  <c r="CC136" i="4"/>
  <c r="CC84" i="4"/>
  <c r="ER89" i="1" l="1"/>
  <c r="ER91" i="1"/>
  <c r="ER186" i="1"/>
  <c r="EM90" i="1"/>
  <c r="ER90" i="1" l="1"/>
  <c r="X4" i="10" l="1"/>
  <c r="Y24" i="11" s="1"/>
  <c r="Y4" i="10" l="1"/>
  <c r="Z24" i="11" s="1"/>
  <c r="Z4" i="10" l="1"/>
  <c r="AA24" i="11" s="1"/>
  <c r="AA4" i="10" l="1"/>
  <c r="AB24" i="11" s="1"/>
  <c r="AB4" i="10" l="1"/>
  <c r="AC24" i="11" s="1"/>
  <c r="AC4" i="10" l="1"/>
  <c r="AD24" i="11" s="1"/>
  <c r="AD4" i="10" l="1"/>
  <c r="AE24" i="11" s="1"/>
  <c r="AE4" i="10" l="1"/>
  <c r="AF24" i="11" s="1"/>
  <c r="AF4" i="10" l="1"/>
  <c r="CE58" i="1" l="1"/>
  <c r="CD58" i="1"/>
  <c r="CF58" i="1"/>
  <c r="CG58" i="1"/>
  <c r="CG186" i="1" s="1"/>
  <c r="CH59" i="1"/>
  <c r="CH58" i="1" l="1"/>
  <c r="CH186" i="1" s="1"/>
  <c r="CI59" i="1"/>
  <c r="CI58" i="1" s="1"/>
  <c r="CI186" i="1" s="1"/>
  <c r="CE186" i="1"/>
  <c r="CD186" i="1"/>
  <c r="CF186" i="1"/>
  <c r="CD48" i="1"/>
  <c r="CD184" i="1" s="1"/>
  <c r="CE50" i="1"/>
  <c r="CE48" i="1" s="1"/>
  <c r="CD89" i="1" l="1"/>
  <c r="CD3" i="4" s="1"/>
  <c r="CE91" i="1"/>
  <c r="CE184" i="1"/>
  <c r="CG48" i="1"/>
  <c r="CI48" i="1"/>
  <c r="CH48" i="1"/>
  <c r="CF48" i="1"/>
  <c r="CE89" i="1"/>
  <c r="CD146" i="1" l="1"/>
  <c r="CD90" i="1"/>
  <c r="CI91" i="1"/>
  <c r="CI184" i="1"/>
  <c r="CI89" i="1"/>
  <c r="CE90" i="1"/>
  <c r="CE130" i="1"/>
  <c r="CG184" i="1"/>
  <c r="CG196" i="1" s="1"/>
  <c r="CG9" i="4" s="1"/>
  <c r="CG103" i="4" s="1"/>
  <c r="CG91" i="1"/>
  <c r="CG89" i="1"/>
  <c r="CF184" i="1"/>
  <c r="CF196" i="1" s="1"/>
  <c r="CF9" i="4" s="1"/>
  <c r="CF103" i="4" s="1"/>
  <c r="CF91" i="1"/>
  <c r="CF89" i="1"/>
  <c r="CD101" i="4"/>
  <c r="CD6" i="4"/>
  <c r="CH184" i="1"/>
  <c r="CH91" i="1"/>
  <c r="CH89" i="1"/>
  <c r="CG90" i="1" l="1"/>
  <c r="CG130" i="1"/>
  <c r="CD102" i="4"/>
  <c r="CF90" i="1"/>
  <c r="CF130" i="1"/>
  <c r="CI90" i="1"/>
  <c r="CH90" i="1"/>
  <c r="CE3" i="4"/>
  <c r="CE146" i="1"/>
  <c r="CE101" i="4" l="1"/>
  <c r="CE6" i="4"/>
  <c r="S47" i="10"/>
  <c r="CF3" i="4"/>
  <c r="CG3" i="4"/>
  <c r="CF101" i="4" l="1"/>
  <c r="S172" i="10"/>
  <c r="S190" i="10" s="1"/>
  <c r="S78" i="10"/>
  <c r="S117" i="10"/>
  <c r="CG101" i="4"/>
  <c r="CE102" i="4"/>
  <c r="S186" i="10" l="1"/>
  <c r="S180" i="10"/>
  <c r="S64" i="10"/>
  <c r="S53" i="10"/>
  <c r="S137" i="10"/>
  <c r="S58" i="11" l="1"/>
  <c r="S182" i="10"/>
  <c r="S28" i="11"/>
  <c r="T137" i="10"/>
  <c r="S178" i="10"/>
  <c r="S153" i="10" l="1"/>
  <c r="S6" i="11"/>
  <c r="CE109" i="4" s="1"/>
  <c r="S152" i="10"/>
  <c r="U137" i="10"/>
  <c r="CD109" i="4" l="1"/>
  <c r="CA109" i="4"/>
  <c r="CA110" i="4" s="1"/>
  <c r="CA97" i="4" s="1"/>
  <c r="CA107" i="4" s="1"/>
  <c r="CB109" i="4"/>
  <c r="CB110" i="4" s="1"/>
  <c r="CB97" i="4" s="1"/>
  <c r="CB107" i="4" s="1"/>
  <c r="CC109" i="4"/>
  <c r="CC110" i="4" s="1"/>
  <c r="CC97" i="4" s="1"/>
  <c r="CC107" i="4" s="1"/>
  <c r="V137" i="10"/>
  <c r="T111" i="10"/>
  <c r="S181" i="10" l="1"/>
  <c r="S96" i="10"/>
  <c r="W137" i="10"/>
  <c r="X137" i="10" l="1"/>
  <c r="Y137" i="10" l="1"/>
  <c r="Z137" i="10" l="1"/>
  <c r="AA137" i="10" l="1"/>
  <c r="AB137" i="10" l="1"/>
  <c r="AC137" i="10" l="1"/>
  <c r="AD137" i="10" l="1"/>
  <c r="AE137" i="10" l="1"/>
  <c r="AF137" i="10" l="1"/>
  <c r="CD10" i="4" l="1"/>
  <c r="CD92" i="4" s="1"/>
  <c r="CD103" i="4"/>
  <c r="CD20" i="4" l="1"/>
  <c r="CD24" i="4" l="1"/>
  <c r="CD26" i="4" s="1"/>
  <c r="CD37" i="4" s="1"/>
  <c r="CE37" i="4" s="1"/>
  <c r="S109" i="11" s="1"/>
  <c r="CD110" i="4"/>
  <c r="CD97" i="4" s="1"/>
  <c r="CD107" i="4" s="1"/>
  <c r="CD96" i="4"/>
  <c r="CD106" i="4" s="1"/>
  <c r="CD28" i="4" l="1"/>
  <c r="CD30" i="4" s="1"/>
  <c r="CD82" i="4" s="1"/>
  <c r="CD136" i="4" s="1"/>
  <c r="S48" i="10"/>
  <c r="CE10" i="4"/>
  <c r="CE92" i="4" s="1"/>
  <c r="CE103" i="4"/>
  <c r="CD38" i="4" l="1"/>
  <c r="CD39" i="4" s="1"/>
  <c r="CD84" i="4"/>
  <c r="CD98" i="4"/>
  <c r="CD32" i="4"/>
  <c r="CE20" i="4"/>
  <c r="S173" i="10" s="1"/>
  <c r="S185" i="10"/>
  <c r="S188" i="10" s="1"/>
  <c r="S94" i="10"/>
  <c r="S73" i="10" l="1"/>
  <c r="S33" i="10"/>
  <c r="CE96" i="4"/>
  <c r="CE106" i="4" s="1"/>
  <c r="CE110" i="4"/>
  <c r="S100" i="10" s="1"/>
  <c r="CE24" i="4"/>
  <c r="CE28" i="4" s="1"/>
  <c r="CE30" i="4" s="1"/>
  <c r="S179" i="10"/>
  <c r="S184" i="10" s="1"/>
  <c r="S189" i="10" s="1"/>
  <c r="CE98" i="4" l="1"/>
  <c r="CE82" i="4"/>
  <c r="CE136" i="4" s="1"/>
  <c r="S50" i="10"/>
  <c r="CE26" i="4"/>
  <c r="CE97" i="4"/>
  <c r="CE107" i="4" s="1"/>
  <c r="S49" i="14"/>
  <c r="S50" i="14" s="1"/>
  <c r="S101" i="10"/>
  <c r="CE32" i="4"/>
  <c r="S108" i="11" s="1"/>
  <c r="CE38" i="4"/>
  <c r="CE39" i="4" s="1"/>
  <c r="S51" i="10"/>
  <c r="S95" i="10" s="1"/>
  <c r="S79" i="11" l="1"/>
  <c r="S81" i="11" s="1"/>
  <c r="S174" i="10"/>
  <c r="S175" i="10" s="1"/>
  <c r="S176" i="10" s="1"/>
  <c r="S177" i="10" s="1"/>
  <c r="S170" i="10" s="1"/>
  <c r="CE84" i="4"/>
  <c r="S117" i="11"/>
  <c r="S101" i="11"/>
  <c r="CE132" i="4"/>
  <c r="S110" i="11"/>
  <c r="S111" i="11" s="1"/>
  <c r="S91" i="11" l="1"/>
  <c r="S20" i="11"/>
  <c r="S52" i="10" s="1"/>
  <c r="S47" i="11" l="1"/>
  <c r="S49" i="11" s="1"/>
  <c r="T48" i="11" s="1"/>
  <c r="S119" i="11"/>
  <c r="S59" i="11"/>
  <c r="S211" i="11"/>
  <c r="S57" i="11"/>
  <c r="S103" i="10"/>
  <c r="S105" i="10"/>
  <c r="S104" i="10"/>
  <c r="S118" i="11" l="1"/>
  <c r="S120" i="11"/>
  <c r="S41" i="10"/>
  <c r="S60" i="11"/>
  <c r="S53" i="11"/>
  <c r="T116" i="11" l="1"/>
  <c r="S90" i="10"/>
  <c r="G6" i="17"/>
  <c r="S65" i="11"/>
  <c r="S64" i="11"/>
  <c r="S103" i="11"/>
  <c r="S104" i="11" s="1"/>
  <c r="CJ23" i="4"/>
  <c r="CF23" i="4" s="1"/>
  <c r="S10" i="10"/>
  <c r="S19" i="10" s="1"/>
  <c r="S51" i="11"/>
  <c r="S102" i="10"/>
  <c r="S42" i="10"/>
  <c r="S92" i="10"/>
  <c r="S106" i="10"/>
  <c r="S76" i="10" l="1"/>
  <c r="G11" i="17"/>
  <c r="G8" i="17"/>
  <c r="S89" i="10"/>
  <c r="S43" i="10"/>
  <c r="CH23" i="4"/>
  <c r="CG23" i="4"/>
  <c r="S82" i="10"/>
  <c r="S98" i="10"/>
  <c r="S97" i="10"/>
  <c r="S93" i="10"/>
  <c r="CI23" i="4" l="1"/>
  <c r="CD173" i="1" l="1"/>
  <c r="CD193" i="1" l="1"/>
  <c r="CD195" i="1"/>
  <c r="CD172" i="1" s="1"/>
  <c r="CE125" i="1"/>
  <c r="CE126" i="1" s="1"/>
  <c r="CJ126" i="1" s="1"/>
  <c r="CO126" i="1" s="1"/>
  <c r="CT126" i="1" s="1"/>
  <c r="CE193" i="1"/>
  <c r="CE195" i="1" l="1"/>
  <c r="CE172" i="1" s="1"/>
  <c r="CJ125" i="1"/>
  <c r="CJ193" i="1"/>
  <c r="CJ196" i="1" s="1"/>
  <c r="CO125" i="1"/>
  <c r="CJ123" i="1"/>
  <c r="CJ130" i="1" s="1"/>
  <c r="CE196" i="1" l="1"/>
  <c r="CE173" i="1" s="1"/>
  <c r="CJ3" i="4"/>
  <c r="CH123" i="1"/>
  <c r="CH130" i="1" s="1"/>
  <c r="CH193" i="1"/>
  <c r="CH196" i="1" s="1"/>
  <c r="CH9" i="4" s="1"/>
  <c r="CH103" i="4" s="1"/>
  <c r="CM125" i="1"/>
  <c r="CT125" i="1"/>
  <c r="CO193" i="1"/>
  <c r="CO196" i="1" s="1"/>
  <c r="CO123" i="1"/>
  <c r="CO130" i="1" s="1"/>
  <c r="CJ173" i="1"/>
  <c r="CJ9" i="4"/>
  <c r="CI123" i="1" l="1"/>
  <c r="CI130" i="1" s="1"/>
  <c r="CI193" i="1"/>
  <c r="CI196" i="1" s="1"/>
  <c r="CI9" i="4" s="1"/>
  <c r="CI103" i="4" s="1"/>
  <c r="CO3" i="4"/>
  <c r="CO173" i="1"/>
  <c r="CO9" i="4"/>
  <c r="CJ103" i="4"/>
  <c r="T48" i="10"/>
  <c r="CT193" i="1"/>
  <c r="CT196" i="1" s="1"/>
  <c r="CR125" i="1"/>
  <c r="CT123" i="1"/>
  <c r="CT130" i="1" s="1"/>
  <c r="CY125" i="1"/>
  <c r="CH3" i="4"/>
  <c r="CF173" i="1"/>
  <c r="CI173" i="1"/>
  <c r="CH173" i="1"/>
  <c r="CG173" i="1"/>
  <c r="CM123" i="1"/>
  <c r="CM130" i="1" s="1"/>
  <c r="CN125" i="1"/>
  <c r="CN123" i="1" s="1"/>
  <c r="CN130" i="1" s="1"/>
  <c r="CJ101" i="4"/>
  <c r="CH101" i="4" l="1"/>
  <c r="CR123" i="1"/>
  <c r="CR130" i="1" s="1"/>
  <c r="CS125" i="1"/>
  <c r="CS123" i="1" s="1"/>
  <c r="CS130" i="1" s="1"/>
  <c r="CI3" i="4"/>
  <c r="CT173" i="1"/>
  <c r="CT9" i="4"/>
  <c r="CO103" i="4"/>
  <c r="U48" i="10"/>
  <c r="CO101" i="4"/>
  <c r="CY193" i="1"/>
  <c r="CY196" i="1" s="1"/>
  <c r="CW125" i="1"/>
  <c r="CW123" i="1" s="1"/>
  <c r="CW130" i="1" s="1"/>
  <c r="CX125" i="1"/>
  <c r="CX123" i="1" s="1"/>
  <c r="CX130" i="1" s="1"/>
  <c r="CV125" i="1"/>
  <c r="CV123" i="1" s="1"/>
  <c r="CV130" i="1" s="1"/>
  <c r="CY123" i="1"/>
  <c r="CY130" i="1" s="1"/>
  <c r="DD125" i="1"/>
  <c r="CU125" i="1"/>
  <c r="CU123" i="1" s="1"/>
  <c r="CU130" i="1" s="1"/>
  <c r="CT3" i="4"/>
  <c r="CT101" i="4" l="1"/>
  <c r="CZ125" i="1"/>
  <c r="CZ123" i="1" s="1"/>
  <c r="CZ130" i="1" s="1"/>
  <c r="DA125" i="1"/>
  <c r="DA123" i="1" s="1"/>
  <c r="DA130" i="1" s="1"/>
  <c r="DD123" i="1"/>
  <c r="DD130" i="1" s="1"/>
  <c r="DB125" i="1"/>
  <c r="DB123" i="1" s="1"/>
  <c r="DB130" i="1" s="1"/>
  <c r="DC125" i="1"/>
  <c r="DC123" i="1" s="1"/>
  <c r="DC130" i="1" s="1"/>
  <c r="DD193" i="1"/>
  <c r="DD196" i="1" s="1"/>
  <c r="DI125" i="1"/>
  <c r="CT103" i="4"/>
  <c r="V48" i="10"/>
  <c r="CY3" i="4"/>
  <c r="CY101" i="4" s="1"/>
  <c r="CY173" i="1"/>
  <c r="CY9" i="4"/>
  <c r="CI101" i="4"/>
  <c r="CY103" i="4" l="1"/>
  <c r="W48" i="10"/>
  <c r="DH125" i="1"/>
  <c r="DH123" i="1" s="1"/>
  <c r="DH130" i="1" s="1"/>
  <c r="DI193" i="1"/>
  <c r="DI196" i="1" s="1"/>
  <c r="DN125" i="1"/>
  <c r="DE125" i="1"/>
  <c r="DE123" i="1" s="1"/>
  <c r="DE130" i="1" s="1"/>
  <c r="DF125" i="1"/>
  <c r="DF123" i="1" s="1"/>
  <c r="DF130" i="1" s="1"/>
  <c r="DI123" i="1"/>
  <c r="DI130" i="1" s="1"/>
  <c r="DG125" i="1"/>
  <c r="DG123" i="1" s="1"/>
  <c r="DG130" i="1" s="1"/>
  <c r="DD3" i="4"/>
  <c r="DD101" i="4" s="1"/>
  <c r="DD173" i="1"/>
  <c r="DD9" i="4"/>
  <c r="DM125" i="1" l="1"/>
  <c r="DM123" i="1" s="1"/>
  <c r="DM130" i="1" s="1"/>
  <c r="DJ125" i="1"/>
  <c r="DJ123" i="1" s="1"/>
  <c r="DJ130" i="1" s="1"/>
  <c r="DN123" i="1"/>
  <c r="DN130" i="1" s="1"/>
  <c r="DN193" i="1"/>
  <c r="DN196" i="1" s="1"/>
  <c r="DL125" i="1"/>
  <c r="DL123" i="1" s="1"/>
  <c r="DL130" i="1" s="1"/>
  <c r="DK125" i="1"/>
  <c r="DK123" i="1" s="1"/>
  <c r="DK130" i="1" s="1"/>
  <c r="DS125" i="1"/>
  <c r="DI3" i="4"/>
  <c r="DI101" i="4" s="1"/>
  <c r="DI173" i="1"/>
  <c r="DI9" i="4"/>
  <c r="DD103" i="4"/>
  <c r="X48" i="10"/>
  <c r="DP125" i="1" l="1"/>
  <c r="DP123" i="1" s="1"/>
  <c r="DP130" i="1" s="1"/>
  <c r="DO125" i="1"/>
  <c r="DO123" i="1" s="1"/>
  <c r="DO130" i="1" s="1"/>
  <c r="DS123" i="1"/>
  <c r="DS130" i="1" s="1"/>
  <c r="DR125" i="1"/>
  <c r="DR123" i="1" s="1"/>
  <c r="DR130" i="1" s="1"/>
  <c r="DS193" i="1"/>
  <c r="DS196" i="1" s="1"/>
  <c r="DQ125" i="1"/>
  <c r="DQ123" i="1" s="1"/>
  <c r="DQ130" i="1" s="1"/>
  <c r="DX125" i="1"/>
  <c r="DN3" i="4"/>
  <c r="DN101" i="4" s="1"/>
  <c r="DI103" i="4"/>
  <c r="Y48" i="10"/>
  <c r="DN173" i="1"/>
  <c r="DN9" i="4"/>
  <c r="DS173" i="1" l="1"/>
  <c r="DS9" i="4"/>
  <c r="DN103" i="4"/>
  <c r="Z48" i="10"/>
  <c r="DU125" i="1"/>
  <c r="DU123" i="1" s="1"/>
  <c r="DU130" i="1" s="1"/>
  <c r="DT125" i="1"/>
  <c r="DT123" i="1" s="1"/>
  <c r="DT130" i="1" s="1"/>
  <c r="DX123" i="1"/>
  <c r="DX130" i="1" s="1"/>
  <c r="DV125" i="1"/>
  <c r="DV123" i="1" s="1"/>
  <c r="DV130" i="1" s="1"/>
  <c r="DW125" i="1"/>
  <c r="DW123" i="1" s="1"/>
  <c r="DW130" i="1" s="1"/>
  <c r="EC125" i="1"/>
  <c r="DX193" i="1"/>
  <c r="DX196" i="1" s="1"/>
  <c r="DS3" i="4"/>
  <c r="DS101" i="4" s="1"/>
  <c r="EC193" i="1" l="1"/>
  <c r="EC196" i="1" s="1"/>
  <c r="EB125" i="1"/>
  <c r="EB123" i="1" s="1"/>
  <c r="EB130" i="1" s="1"/>
  <c r="EC123" i="1"/>
  <c r="EC130" i="1" s="1"/>
  <c r="EH125" i="1"/>
  <c r="DZ125" i="1"/>
  <c r="DZ123" i="1" s="1"/>
  <c r="DZ130" i="1" s="1"/>
  <c r="DY125" i="1"/>
  <c r="DY123" i="1" s="1"/>
  <c r="DY130" i="1" s="1"/>
  <c r="EA125" i="1"/>
  <c r="EA123" i="1" s="1"/>
  <c r="EA130" i="1" s="1"/>
  <c r="DS103" i="4"/>
  <c r="AA48" i="10"/>
  <c r="DX9" i="4"/>
  <c r="DX173" i="1"/>
  <c r="DX3" i="4"/>
  <c r="DX101" i="4" s="1"/>
  <c r="EC3" i="4" l="1"/>
  <c r="EC101" i="4" s="1"/>
  <c r="EC173" i="1"/>
  <c r="EC9" i="4"/>
  <c r="DX103" i="4"/>
  <c r="AB48" i="10"/>
  <c r="EG125" i="1"/>
  <c r="EG123" i="1" s="1"/>
  <c r="EG130" i="1" s="1"/>
  <c r="EE125" i="1"/>
  <c r="EE123" i="1" s="1"/>
  <c r="EE130" i="1" s="1"/>
  <c r="EF125" i="1"/>
  <c r="EF123" i="1" s="1"/>
  <c r="EF130" i="1" s="1"/>
  <c r="ED125" i="1"/>
  <c r="ED123" i="1" s="1"/>
  <c r="ED130" i="1" s="1"/>
  <c r="EH123" i="1"/>
  <c r="EH130" i="1" s="1"/>
  <c r="EH193" i="1"/>
  <c r="EH196" i="1" s="1"/>
  <c r="EM125" i="1"/>
  <c r="EM193" i="1" l="1"/>
  <c r="EM196" i="1" s="1"/>
  <c r="EL125" i="1"/>
  <c r="EL123" i="1" s="1"/>
  <c r="EL130" i="1" s="1"/>
  <c r="EJ125" i="1"/>
  <c r="EJ123" i="1" s="1"/>
  <c r="EJ130" i="1" s="1"/>
  <c r="EM123" i="1"/>
  <c r="EM130" i="1" s="1"/>
  <c r="EK125" i="1"/>
  <c r="EK123" i="1" s="1"/>
  <c r="EK130" i="1" s="1"/>
  <c r="EI125" i="1"/>
  <c r="EI123" i="1" s="1"/>
  <c r="EI130" i="1" s="1"/>
  <c r="ER125" i="1"/>
  <c r="EH3" i="4"/>
  <c r="EH101" i="4" s="1"/>
  <c r="EH173" i="1"/>
  <c r="EH9" i="4"/>
  <c r="EC103" i="4"/>
  <c r="AC48" i="10"/>
  <c r="EH103" i="4" l="1"/>
  <c r="AD48" i="10"/>
  <c r="EM3" i="4"/>
  <c r="EM101" i="4" s="1"/>
  <c r="ER193" i="1"/>
  <c r="ER196" i="1" s="1"/>
  <c r="EO125" i="1"/>
  <c r="EO123" i="1" s="1"/>
  <c r="EO130" i="1" s="1"/>
  <c r="EN125" i="1"/>
  <c r="EN123" i="1" s="1"/>
  <c r="EN130" i="1" s="1"/>
  <c r="ER123" i="1"/>
  <c r="ER130" i="1" s="1"/>
  <c r="EQ125" i="1"/>
  <c r="EQ123" i="1" s="1"/>
  <c r="EQ130" i="1" s="1"/>
  <c r="EP125" i="1"/>
  <c r="EP123" i="1" s="1"/>
  <c r="EP130" i="1" s="1"/>
  <c r="EM9" i="4"/>
  <c r="EM173" i="1"/>
  <c r="EM103" i="4" l="1"/>
  <c r="AE48" i="10"/>
  <c r="ER173" i="1"/>
  <c r="ER9" i="4"/>
  <c r="ER3" i="4"/>
  <c r="ER101" i="4" s="1"/>
  <c r="ER103" i="4" l="1"/>
  <c r="AF48" i="10"/>
  <c r="CD5" i="4" l="1"/>
  <c r="BZ144" i="1"/>
  <c r="CE144" i="1" s="1"/>
  <c r="BV142" i="1"/>
  <c r="BZ142" i="1" s="1"/>
  <c r="CD134" i="1" s="1"/>
  <c r="BV134" i="1"/>
  <c r="BZ134" i="1" s="1"/>
  <c r="CA144" i="1"/>
  <c r="CA142" i="1" s="1"/>
  <c r="CA134" i="1" s="1"/>
  <c r="CE142" i="1" l="1"/>
  <c r="CD144" i="1"/>
  <c r="CJ144" i="1"/>
  <c r="CF144" i="1" l="1"/>
  <c r="CK144" i="1" s="1"/>
  <c r="CP144" i="1" s="1"/>
  <c r="CU144" i="1" s="1"/>
  <c r="CZ144" i="1" s="1"/>
  <c r="DE144" i="1" s="1"/>
  <c r="DJ144" i="1" s="1"/>
  <c r="DO144" i="1" s="1"/>
  <c r="DT144" i="1" s="1"/>
  <c r="DY144" i="1" s="1"/>
  <c r="ED144" i="1" s="1"/>
  <c r="EI144" i="1" s="1"/>
  <c r="EN144" i="1" s="1"/>
  <c r="CI144" i="1"/>
  <c r="CN144" i="1" s="1"/>
  <c r="CS144" i="1" s="1"/>
  <c r="CX144" i="1" s="1"/>
  <c r="DC144" i="1" s="1"/>
  <c r="DH144" i="1" s="1"/>
  <c r="DM144" i="1" s="1"/>
  <c r="DR144" i="1" s="1"/>
  <c r="DW144" i="1" s="1"/>
  <c r="EB144" i="1" s="1"/>
  <c r="EG144" i="1" s="1"/>
  <c r="EL144" i="1" s="1"/>
  <c r="EQ144" i="1" s="1"/>
  <c r="CO144" i="1"/>
  <c r="CT144" i="1" s="1"/>
  <c r="CY144" i="1" s="1"/>
  <c r="DD144" i="1" s="1"/>
  <c r="DI144" i="1" s="1"/>
  <c r="DN144" i="1" s="1"/>
  <c r="DS144" i="1" s="1"/>
  <c r="DX144" i="1" s="1"/>
  <c r="EC144" i="1" s="1"/>
  <c r="EH144" i="1" s="1"/>
  <c r="EM144" i="1" s="1"/>
  <c r="ER144" i="1" s="1"/>
  <c r="CH144" i="1"/>
  <c r="CM144" i="1" s="1"/>
  <c r="CR144" i="1" s="1"/>
  <c r="CW144" i="1" s="1"/>
  <c r="DB144" i="1" s="1"/>
  <c r="DG144" i="1" s="1"/>
  <c r="DL144" i="1" s="1"/>
  <c r="DQ144" i="1" s="1"/>
  <c r="DV144" i="1" s="1"/>
  <c r="EA144" i="1" s="1"/>
  <c r="EF144" i="1" s="1"/>
  <c r="EK144" i="1" s="1"/>
  <c r="EP144" i="1" s="1"/>
  <c r="CG144" i="1"/>
  <c r="CL144" i="1" s="1"/>
  <c r="CQ144" i="1" s="1"/>
  <c r="CV144" i="1" s="1"/>
  <c r="DA144" i="1" s="1"/>
  <c r="DF144" i="1" s="1"/>
  <c r="DK144" i="1" s="1"/>
  <c r="DP144" i="1" s="1"/>
  <c r="DU144" i="1" s="1"/>
  <c r="DZ144" i="1" s="1"/>
  <c r="EE144" i="1" s="1"/>
  <c r="EJ144" i="1" s="1"/>
  <c r="EO144" i="1" s="1"/>
  <c r="CE134" i="1"/>
  <c r="CG142" i="1"/>
  <c r="CG134" i="1" s="1"/>
  <c r="CG132" i="1" s="1"/>
  <c r="CI142" i="1"/>
  <c r="CI134" i="1" s="1"/>
  <c r="CI132" i="1" s="1"/>
  <c r="CH142" i="1"/>
  <c r="CH134" i="1" s="1"/>
  <c r="CH132" i="1" s="1"/>
  <c r="CF142" i="1"/>
  <c r="CI146" i="1" l="1"/>
  <c r="CI5" i="4"/>
  <c r="CI6" i="4" s="1"/>
  <c r="CG146" i="1"/>
  <c r="CG5" i="4"/>
  <c r="CG6" i="4" s="1"/>
  <c r="CF134" i="1"/>
  <c r="CF132" i="1" s="1"/>
  <c r="CJ142" i="1"/>
  <c r="CH146" i="1"/>
  <c r="CH5" i="4"/>
  <c r="CH6" i="4" s="1"/>
  <c r="CH94" i="4" l="1"/>
  <c r="CH95" i="4"/>
  <c r="CH102" i="4"/>
  <c r="CH10" i="4"/>
  <c r="CI102" i="4"/>
  <c r="CI95" i="4"/>
  <c r="CI94" i="4"/>
  <c r="CI10" i="4"/>
  <c r="CG94" i="4"/>
  <c r="CG102" i="4"/>
  <c r="CG95" i="4"/>
  <c r="CG10" i="4"/>
  <c r="CM142" i="1"/>
  <c r="CM134" i="1" s="1"/>
  <c r="CM132" i="1" s="1"/>
  <c r="CM146" i="1" s="1"/>
  <c r="CL142" i="1"/>
  <c r="CL134" i="1" s="1"/>
  <c r="CL132" i="1" s="1"/>
  <c r="CL146" i="1" s="1"/>
  <c r="CN142" i="1"/>
  <c r="CN134" i="1" s="1"/>
  <c r="CN132" i="1" s="1"/>
  <c r="CN146" i="1" s="1"/>
  <c r="CJ134" i="1"/>
  <c r="CJ132" i="1" s="1"/>
  <c r="CK142" i="1"/>
  <c r="CF146" i="1"/>
  <c r="CF5" i="4"/>
  <c r="CF6" i="4" s="1"/>
  <c r="CH92" i="4" l="1"/>
  <c r="CH20" i="4"/>
  <c r="CJ5" i="4"/>
  <c r="CJ146" i="1"/>
  <c r="CI92" i="4"/>
  <c r="CI20" i="4"/>
  <c r="CG92" i="4"/>
  <c r="CG20" i="4"/>
  <c r="CF94" i="4"/>
  <c r="CF95" i="4"/>
  <c r="CF102" i="4"/>
  <c r="CF10" i="4"/>
  <c r="CK134" i="1"/>
  <c r="CK132" i="1" s="1"/>
  <c r="CK146" i="1" s="1"/>
  <c r="CO142" i="1"/>
  <c r="T47" i="10" l="1"/>
  <c r="CJ6" i="4"/>
  <c r="CG96" i="4"/>
  <c r="CG106" i="4" s="1"/>
  <c r="CG24" i="4"/>
  <c r="CI96" i="4"/>
  <c r="CI106" i="4" s="1"/>
  <c r="CI24" i="4"/>
  <c r="CH96" i="4"/>
  <c r="CH106" i="4" s="1"/>
  <c r="CH24" i="4"/>
  <c r="CF92" i="4"/>
  <c r="CF20" i="4"/>
  <c r="CQ142" i="1"/>
  <c r="CQ134" i="1" s="1"/>
  <c r="CQ132" i="1" s="1"/>
  <c r="CQ146" i="1" s="1"/>
  <c r="CS142" i="1"/>
  <c r="CS134" i="1" s="1"/>
  <c r="CS132" i="1" s="1"/>
  <c r="CS146" i="1" s="1"/>
  <c r="CR142" i="1"/>
  <c r="CR134" i="1" s="1"/>
  <c r="CR132" i="1" s="1"/>
  <c r="CR146" i="1" s="1"/>
  <c r="CO134" i="1"/>
  <c r="CO132" i="1" s="1"/>
  <c r="CP142" i="1"/>
  <c r="CI25" i="4" l="1"/>
  <c r="CI28" i="4" s="1"/>
  <c r="CI30" i="4" s="1"/>
  <c r="CG25" i="4"/>
  <c r="CG28" i="4" s="1"/>
  <c r="CG30" i="4" s="1"/>
  <c r="CH25" i="4"/>
  <c r="CH28" i="4" s="1"/>
  <c r="CH30" i="4" s="1"/>
  <c r="CJ102" i="4"/>
  <c r="CJ10" i="4"/>
  <c r="CP134" i="1"/>
  <c r="CP132" i="1" s="1"/>
  <c r="CP146" i="1" s="1"/>
  <c r="CT142" i="1"/>
  <c r="CO5" i="4"/>
  <c r="CO146" i="1"/>
  <c r="CF24" i="4"/>
  <c r="CF96" i="4"/>
  <c r="CF106" i="4" s="1"/>
  <c r="T117" i="10"/>
  <c r="T78" i="10"/>
  <c r="T172" i="10"/>
  <c r="T190" i="10" s="1"/>
  <c r="T94" i="10"/>
  <c r="T80" i="10"/>
  <c r="T62" i="10"/>
  <c r="T74" i="10"/>
  <c r="T83" i="10"/>
  <c r="T23" i="10" s="1"/>
  <c r="T112" i="10"/>
  <c r="CH98" i="4" l="1"/>
  <c r="CH82" i="4"/>
  <c r="CH38" i="4"/>
  <c r="CG98" i="4"/>
  <c r="CG82" i="4"/>
  <c r="CG38" i="4"/>
  <c r="T8" i="10"/>
  <c r="T18" i="10"/>
  <c r="CW142" i="1"/>
  <c r="CW134" i="1" s="1"/>
  <c r="CW132" i="1" s="1"/>
  <c r="CW146" i="1" s="1"/>
  <c r="CV142" i="1"/>
  <c r="CV134" i="1" s="1"/>
  <c r="CV132" i="1" s="1"/>
  <c r="CV146" i="1" s="1"/>
  <c r="CX142" i="1"/>
  <c r="CX134" i="1" s="1"/>
  <c r="CX132" i="1" s="1"/>
  <c r="CX146" i="1" s="1"/>
  <c r="CT134" i="1"/>
  <c r="CT132" i="1" s="1"/>
  <c r="CU142" i="1"/>
  <c r="T18" i="11"/>
  <c r="T186" i="10"/>
  <c r="T53" i="10"/>
  <c r="T26" i="11"/>
  <c r="T138" i="10"/>
  <c r="CF25" i="4"/>
  <c r="CF28" i="4" s="1"/>
  <c r="CF30" i="4" s="1"/>
  <c r="CI38" i="4"/>
  <c r="CI98" i="4"/>
  <c r="CI82" i="4"/>
  <c r="T64" i="10"/>
  <c r="T9" i="10"/>
  <c r="T180" i="10" s="1"/>
  <c r="CO6" i="4"/>
  <c r="U47" i="10"/>
  <c r="CJ92" i="4"/>
  <c r="CJ20" i="4"/>
  <c r="CF82" i="4" l="1"/>
  <c r="CF98" i="4"/>
  <c r="CF38" i="4"/>
  <c r="T16" i="11"/>
  <c r="CH136" i="4"/>
  <c r="U94" i="10"/>
  <c r="U62" i="10"/>
  <c r="U78" i="10"/>
  <c r="U112" i="10"/>
  <c r="U80" i="10"/>
  <c r="U74" i="10"/>
  <c r="U172" i="10"/>
  <c r="U83" i="10"/>
  <c r="U23" i="10" s="1"/>
  <c r="CU134" i="1"/>
  <c r="CU132" i="1" s="1"/>
  <c r="CU146" i="1" s="1"/>
  <c r="CY142" i="1"/>
  <c r="T151" i="10"/>
  <c r="U138" i="10"/>
  <c r="CT5" i="4"/>
  <c r="CT146" i="1"/>
  <c r="T27" i="11"/>
  <c r="T28" i="11" s="1"/>
  <c r="T182" i="10"/>
  <c r="CG136" i="4"/>
  <c r="CO102" i="4"/>
  <c r="CO10" i="4"/>
  <c r="CJ96" i="4"/>
  <c r="CJ106" i="4" s="1"/>
  <c r="T173" i="10"/>
  <c r="CJ24" i="4"/>
  <c r="CI136" i="4"/>
  <c r="T58" i="11"/>
  <c r="CJ25" i="4" l="1"/>
  <c r="CJ28" i="4" s="1"/>
  <c r="CJ30" i="4" s="1"/>
  <c r="T114" i="10"/>
  <c r="T116" i="10" s="1"/>
  <c r="T153" i="10"/>
  <c r="T152" i="10"/>
  <c r="T4" i="11"/>
  <c r="T6" i="11" s="1"/>
  <c r="CJ109" i="4" s="1"/>
  <c r="U18" i="11"/>
  <c r="U186" i="10"/>
  <c r="U26" i="11"/>
  <c r="U53" i="10"/>
  <c r="U139" i="10"/>
  <c r="V139" i="10" s="1"/>
  <c r="W139" i="10" s="1"/>
  <c r="X139" i="10" s="1"/>
  <c r="Y139" i="10" s="1"/>
  <c r="Z139" i="10" s="1"/>
  <c r="AA139" i="10" s="1"/>
  <c r="AB139" i="10" s="1"/>
  <c r="AC139" i="10" s="1"/>
  <c r="AD139" i="10" s="1"/>
  <c r="AE139" i="10" s="1"/>
  <c r="AF139" i="10" s="1"/>
  <c r="CO92" i="4"/>
  <c r="CO20" i="4"/>
  <c r="CT6" i="4"/>
  <c r="V47" i="10"/>
  <c r="DA142" i="1"/>
  <c r="DA134" i="1" s="1"/>
  <c r="DA132" i="1" s="1"/>
  <c r="DA146" i="1" s="1"/>
  <c r="DC142" i="1"/>
  <c r="DC134" i="1" s="1"/>
  <c r="DC132" i="1" s="1"/>
  <c r="DC146" i="1" s="1"/>
  <c r="DB142" i="1"/>
  <c r="DB134" i="1" s="1"/>
  <c r="DB132" i="1" s="1"/>
  <c r="DB146" i="1" s="1"/>
  <c r="CY134" i="1"/>
  <c r="CY132" i="1" s="1"/>
  <c r="CZ142" i="1"/>
  <c r="T175" i="10"/>
  <c r="T176" i="10" s="1"/>
  <c r="T177" i="10" s="1"/>
  <c r="T170" i="10" s="1"/>
  <c r="U8" i="10"/>
  <c r="V138" i="10"/>
  <c r="U18" i="10"/>
  <c r="U64" i="10"/>
  <c r="U9" i="10"/>
  <c r="U180" i="10" s="1"/>
  <c r="CF136" i="4"/>
  <c r="U151" i="10" l="1"/>
  <c r="U4" i="11" s="1"/>
  <c r="U6" i="11" s="1"/>
  <c r="CO109" i="4" s="1"/>
  <c r="CO110" i="4" s="1"/>
  <c r="U16" i="11"/>
  <c r="CT102" i="4"/>
  <c r="CT10" i="4"/>
  <c r="CO96" i="4"/>
  <c r="CO106" i="4" s="1"/>
  <c r="U173" i="10"/>
  <c r="U58" i="11"/>
  <c r="T12" i="10"/>
  <c r="U111" i="10"/>
  <c r="U182" i="10"/>
  <c r="U27" i="11"/>
  <c r="U28" i="11" s="1"/>
  <c r="CZ134" i="1"/>
  <c r="CZ132" i="1" s="1"/>
  <c r="CZ146" i="1" s="1"/>
  <c r="DD142" i="1"/>
  <c r="CG109" i="4"/>
  <c r="CG110" i="4" s="1"/>
  <c r="CG97" i="4" s="1"/>
  <c r="CG107" i="4" s="1"/>
  <c r="CH109" i="4"/>
  <c r="CH110" i="4" s="1"/>
  <c r="CH97" i="4" s="1"/>
  <c r="CH107" i="4" s="1"/>
  <c r="CF109" i="4"/>
  <c r="CF110" i="4" s="1"/>
  <c r="CF97" i="4" s="1"/>
  <c r="CF107" i="4" s="1"/>
  <c r="CI109" i="4"/>
  <c r="CI110" i="4" s="1"/>
  <c r="CI97" i="4" s="1"/>
  <c r="CI107" i="4" s="1"/>
  <c r="CJ110" i="4"/>
  <c r="CJ98" i="4"/>
  <c r="T51" i="10"/>
  <c r="CJ38" i="4"/>
  <c r="CJ82" i="4"/>
  <c r="W138" i="10"/>
  <c r="CY5" i="4"/>
  <c r="CY146" i="1"/>
  <c r="V78" i="10"/>
  <c r="V62" i="10"/>
  <c r="V94" i="10"/>
  <c r="V80" i="10"/>
  <c r="V112" i="10"/>
  <c r="V172" i="10"/>
  <c r="V74" i="10"/>
  <c r="V83" i="10"/>
  <c r="V23" i="10" s="1"/>
  <c r="T50" i="10"/>
  <c r="U153" i="10" l="1"/>
  <c r="U114" i="10"/>
  <c r="U116" i="10" s="1"/>
  <c r="U152" i="10"/>
  <c r="U100" i="10"/>
  <c r="U101" i="10"/>
  <c r="U49" i="14"/>
  <c r="U50" i="14" s="1"/>
  <c r="CO97" i="4"/>
  <c r="CY6" i="4"/>
  <c r="W47" i="10"/>
  <c r="CJ136" i="4"/>
  <c r="T117" i="11"/>
  <c r="T3" i="11"/>
  <c r="U117" i="10"/>
  <c r="CT92" i="4"/>
  <c r="CT20" i="4"/>
  <c r="V8" i="10"/>
  <c r="T101" i="10"/>
  <c r="T100" i="10"/>
  <c r="T49" i="14"/>
  <c r="T50" i="14" s="1"/>
  <c r="CJ97" i="4"/>
  <c r="CJ107" i="4" s="1"/>
  <c r="T181" i="10"/>
  <c r="T96" i="10"/>
  <c r="X138" i="10"/>
  <c r="DH142" i="1"/>
  <c r="DH134" i="1" s="1"/>
  <c r="DH132" i="1" s="1"/>
  <c r="DH146" i="1" s="1"/>
  <c r="DG142" i="1"/>
  <c r="DG134" i="1" s="1"/>
  <c r="DG132" i="1" s="1"/>
  <c r="DG146" i="1" s="1"/>
  <c r="DF142" i="1"/>
  <c r="DF134" i="1" s="1"/>
  <c r="DF132" i="1" s="1"/>
  <c r="DF146" i="1" s="1"/>
  <c r="DD134" i="1"/>
  <c r="DD132" i="1" s="1"/>
  <c r="DE142" i="1"/>
  <c r="U175" i="10"/>
  <c r="U176" i="10" s="1"/>
  <c r="U177" i="10" s="1"/>
  <c r="V26" i="11"/>
  <c r="V53" i="10"/>
  <c r="V140" i="10"/>
  <c r="V18" i="11"/>
  <c r="V186" i="10"/>
  <c r="V18" i="10"/>
  <c r="V64" i="10"/>
  <c r="V9" i="10"/>
  <c r="V180" i="10" s="1"/>
  <c r="T95" i="10"/>
  <c r="V182" i="10" l="1"/>
  <c r="V27" i="11"/>
  <c r="V28" i="11" s="1"/>
  <c r="V58" i="11"/>
  <c r="CT96" i="4"/>
  <c r="CT106" i="4" s="1"/>
  <c r="V173" i="10"/>
  <c r="CO107" i="4"/>
  <c r="V16" i="11"/>
  <c r="U12" i="10"/>
  <c r="V111" i="10"/>
  <c r="W140" i="10"/>
  <c r="V151" i="10"/>
  <c r="DE134" i="1"/>
  <c r="DE132" i="1" s="1"/>
  <c r="DE146" i="1" s="1"/>
  <c r="DI142" i="1"/>
  <c r="Y138" i="10"/>
  <c r="T101" i="11"/>
  <c r="T43" i="11"/>
  <c r="W94" i="10"/>
  <c r="W78" i="10"/>
  <c r="W62" i="10"/>
  <c r="W80" i="10"/>
  <c r="W74" i="10"/>
  <c r="W112" i="10"/>
  <c r="W172" i="10"/>
  <c r="W83" i="10"/>
  <c r="W23" i="10" s="1"/>
  <c r="DD5" i="4"/>
  <c r="DD146" i="1"/>
  <c r="CY102" i="4"/>
  <c r="CY10" i="4"/>
  <c r="W186" i="10" l="1"/>
  <c r="W18" i="11"/>
  <c r="X140" i="10"/>
  <c r="W8" i="10"/>
  <c r="W18" i="10"/>
  <c r="DM142" i="1"/>
  <c r="DM134" i="1" s="1"/>
  <c r="DM132" i="1" s="1"/>
  <c r="DM146" i="1" s="1"/>
  <c r="DK142" i="1"/>
  <c r="DK134" i="1" s="1"/>
  <c r="DK132" i="1" s="1"/>
  <c r="DK146" i="1" s="1"/>
  <c r="DL142" i="1"/>
  <c r="DL134" i="1" s="1"/>
  <c r="DL132" i="1" s="1"/>
  <c r="DL146" i="1" s="1"/>
  <c r="DI134" i="1"/>
  <c r="DI132" i="1" s="1"/>
  <c r="DJ142" i="1"/>
  <c r="V117" i="10"/>
  <c r="X47" i="10"/>
  <c r="DD6" i="4"/>
  <c r="CY92" i="4"/>
  <c r="CY20" i="4"/>
  <c r="W9" i="10"/>
  <c r="W180" i="10" s="1"/>
  <c r="W64" i="10"/>
  <c r="U181" i="10"/>
  <c r="U96" i="10"/>
  <c r="V175" i="10"/>
  <c r="V176" i="10" s="1"/>
  <c r="V177" i="10" s="1"/>
  <c r="W53" i="10"/>
  <c r="W141" i="10"/>
  <c r="X141" i="10" s="1"/>
  <c r="Y141" i="10" s="1"/>
  <c r="Z141" i="10" s="1"/>
  <c r="AA141" i="10" s="1"/>
  <c r="AB141" i="10" s="1"/>
  <c r="AC141" i="10" s="1"/>
  <c r="AD141" i="10" s="1"/>
  <c r="AE141" i="10" s="1"/>
  <c r="AF141" i="10" s="1"/>
  <c r="W26" i="11"/>
  <c r="T119" i="11"/>
  <c r="Z138" i="10"/>
  <c r="V153" i="10"/>
  <c r="V114" i="10"/>
  <c r="V116" i="10" s="1"/>
  <c r="V152" i="10"/>
  <c r="V4" i="11"/>
  <c r="V6" i="11" s="1"/>
  <c r="CT109" i="4" s="1"/>
  <c r="CT110" i="4" s="1"/>
  <c r="V12" i="10" l="1"/>
  <c r="W111" i="10"/>
  <c r="T118" i="11"/>
  <c r="T121" i="11"/>
  <c r="CY96" i="4"/>
  <c r="CY106" i="4" s="1"/>
  <c r="W173" i="10"/>
  <c r="DI5" i="4"/>
  <c r="DI146" i="1"/>
  <c r="W16" i="11"/>
  <c r="V49" i="14"/>
  <c r="V50" i="14" s="1"/>
  <c r="V100" i="10"/>
  <c r="V101" i="10"/>
  <c r="CT97" i="4"/>
  <c r="CT107" i="4" s="1"/>
  <c r="AA138" i="10"/>
  <c r="DD102" i="4"/>
  <c r="DD10" i="4"/>
  <c r="W182" i="10"/>
  <c r="W27" i="11"/>
  <c r="W28" i="11" s="1"/>
  <c r="W151" i="10"/>
  <c r="W58" i="11"/>
  <c r="X78" i="10"/>
  <c r="X94" i="10"/>
  <c r="X62" i="10"/>
  <c r="X74" i="10"/>
  <c r="X80" i="10"/>
  <c r="X112" i="10"/>
  <c r="X172" i="10"/>
  <c r="X83" i="10"/>
  <c r="X23" i="10" s="1"/>
  <c r="DJ134" i="1"/>
  <c r="DJ132" i="1" s="1"/>
  <c r="DJ146" i="1" s="1"/>
  <c r="DN142" i="1"/>
  <c r="Y140" i="10"/>
  <c r="X8" i="10" l="1"/>
  <c r="W114" i="10"/>
  <c r="W116" i="10" s="1"/>
  <c r="W152" i="10"/>
  <c r="W153" i="10"/>
  <c r="W4" i="11"/>
  <c r="W6" i="11" s="1"/>
  <c r="CY109" i="4" s="1"/>
  <c r="CY110" i="4" s="1"/>
  <c r="DD92" i="4"/>
  <c r="DD20" i="4"/>
  <c r="T39" i="10"/>
  <c r="U116" i="11"/>
  <c r="DQ142" i="1"/>
  <c r="DQ134" i="1" s="1"/>
  <c r="DQ132" i="1" s="1"/>
  <c r="DQ146" i="1" s="1"/>
  <c r="DR142" i="1"/>
  <c r="DR134" i="1" s="1"/>
  <c r="DR132" i="1" s="1"/>
  <c r="DR146" i="1" s="1"/>
  <c r="DP142" i="1"/>
  <c r="DP134" i="1" s="1"/>
  <c r="DP132" i="1" s="1"/>
  <c r="DP146" i="1" s="1"/>
  <c r="DN134" i="1"/>
  <c r="DN132" i="1" s="1"/>
  <c r="DO142" i="1"/>
  <c r="X64" i="10"/>
  <c r="X9" i="10"/>
  <c r="X180" i="10" s="1"/>
  <c r="Z140" i="10"/>
  <c r="X53" i="10"/>
  <c r="X26" i="11"/>
  <c r="X142" i="10"/>
  <c r="DI6" i="4"/>
  <c r="Y47" i="10"/>
  <c r="W175" i="10"/>
  <c r="W176" i="10" s="1"/>
  <c r="W177" i="10" s="1"/>
  <c r="W117" i="10"/>
  <c r="X18" i="11"/>
  <c r="X186" i="10"/>
  <c r="X18" i="10"/>
  <c r="AB138" i="10"/>
  <c r="V181" i="10"/>
  <c r="V96" i="10"/>
  <c r="DD96" i="4" l="1"/>
  <c r="DD106" i="4" s="1"/>
  <c r="X173" i="10"/>
  <c r="X16" i="11"/>
  <c r="Y94" i="10"/>
  <c r="Y78" i="10"/>
  <c r="Y80" i="10"/>
  <c r="Y62" i="10"/>
  <c r="Y112" i="10"/>
  <c r="Y74" i="10"/>
  <c r="Y172" i="10"/>
  <c r="Y83" i="10"/>
  <c r="Y23" i="10" s="1"/>
  <c r="DO134" i="1"/>
  <c r="DO132" i="1" s="1"/>
  <c r="DO146" i="1" s="1"/>
  <c r="DS142" i="1"/>
  <c r="AC138" i="10"/>
  <c r="X182" i="10"/>
  <c r="X27" i="11"/>
  <c r="X28" i="11" s="1"/>
  <c r="W12" i="10"/>
  <c r="X111" i="10"/>
  <c r="DI102" i="4"/>
  <c r="DI10" i="4"/>
  <c r="Y142" i="10"/>
  <c r="X151" i="10"/>
  <c r="AA140" i="10"/>
  <c r="DN5" i="4"/>
  <c r="DN146" i="1"/>
  <c r="W49" i="14"/>
  <c r="W50" i="14" s="1"/>
  <c r="W101" i="10"/>
  <c r="W100" i="10"/>
  <c r="CY97" i="4"/>
  <c r="CY107" i="4" s="1"/>
  <c r="X58" i="11"/>
  <c r="Z142" i="10" l="1"/>
  <c r="W181" i="10"/>
  <c r="W96" i="10"/>
  <c r="Y18" i="11"/>
  <c r="Y186" i="10"/>
  <c r="Y64" i="10"/>
  <c r="Y9" i="10"/>
  <c r="Y180" i="10" s="1"/>
  <c r="X175" i="10"/>
  <c r="X176" i="10" s="1"/>
  <c r="X177" i="10" s="1"/>
  <c r="DI92" i="4"/>
  <c r="DI20" i="4"/>
  <c r="Y18" i="10"/>
  <c r="AB140" i="10"/>
  <c r="AD138" i="10"/>
  <c r="DV142" i="1"/>
  <c r="DV134" i="1" s="1"/>
  <c r="DV132" i="1" s="1"/>
  <c r="DV146" i="1" s="1"/>
  <c r="DW142" i="1"/>
  <c r="DW134" i="1" s="1"/>
  <c r="DW132" i="1" s="1"/>
  <c r="DW146" i="1" s="1"/>
  <c r="DU142" i="1"/>
  <c r="DU134" i="1" s="1"/>
  <c r="DU132" i="1" s="1"/>
  <c r="DU146" i="1" s="1"/>
  <c r="DS134" i="1"/>
  <c r="DS132" i="1" s="1"/>
  <c r="DT142" i="1"/>
  <c r="Y8" i="10"/>
  <c r="Y16" i="11" s="1"/>
  <c r="DN6" i="4"/>
  <c r="Z47" i="10"/>
  <c r="X152" i="10"/>
  <c r="X114" i="10"/>
  <c r="X116" i="10" s="1"/>
  <c r="X153" i="10"/>
  <c r="X4" i="11"/>
  <c r="X6" i="11" s="1"/>
  <c r="DD109" i="4" s="1"/>
  <c r="DD110" i="4" s="1"/>
  <c r="X117" i="10"/>
  <c r="Y53" i="10"/>
  <c r="Y26" i="11"/>
  <c r="Y143" i="10"/>
  <c r="Z143" i="10" s="1"/>
  <c r="AA143" i="10" s="1"/>
  <c r="AB143" i="10" s="1"/>
  <c r="AC143" i="10" s="1"/>
  <c r="AD143" i="10" s="1"/>
  <c r="AE143" i="10" s="1"/>
  <c r="AF143" i="10" s="1"/>
  <c r="X12" i="10" l="1"/>
  <c r="Y111" i="10"/>
  <c r="DS5" i="4"/>
  <c r="DS146" i="1"/>
  <c r="AE138" i="10"/>
  <c r="DI96" i="4"/>
  <c r="DI106" i="4" s="1"/>
  <c r="Y173" i="10"/>
  <c r="X100" i="10"/>
  <c r="X101" i="10"/>
  <c r="DD97" i="4"/>
  <c r="DD107" i="4" s="1"/>
  <c r="X49" i="14"/>
  <c r="X50" i="14" s="1"/>
  <c r="Y182" i="10"/>
  <c r="Y27" i="11"/>
  <c r="Y28" i="11" s="1"/>
  <c r="DN102" i="4"/>
  <c r="DN10" i="4"/>
  <c r="Y151" i="10"/>
  <c r="Z78" i="10"/>
  <c r="Z94" i="10"/>
  <c r="Z80" i="10"/>
  <c r="Z62" i="10"/>
  <c r="Z74" i="10"/>
  <c r="Z112" i="10"/>
  <c r="Z172" i="10"/>
  <c r="Z83" i="10"/>
  <c r="Z23" i="10" s="1"/>
  <c r="Y58" i="11"/>
  <c r="DT134" i="1"/>
  <c r="DT132" i="1" s="1"/>
  <c r="DT146" i="1" s="1"/>
  <c r="DX142" i="1"/>
  <c r="AC140" i="10"/>
  <c r="AA142" i="10"/>
  <c r="AD140" i="10" l="1"/>
  <c r="Z18" i="11"/>
  <c r="Z186" i="10"/>
  <c r="Z64" i="10"/>
  <c r="Z9" i="10"/>
  <c r="Z180" i="10" s="1"/>
  <c r="Y175" i="10"/>
  <c r="Y176" i="10" s="1"/>
  <c r="Y177" i="10" s="1"/>
  <c r="Z18" i="10"/>
  <c r="DS6" i="4"/>
  <c r="AA47" i="10"/>
  <c r="Y117" i="10"/>
  <c r="EB142" i="1"/>
  <c r="EB134" i="1" s="1"/>
  <c r="EB132" i="1" s="1"/>
  <c r="EB146" i="1" s="1"/>
  <c r="DZ142" i="1"/>
  <c r="DZ134" i="1" s="1"/>
  <c r="DZ132" i="1" s="1"/>
  <c r="DZ146" i="1" s="1"/>
  <c r="EA142" i="1"/>
  <c r="EA134" i="1" s="1"/>
  <c r="EA132" i="1" s="1"/>
  <c r="EA146" i="1" s="1"/>
  <c r="DX134" i="1"/>
  <c r="DX132" i="1" s="1"/>
  <c r="DY142" i="1"/>
  <c r="AB142" i="10"/>
  <c r="Z53" i="10"/>
  <c r="Z26" i="11"/>
  <c r="Z144" i="10"/>
  <c r="DN92" i="4"/>
  <c r="DN20" i="4"/>
  <c r="X181" i="10"/>
  <c r="X96" i="10"/>
  <c r="Z8" i="10"/>
  <c r="Y114" i="10"/>
  <c r="Y116" i="10" s="1"/>
  <c r="Y153" i="10"/>
  <c r="Y152" i="10"/>
  <c r="Y4" i="11"/>
  <c r="Y6" i="11" s="1"/>
  <c r="DI109" i="4" s="1"/>
  <c r="DI110" i="4" s="1"/>
  <c r="AF138" i="10"/>
  <c r="Z16" i="11" l="1"/>
  <c r="Y12" i="10"/>
  <c r="Z111" i="10"/>
  <c r="Y100" i="10"/>
  <c r="Y101" i="10"/>
  <c r="Y49" i="14"/>
  <c r="Y50" i="14" s="1"/>
  <c r="DI97" i="4"/>
  <c r="DI107" i="4" s="1"/>
  <c r="DN96" i="4"/>
  <c r="DN106" i="4" s="1"/>
  <c r="Z173" i="10"/>
  <c r="Z58" i="11"/>
  <c r="DY134" i="1"/>
  <c r="DY132" i="1" s="1"/>
  <c r="DY146" i="1" s="1"/>
  <c r="EC142" i="1"/>
  <c r="DS102" i="4"/>
  <c r="DS10" i="4"/>
  <c r="DX5" i="4"/>
  <c r="DX146" i="1"/>
  <c r="Z182" i="10"/>
  <c r="Z27" i="11"/>
  <c r="Z28" i="11" s="1"/>
  <c r="AA144" i="10"/>
  <c r="Z151" i="10"/>
  <c r="AC142" i="10"/>
  <c r="AA94" i="10"/>
  <c r="AA78" i="10"/>
  <c r="AA74" i="10"/>
  <c r="AA80" i="10"/>
  <c r="AA62" i="10"/>
  <c r="AA172" i="10"/>
  <c r="AA112" i="10"/>
  <c r="AA83" i="10"/>
  <c r="AA23" i="10" s="1"/>
  <c r="AE140" i="10"/>
  <c r="AB47" i="10" l="1"/>
  <c r="DX6" i="4"/>
  <c r="EF142" i="1"/>
  <c r="EF134" i="1" s="1"/>
  <c r="EF132" i="1" s="1"/>
  <c r="EF146" i="1" s="1"/>
  <c r="EE142" i="1"/>
  <c r="EE134" i="1" s="1"/>
  <c r="EE132" i="1" s="1"/>
  <c r="EE146" i="1" s="1"/>
  <c r="EG142" i="1"/>
  <c r="EG134" i="1" s="1"/>
  <c r="EG132" i="1" s="1"/>
  <c r="EG146" i="1" s="1"/>
  <c r="EC134" i="1"/>
  <c r="EC132" i="1" s="1"/>
  <c r="ED142" i="1"/>
  <c r="AA8" i="10"/>
  <c r="AF140" i="10"/>
  <c r="AD142" i="10"/>
  <c r="AA64" i="10"/>
  <c r="AA9" i="10"/>
  <c r="AA180" i="10" s="1"/>
  <c r="Z153" i="10"/>
  <c r="Z152" i="10"/>
  <c r="Z114" i="10"/>
  <c r="Z116" i="10" s="1"/>
  <c r="Z4" i="11"/>
  <c r="Z6" i="11" s="1"/>
  <c r="DN109" i="4" s="1"/>
  <c r="DN110" i="4" s="1"/>
  <c r="DS92" i="4"/>
  <c r="DS20" i="4"/>
  <c r="Z175" i="10"/>
  <c r="Z176" i="10" s="1"/>
  <c r="Z177" i="10" s="1"/>
  <c r="Z117" i="10"/>
  <c r="AA53" i="10"/>
  <c r="AA26" i="11"/>
  <c r="AA145" i="10"/>
  <c r="AB145" i="10" s="1"/>
  <c r="AC145" i="10" s="1"/>
  <c r="AD145" i="10" s="1"/>
  <c r="AE145" i="10" s="1"/>
  <c r="AF145" i="10" s="1"/>
  <c r="AA18" i="11"/>
  <c r="AA186" i="10"/>
  <c r="AA18" i="10"/>
  <c r="AB144" i="10"/>
  <c r="Y181" i="10"/>
  <c r="Y96" i="10"/>
  <c r="AA16" i="11" l="1"/>
  <c r="DS96" i="4"/>
  <c r="DS106" i="4" s="1"/>
  <c r="AA173" i="10"/>
  <c r="ED134" i="1"/>
  <c r="ED132" i="1" s="1"/>
  <c r="ED146" i="1" s="1"/>
  <c r="EH142" i="1"/>
  <c r="AA182" i="10"/>
  <c r="AA27" i="11"/>
  <c r="AA28" i="11" s="1"/>
  <c r="Z12" i="10"/>
  <c r="AA111" i="10"/>
  <c r="AA151" i="10"/>
  <c r="AA58" i="11"/>
  <c r="Z101" i="10"/>
  <c r="Z100" i="10"/>
  <c r="DN97" i="4"/>
  <c r="DN107" i="4" s="1"/>
  <c r="Z49" i="14"/>
  <c r="Z50" i="14" s="1"/>
  <c r="AE142" i="10"/>
  <c r="EC5" i="4"/>
  <c r="EC146" i="1"/>
  <c r="DX102" i="4"/>
  <c r="DX10" i="4"/>
  <c r="AC144" i="10"/>
  <c r="AB94" i="10"/>
  <c r="AB78" i="10"/>
  <c r="AB80" i="10"/>
  <c r="AB62" i="10"/>
  <c r="AB74" i="10"/>
  <c r="AB112" i="10"/>
  <c r="AB172" i="10"/>
  <c r="AB83" i="10"/>
  <c r="AB23" i="10" s="1"/>
  <c r="AB18" i="10" l="1"/>
  <c r="DX92" i="4"/>
  <c r="DX20" i="4"/>
  <c r="AD144" i="10"/>
  <c r="AF142" i="10"/>
  <c r="AA114" i="10"/>
  <c r="AA116" i="10" s="1"/>
  <c r="AA153" i="10"/>
  <c r="AA4" i="11"/>
  <c r="AA6" i="11" s="1"/>
  <c r="DS109" i="4" s="1"/>
  <c r="DS110" i="4" s="1"/>
  <c r="AA152" i="10"/>
  <c r="EL142" i="1"/>
  <c r="EL134" i="1" s="1"/>
  <c r="EL132" i="1" s="1"/>
  <c r="EL146" i="1" s="1"/>
  <c r="EK142" i="1"/>
  <c r="EK134" i="1" s="1"/>
  <c r="EK132" i="1" s="1"/>
  <c r="EK146" i="1" s="1"/>
  <c r="EJ142" i="1"/>
  <c r="EJ134" i="1" s="1"/>
  <c r="EJ132" i="1" s="1"/>
  <c r="EJ146" i="1" s="1"/>
  <c r="EH134" i="1"/>
  <c r="EH132" i="1" s="1"/>
  <c r="EI142" i="1"/>
  <c r="AC47" i="10"/>
  <c r="EC6" i="4"/>
  <c r="AA117" i="10"/>
  <c r="AA175" i="10"/>
  <c r="AA176" i="10" s="1"/>
  <c r="AA177" i="10" s="1"/>
  <c r="AB53" i="10"/>
  <c r="AB26" i="11"/>
  <c r="AB146" i="10"/>
  <c r="AB8" i="10"/>
  <c r="AB18" i="11"/>
  <c r="AB186" i="10"/>
  <c r="AB64" i="10"/>
  <c r="AB9" i="10"/>
  <c r="AB180" i="10" s="1"/>
  <c r="Z181" i="10"/>
  <c r="Z96" i="10"/>
  <c r="AC94" i="10" l="1"/>
  <c r="AC78" i="10"/>
  <c r="AC80" i="10"/>
  <c r="AC74" i="10"/>
  <c r="AC62" i="10"/>
  <c r="AC112" i="10"/>
  <c r="AC172" i="10"/>
  <c r="AC83" i="10"/>
  <c r="AC23" i="10" s="1"/>
  <c r="EH5" i="4"/>
  <c r="EH146" i="1"/>
  <c r="AE144" i="10"/>
  <c r="DX96" i="4"/>
  <c r="DX106" i="4" s="1"/>
  <c r="AB173" i="10"/>
  <c r="AA12" i="10"/>
  <c r="AB111" i="10"/>
  <c r="DS97" i="4"/>
  <c r="DS107" i="4" s="1"/>
  <c r="AA101" i="10"/>
  <c r="AA49" i="14"/>
  <c r="AA50" i="14" s="1"/>
  <c r="AA100" i="10"/>
  <c r="AB16" i="11"/>
  <c r="AC146" i="10"/>
  <c r="AB151" i="10"/>
  <c r="AB182" i="10"/>
  <c r="AB27" i="11"/>
  <c r="AB28" i="11" s="1"/>
  <c r="AB58" i="11"/>
  <c r="EC102" i="4"/>
  <c r="EC10" i="4"/>
  <c r="EI134" i="1"/>
  <c r="EI132" i="1" s="1"/>
  <c r="EI146" i="1" s="1"/>
  <c r="EM142" i="1"/>
  <c r="AB114" i="10" l="1"/>
  <c r="AB116" i="10" s="1"/>
  <c r="AB152" i="10"/>
  <c r="AB153" i="10"/>
  <c r="AB4" i="11"/>
  <c r="AB6" i="11" s="1"/>
  <c r="DX109" i="4" s="1"/>
  <c r="DX110" i="4" s="1"/>
  <c r="AC18" i="11"/>
  <c r="AC186" i="10"/>
  <c r="AC64" i="10"/>
  <c r="AC9" i="10"/>
  <c r="AC180" i="10" s="1"/>
  <c r="AD146" i="10"/>
  <c r="AB175" i="10"/>
  <c r="AB176" i="10" s="1"/>
  <c r="AB177" i="10" s="1"/>
  <c r="AF144" i="10"/>
  <c r="AC8" i="10"/>
  <c r="AB117" i="10"/>
  <c r="AD47" i="10"/>
  <c r="EH6" i="4"/>
  <c r="AC18" i="10"/>
  <c r="EC92" i="4"/>
  <c r="EC20" i="4"/>
  <c r="EQ142" i="1"/>
  <c r="EQ134" i="1" s="1"/>
  <c r="EQ132" i="1" s="1"/>
  <c r="EQ146" i="1" s="1"/>
  <c r="EO142" i="1"/>
  <c r="EO134" i="1" s="1"/>
  <c r="EO132" i="1" s="1"/>
  <c r="EO146" i="1" s="1"/>
  <c r="EP142" i="1"/>
  <c r="EP134" i="1" s="1"/>
  <c r="EP132" i="1" s="1"/>
  <c r="EP146" i="1" s="1"/>
  <c r="EM134" i="1"/>
  <c r="EM132" i="1" s="1"/>
  <c r="EN142" i="1"/>
  <c r="AA181" i="10"/>
  <c r="AA96" i="10"/>
  <c r="AC53" i="10"/>
  <c r="AC26" i="11"/>
  <c r="AC147" i="10"/>
  <c r="AD147" i="10" s="1"/>
  <c r="AE147" i="10" s="1"/>
  <c r="AF147" i="10" s="1"/>
  <c r="AC16" i="11" l="1"/>
  <c r="AB12" i="10"/>
  <c r="AC111" i="10"/>
  <c r="EN134" i="1"/>
  <c r="EN132" i="1" s="1"/>
  <c r="EN146" i="1" s="1"/>
  <c r="ER142" i="1"/>
  <c r="ER134" i="1" s="1"/>
  <c r="ER132" i="1" s="1"/>
  <c r="AC151" i="10"/>
  <c r="AB100" i="10"/>
  <c r="AB101" i="10"/>
  <c r="DX97" i="4"/>
  <c r="DX107" i="4" s="1"/>
  <c r="AB49" i="14"/>
  <c r="AB50" i="14" s="1"/>
  <c r="EM5" i="4"/>
  <c r="EM146" i="1"/>
  <c r="AD78" i="10"/>
  <c r="AD94" i="10"/>
  <c r="AD62" i="10"/>
  <c r="AD112" i="10"/>
  <c r="AD80" i="10"/>
  <c r="AD172" i="10"/>
  <c r="AD74" i="10"/>
  <c r="AD83" i="10"/>
  <c r="AD23" i="10" s="1"/>
  <c r="AE146" i="10"/>
  <c r="EH102" i="4"/>
  <c r="EH10" i="4"/>
  <c r="AC58" i="11"/>
  <c r="AC173" i="10"/>
  <c r="EC96" i="4"/>
  <c r="EC106" i="4" s="1"/>
  <c r="AC182" i="10"/>
  <c r="AC27" i="11"/>
  <c r="AC28" i="11" s="1"/>
  <c r="AD8" i="10" l="1"/>
  <c r="AD9" i="10"/>
  <c r="AD180" i="10" s="1"/>
  <c r="AD64" i="10"/>
  <c r="EM6" i="4"/>
  <c r="AE47" i="10"/>
  <c r="AC175" i="10"/>
  <c r="AC176" i="10" s="1"/>
  <c r="AC177" i="10" s="1"/>
  <c r="AF146" i="10"/>
  <c r="EH92" i="4"/>
  <c r="EH20" i="4"/>
  <c r="AD18" i="10"/>
  <c r="AC153" i="10"/>
  <c r="AC152" i="10"/>
  <c r="AC114" i="10"/>
  <c r="AC116" i="10" s="1"/>
  <c r="AC4" i="11"/>
  <c r="AC6" i="11" s="1"/>
  <c r="EC109" i="4" s="1"/>
  <c r="EC110" i="4" s="1"/>
  <c r="AC117" i="10"/>
  <c r="AD18" i="11"/>
  <c r="AD186" i="10"/>
  <c r="AD148" i="10"/>
  <c r="AD26" i="11"/>
  <c r="AD53" i="10"/>
  <c r="ER5" i="4"/>
  <c r="ER146" i="1"/>
  <c r="AB181" i="10"/>
  <c r="AB96" i="10"/>
  <c r="AD182" i="10" l="1"/>
  <c r="AD27" i="11"/>
  <c r="AD28" i="11" s="1"/>
  <c r="AC12" i="10"/>
  <c r="AD111" i="10"/>
  <c r="AD58" i="11"/>
  <c r="AD173" i="10"/>
  <c r="EH96" i="4"/>
  <c r="EH106" i="4" s="1"/>
  <c r="AE94" i="10"/>
  <c r="AE80" i="10"/>
  <c r="AE78" i="10"/>
  <c r="AE74" i="10"/>
  <c r="AE172" i="10"/>
  <c r="AE112" i="10"/>
  <c r="AE62" i="10"/>
  <c r="AE83" i="10"/>
  <c r="AE23" i="10" s="1"/>
  <c r="AD16" i="11"/>
  <c r="AE148" i="10"/>
  <c r="AF148" i="10" s="1"/>
  <c r="AD151" i="10"/>
  <c r="AC101" i="10"/>
  <c r="AC100" i="10"/>
  <c r="AC49" i="14"/>
  <c r="AC50" i="14" s="1"/>
  <c r="EC97" i="4"/>
  <c r="EC107" i="4" s="1"/>
  <c r="ER6" i="4"/>
  <c r="AF47" i="10"/>
  <c r="EM102" i="4"/>
  <c r="EM10" i="4"/>
  <c r="AE9" i="10" l="1"/>
  <c r="AE180" i="10" s="1"/>
  <c r="AE64" i="10"/>
  <c r="AE53" i="10"/>
  <c r="AE26" i="11"/>
  <c r="AE149" i="10"/>
  <c r="AE18" i="10"/>
  <c r="AD117" i="10"/>
  <c r="AF94" i="10"/>
  <c r="AF78" i="10"/>
  <c r="AF172" i="10"/>
  <c r="AF80" i="10"/>
  <c r="AF62" i="10"/>
  <c r="AF74" i="10"/>
  <c r="AF112" i="10"/>
  <c r="AF83" i="10"/>
  <c r="AF23" i="10" s="1"/>
  <c r="ER102" i="4"/>
  <c r="ER10" i="4"/>
  <c r="AE18" i="11"/>
  <c r="AE186" i="10"/>
  <c r="EM92" i="4"/>
  <c r="EM20" i="4"/>
  <c r="AD153" i="10"/>
  <c r="AD4" i="11"/>
  <c r="AD6" i="11" s="1"/>
  <c r="EH109" i="4" s="1"/>
  <c r="EH110" i="4" s="1"/>
  <c r="AD114" i="10"/>
  <c r="AD116" i="10" s="1"/>
  <c r="AD152" i="10"/>
  <c r="AE8" i="10"/>
  <c r="AD175" i="10"/>
  <c r="AD176" i="10" s="1"/>
  <c r="AD177" i="10" s="1"/>
  <c r="AC181" i="10"/>
  <c r="AC96" i="10"/>
  <c r="AE16" i="11" l="1"/>
  <c r="AD12" i="10"/>
  <c r="AE111" i="10"/>
  <c r="AE173" i="10"/>
  <c r="EM96" i="4"/>
  <c r="EM106" i="4" s="1"/>
  <c r="AF64" i="10"/>
  <c r="AF9" i="10"/>
  <c r="AF180" i="10" s="1"/>
  <c r="AE182" i="10"/>
  <c r="AE27" i="11"/>
  <c r="AE28" i="11" s="1"/>
  <c r="AF18" i="11"/>
  <c r="AF186" i="10"/>
  <c r="AF18" i="10"/>
  <c r="AF182" i="10" s="1"/>
  <c r="AD100" i="10"/>
  <c r="AD101" i="10"/>
  <c r="EH97" i="4"/>
  <c r="EH107" i="4" s="1"/>
  <c r="AD49" i="14"/>
  <c r="AD50" i="14" s="1"/>
  <c r="ER92" i="4"/>
  <c r="ER20" i="4"/>
  <c r="AF150" i="10"/>
  <c r="AF53" i="10"/>
  <c r="AF26" i="11"/>
  <c r="AF149" i="10"/>
  <c r="AE151" i="10"/>
  <c r="AF8" i="10"/>
  <c r="AE58" i="11"/>
  <c r="AF16" i="11" l="1"/>
  <c r="AF27" i="11"/>
  <c r="AF28" i="11" s="1"/>
  <c r="AE175" i="10"/>
  <c r="AE176" i="10" s="1"/>
  <c r="AE177" i="10" s="1"/>
  <c r="AF151" i="10"/>
  <c r="AF173" i="10"/>
  <c r="ER96" i="4"/>
  <c r="ER106" i="4" s="1"/>
  <c r="AE117" i="10"/>
  <c r="AE114" i="10"/>
  <c r="AE116" i="10" s="1"/>
  <c r="AE153" i="10"/>
  <c r="AE152" i="10"/>
  <c r="AE4" i="11"/>
  <c r="AE6" i="11" s="1"/>
  <c r="EM109" i="4" s="1"/>
  <c r="EM110" i="4" s="1"/>
  <c r="AF58" i="11"/>
  <c r="AD181" i="10"/>
  <c r="AD96" i="10"/>
  <c r="AF114" i="10" l="1"/>
  <c r="AF152" i="10"/>
  <c r="AF153" i="10"/>
  <c r="AF4" i="11"/>
  <c r="AF6" i="11" s="1"/>
  <c r="ER109" i="4" s="1"/>
  <c r="ER110" i="4" s="1"/>
  <c r="AE101" i="10"/>
  <c r="AE100" i="10"/>
  <c r="AE49" i="14"/>
  <c r="AE50" i="14" s="1"/>
  <c r="EM97" i="4"/>
  <c r="EM107" i="4" s="1"/>
  <c r="AE12" i="10"/>
  <c r="AF111" i="10"/>
  <c r="AF175" i="10"/>
  <c r="AF176" i="10" s="1"/>
  <c r="AF177" i="10" s="1"/>
  <c r="AF116" i="10" l="1"/>
  <c r="AF12" i="10" s="1"/>
  <c r="AF117" i="10"/>
  <c r="AE181" i="10"/>
  <c r="AE96" i="10"/>
  <c r="ER97" i="4"/>
  <c r="ER107" i="4" s="1"/>
  <c r="AF101" i="10"/>
  <c r="AF100" i="10"/>
  <c r="AF49" i="14"/>
  <c r="AF50" i="14" s="1"/>
  <c r="AF181" i="10" l="1"/>
  <c r="AF96" i="10"/>
  <c r="S27" i="10" l="1"/>
  <c r="S85" i="10"/>
  <c r="S55" i="10"/>
  <c r="T55" i="10" s="1"/>
  <c r="S58" i="10"/>
  <c r="S60" i="10"/>
  <c r="S66" i="10"/>
  <c r="U55" i="10" l="1"/>
  <c r="T65" i="10"/>
  <c r="T60" i="10"/>
  <c r="T5" i="10" l="1"/>
  <c r="T58" i="10"/>
  <c r="T66" i="10"/>
  <c r="V55" i="10"/>
  <c r="U65" i="10"/>
  <c r="U60" i="10"/>
  <c r="V60" i="10" l="1"/>
  <c r="W55" i="10"/>
  <c r="V65" i="10"/>
  <c r="U66" i="10"/>
  <c r="U5" i="10"/>
  <c r="U58" i="10"/>
  <c r="T178" i="10"/>
  <c r="T14" i="11"/>
  <c r="V58" i="10" l="1"/>
  <c r="V66" i="10"/>
  <c r="V5" i="10"/>
  <c r="X55" i="10"/>
  <c r="W65" i="10"/>
  <c r="W60" i="10"/>
  <c r="U178" i="10"/>
  <c r="U14" i="11"/>
  <c r="W5" i="10" l="1"/>
  <c r="W58" i="10"/>
  <c r="W66" i="10"/>
  <c r="Y55" i="10"/>
  <c r="X65" i="10"/>
  <c r="X60" i="10"/>
  <c r="V178" i="10"/>
  <c r="V14" i="11"/>
  <c r="X5" i="10" l="1"/>
  <c r="X58" i="10"/>
  <c r="X66" i="10"/>
  <c r="Z55" i="10"/>
  <c r="Y65" i="10"/>
  <c r="Y60" i="10"/>
  <c r="W178" i="10"/>
  <c r="W14" i="11"/>
  <c r="X178" i="10" l="1"/>
  <c r="X14" i="11"/>
  <c r="Y66" i="10"/>
  <c r="Y5" i="10"/>
  <c r="Y58" i="10"/>
  <c r="Z60" i="10"/>
  <c r="AA55" i="10"/>
  <c r="Z65" i="10"/>
  <c r="AB55" i="10" l="1"/>
  <c r="AA65" i="10"/>
  <c r="AA60" i="10"/>
  <c r="Y178" i="10"/>
  <c r="Y14" i="11"/>
  <c r="Z58" i="10"/>
  <c r="Z66" i="10"/>
  <c r="Z5" i="10"/>
  <c r="AA5" i="10" l="1"/>
  <c r="AA58" i="10"/>
  <c r="AA66" i="10"/>
  <c r="Z178" i="10"/>
  <c r="Z14" i="11"/>
  <c r="AC55" i="10"/>
  <c r="AB65" i="10"/>
  <c r="AB60" i="10"/>
  <c r="AD55" i="10" l="1"/>
  <c r="AC65" i="10"/>
  <c r="AC60" i="10"/>
  <c r="AA178" i="10"/>
  <c r="AA14" i="11"/>
  <c r="AB5" i="10"/>
  <c r="AB58" i="10"/>
  <c r="AB66" i="10"/>
  <c r="AB178" i="10" l="1"/>
  <c r="AB14" i="11"/>
  <c r="AC66" i="10"/>
  <c r="AC5" i="10"/>
  <c r="AC58" i="10"/>
  <c r="AD60" i="10"/>
  <c r="AE55" i="10"/>
  <c r="AD65" i="10"/>
  <c r="AF55" i="10" l="1"/>
  <c r="AE65" i="10"/>
  <c r="AE60" i="10"/>
  <c r="AD58" i="10"/>
  <c r="AD66" i="10"/>
  <c r="AD5" i="10"/>
  <c r="AC178" i="10"/>
  <c r="AC14" i="11"/>
  <c r="AD178" i="10" l="1"/>
  <c r="AD14" i="11"/>
  <c r="AE5" i="10"/>
  <c r="AE58" i="10"/>
  <c r="AE66" i="10"/>
  <c r="AF65" i="10"/>
  <c r="AF60" i="10"/>
  <c r="AF5" i="10" l="1"/>
  <c r="AF58" i="10"/>
  <c r="AF66" i="10"/>
  <c r="AE178" i="10"/>
  <c r="AE14" i="11"/>
  <c r="AF178" i="10" l="1"/>
  <c r="AF14" i="11"/>
  <c r="S56" i="10"/>
  <c r="T56" i="10" s="1"/>
  <c r="S59" i="10"/>
  <c r="T67" i="10" l="1"/>
  <c r="U56" i="10"/>
  <c r="U67" i="10" l="1"/>
  <c r="V56" i="10"/>
  <c r="T59" i="10"/>
  <c r="T68" i="10"/>
  <c r="T6" i="10"/>
  <c r="W56" i="10" l="1"/>
  <c r="V67" i="10"/>
  <c r="T179" i="10"/>
  <c r="T184" i="10" s="1"/>
  <c r="T15" i="11"/>
  <c r="U6" i="10"/>
  <c r="U59" i="10"/>
  <c r="U68" i="10"/>
  <c r="U179" i="10" l="1"/>
  <c r="U184" i="10" s="1"/>
  <c r="U15" i="11"/>
  <c r="X56" i="10"/>
  <c r="W67" i="10"/>
  <c r="V68" i="10"/>
  <c r="V6" i="10"/>
  <c r="V59" i="10"/>
  <c r="X67" i="10" l="1"/>
  <c r="Y56" i="10"/>
  <c r="V15" i="11"/>
  <c r="V179" i="10"/>
  <c r="V184" i="10" s="1"/>
  <c r="W59" i="10"/>
  <c r="W68" i="10"/>
  <c r="W6" i="10"/>
  <c r="W179" i="10" l="1"/>
  <c r="W184" i="10" s="1"/>
  <c r="W15" i="11"/>
  <c r="X59" i="10"/>
  <c r="X68" i="10"/>
  <c r="X6" i="10"/>
  <c r="Y67" i="10"/>
  <c r="Z56" i="10"/>
  <c r="AA56" i="10" l="1"/>
  <c r="Z67" i="10"/>
  <c r="Y6" i="10"/>
  <c r="Y59" i="10"/>
  <c r="Y68" i="10"/>
  <c r="X179" i="10"/>
  <c r="X184" i="10" s="1"/>
  <c r="X15" i="11"/>
  <c r="Y179" i="10" l="1"/>
  <c r="Y184" i="10" s="1"/>
  <c r="Y15" i="11"/>
  <c r="AB56" i="10"/>
  <c r="AA67" i="10"/>
  <c r="Z68" i="10"/>
  <c r="Z6" i="10"/>
  <c r="Z59" i="10"/>
  <c r="AA59" i="10" l="1"/>
  <c r="AA68" i="10"/>
  <c r="AA6" i="10"/>
  <c r="Z15" i="11"/>
  <c r="Z179" i="10"/>
  <c r="Z184" i="10" s="1"/>
  <c r="AB67" i="10"/>
  <c r="AC56" i="10"/>
  <c r="AC67" i="10" l="1"/>
  <c r="AD56" i="10"/>
  <c r="AB59" i="10"/>
  <c r="AB68" i="10"/>
  <c r="AB6" i="10"/>
  <c r="AA179" i="10"/>
  <c r="AA184" i="10" s="1"/>
  <c r="AA15" i="11"/>
  <c r="AE56" i="10" l="1"/>
  <c r="AD67" i="10"/>
  <c r="AB179" i="10"/>
  <c r="AB184" i="10" s="1"/>
  <c r="AB15" i="11"/>
  <c r="AC6" i="10"/>
  <c r="AC59" i="10"/>
  <c r="AC68" i="10"/>
  <c r="AD68" i="10" l="1"/>
  <c r="AD6" i="10"/>
  <c r="AD59" i="10"/>
  <c r="AF56" i="10"/>
  <c r="AF67" i="10" s="1"/>
  <c r="AE67" i="10"/>
  <c r="AC179" i="10"/>
  <c r="AC184" i="10" s="1"/>
  <c r="AC15" i="11"/>
  <c r="AF59" i="10" l="1"/>
  <c r="AF68" i="10"/>
  <c r="AF6" i="10"/>
  <c r="AD15" i="11"/>
  <c r="AD179" i="10"/>
  <c r="AD184" i="10" s="1"/>
  <c r="AE59" i="10"/>
  <c r="AE68" i="10"/>
  <c r="AE6" i="10"/>
  <c r="AF179" i="10" l="1"/>
  <c r="AF184" i="10" s="1"/>
  <c r="AF15" i="11"/>
  <c r="AE179" i="10"/>
  <c r="AE184" i="10" s="1"/>
  <c r="AE15" i="11"/>
  <c r="S57" i="10"/>
  <c r="T57" i="10" s="1"/>
  <c r="T69" i="10" s="1"/>
  <c r="S61" i="10"/>
  <c r="S70" i="10"/>
  <c r="T61" i="10" l="1"/>
  <c r="T22" i="10"/>
  <c r="T70" i="10"/>
  <c r="U57" i="10"/>
  <c r="V57" i="10" l="1"/>
  <c r="U69" i="10"/>
  <c r="T27" i="10"/>
  <c r="T17" i="11"/>
  <c r="T20" i="11" s="1"/>
  <c r="T185" i="10"/>
  <c r="T188" i="10" s="1"/>
  <c r="T189" i="10" s="1"/>
  <c r="U190" i="10" s="1"/>
  <c r="U170" i="10" s="1"/>
  <c r="T73" i="10" l="1"/>
  <c r="T33" i="10"/>
  <c r="T85" i="10"/>
  <c r="U22" i="10"/>
  <c r="U70" i="10"/>
  <c r="U61" i="10"/>
  <c r="T52" i="10"/>
  <c r="T57" i="11"/>
  <c r="W57" i="10"/>
  <c r="V69" i="10"/>
  <c r="U27" i="10" l="1"/>
  <c r="U185" i="10"/>
  <c r="U188" i="10" s="1"/>
  <c r="U189" i="10" s="1"/>
  <c r="V190" i="10" s="1"/>
  <c r="V170" i="10" s="1"/>
  <c r="U17" i="11"/>
  <c r="V22" i="10"/>
  <c r="V70" i="10"/>
  <c r="V61" i="10"/>
  <c r="T104" i="10"/>
  <c r="T105" i="10"/>
  <c r="T103" i="10"/>
  <c r="W69" i="10"/>
  <c r="X57" i="10"/>
  <c r="V27" i="10" l="1"/>
  <c r="V17" i="11"/>
  <c r="V185" i="10"/>
  <c r="V188" i="10" s="1"/>
  <c r="V189" i="10" s="1"/>
  <c r="W190" i="10" s="1"/>
  <c r="W170" i="10" s="1"/>
  <c r="U85" i="10"/>
  <c r="U73" i="10"/>
  <c r="U33" i="10"/>
  <c r="X69" i="10"/>
  <c r="Y57" i="10"/>
  <c r="W22" i="10"/>
  <c r="W70" i="10"/>
  <c r="W61" i="10"/>
  <c r="W27" i="10" l="1"/>
  <c r="W17" i="11"/>
  <c r="W185" i="10"/>
  <c r="W188" i="10" s="1"/>
  <c r="W189" i="10" s="1"/>
  <c r="X190" i="10" s="1"/>
  <c r="X170" i="10" s="1"/>
  <c r="X61" i="10"/>
  <c r="X22" i="10"/>
  <c r="X70" i="10"/>
  <c r="V85" i="10"/>
  <c r="V73" i="10"/>
  <c r="V33" i="10"/>
  <c r="Z57" i="10"/>
  <c r="Y69" i="10"/>
  <c r="W33" i="10" l="1"/>
  <c r="W85" i="10"/>
  <c r="W73" i="10"/>
  <c r="AA57" i="10"/>
  <c r="Z69" i="10"/>
  <c r="X27" i="10"/>
  <c r="X17" i="11"/>
  <c r="X185" i="10"/>
  <c r="X188" i="10" s="1"/>
  <c r="X189" i="10" s="1"/>
  <c r="Y190" i="10" s="1"/>
  <c r="Y170" i="10" s="1"/>
  <c r="Y22" i="10"/>
  <c r="Y70" i="10"/>
  <c r="Y61" i="10"/>
  <c r="X73" i="10" l="1"/>
  <c r="X33" i="10"/>
  <c r="X85" i="10"/>
  <c r="AA69" i="10"/>
  <c r="AB57" i="10"/>
  <c r="Z22" i="10"/>
  <c r="Z70" i="10"/>
  <c r="Z61" i="10"/>
  <c r="Y27" i="10"/>
  <c r="Y185" i="10"/>
  <c r="Y188" i="10" s="1"/>
  <c r="Y189" i="10" s="1"/>
  <c r="Z190" i="10" s="1"/>
  <c r="Z170" i="10" s="1"/>
  <c r="Y17" i="11"/>
  <c r="AA22" i="10" l="1"/>
  <c r="AA70" i="10"/>
  <c r="AA61" i="10"/>
  <c r="AB69" i="10"/>
  <c r="AC57" i="10"/>
  <c r="Y85" i="10"/>
  <c r="Y73" i="10"/>
  <c r="Y33" i="10"/>
  <c r="Z27" i="10"/>
  <c r="Z17" i="11"/>
  <c r="Z185" i="10"/>
  <c r="Z188" i="10" s="1"/>
  <c r="Z189" i="10" s="1"/>
  <c r="AA190" i="10" s="1"/>
  <c r="AA170" i="10" s="1"/>
  <c r="Z85" i="10" l="1"/>
  <c r="Z73" i="10"/>
  <c r="Z33" i="10"/>
  <c r="AB61" i="10"/>
  <c r="AB22" i="10"/>
  <c r="AB70" i="10"/>
  <c r="AD57" i="10"/>
  <c r="AC69" i="10"/>
  <c r="AA27" i="10"/>
  <c r="AA17" i="11"/>
  <c r="AA185" i="10"/>
  <c r="AA188" i="10" s="1"/>
  <c r="AA189" i="10" s="1"/>
  <c r="AB190" i="10" s="1"/>
  <c r="AB170" i="10" s="1"/>
  <c r="AC22" i="10" l="1"/>
  <c r="AC70" i="10"/>
  <c r="AC61" i="10"/>
  <c r="AA33" i="10"/>
  <c r="AA85" i="10"/>
  <c r="AA73" i="10"/>
  <c r="AE57" i="10"/>
  <c r="AD69" i="10"/>
  <c r="AB27" i="10"/>
  <c r="AB185" i="10"/>
  <c r="AB188" i="10" s="1"/>
  <c r="AB189" i="10" s="1"/>
  <c r="AC190" i="10" s="1"/>
  <c r="AC170" i="10" s="1"/>
  <c r="AB17" i="11"/>
  <c r="AB73" i="10" l="1"/>
  <c r="AB33" i="10"/>
  <c r="AB85" i="10"/>
  <c r="AC27" i="10"/>
  <c r="AC185" i="10"/>
  <c r="AC188" i="10" s="1"/>
  <c r="AC189" i="10" s="1"/>
  <c r="AD190" i="10" s="1"/>
  <c r="AD170" i="10" s="1"/>
  <c r="AC17" i="11"/>
  <c r="AD22" i="10"/>
  <c r="AD70" i="10"/>
  <c r="AD61" i="10"/>
  <c r="AE69" i="10"/>
  <c r="AF57" i="10"/>
  <c r="AF69" i="10" s="1"/>
  <c r="AC85" i="10" l="1"/>
  <c r="AC73" i="10"/>
  <c r="AC33" i="10"/>
  <c r="AE22" i="10"/>
  <c r="AE70" i="10"/>
  <c r="AE61" i="10"/>
  <c r="AF61" i="10"/>
  <c r="AF22" i="10"/>
  <c r="AF70" i="10"/>
  <c r="AD27" i="10"/>
  <c r="AD17" i="11"/>
  <c r="AD185" i="10"/>
  <c r="AD188" i="10" s="1"/>
  <c r="AD189" i="10" s="1"/>
  <c r="AE190" i="10" s="1"/>
  <c r="AE170" i="10" s="1"/>
  <c r="AD85" i="10" l="1"/>
  <c r="AD73" i="10"/>
  <c r="AD33" i="10"/>
  <c r="AF27" i="10"/>
  <c r="AF185" i="10"/>
  <c r="AF188" i="10" s="1"/>
  <c r="AF189" i="10" s="1"/>
  <c r="AF17" i="11"/>
  <c r="AE27" i="10"/>
  <c r="AE17" i="11"/>
  <c r="AE185" i="10"/>
  <c r="AE188" i="10" s="1"/>
  <c r="AE189" i="10" s="1"/>
  <c r="AF190" i="10" s="1"/>
  <c r="AF170" i="10" s="1"/>
  <c r="AE33" i="10" l="1"/>
  <c r="AE85" i="10"/>
  <c r="AE73" i="10"/>
  <c r="AF73" i="10"/>
  <c r="AF33" i="10"/>
  <c r="AF85" i="10"/>
  <c r="T70" i="11"/>
  <c r="U70" i="11" s="1"/>
  <c r="S72" i="11"/>
  <c r="T74" i="11"/>
  <c r="T76" i="11"/>
  <c r="T80" i="11"/>
  <c r="T32" i="11" s="1"/>
  <c r="T45" i="11" s="1"/>
  <c r="T47" i="11" s="1"/>
  <c r="T49" i="11" s="1"/>
  <c r="T81" i="11"/>
  <c r="T33" i="11" s="1"/>
  <c r="T59" i="11" s="1"/>
  <c r="T60" i="11" s="1"/>
  <c r="H6" i="17" s="1"/>
  <c r="T82" i="11"/>
  <c r="S83" i="11"/>
  <c r="S84" i="11"/>
  <c r="T84" i="11"/>
  <c r="T93" i="11"/>
  <c r="U92" i="11" s="1"/>
  <c r="T211" i="11"/>
  <c r="CJ86" i="4"/>
  <c r="T94" i="11" s="1"/>
  <c r="H8" i="17" l="1"/>
  <c r="H11" i="17"/>
  <c r="T103" i="11"/>
  <c r="T104" i="11" s="1"/>
  <c r="CF86" i="4"/>
  <c r="CH86" i="4"/>
  <c r="CJ87" i="4"/>
  <c r="CG86" i="4"/>
  <c r="T65" i="11"/>
  <c r="T3" i="10"/>
  <c r="U48" i="11"/>
  <c r="U74" i="11"/>
  <c r="U82" i="11"/>
  <c r="V70" i="11" s="1"/>
  <c r="T71" i="11"/>
  <c r="U76" i="11"/>
  <c r="U84" i="11"/>
  <c r="T91" i="11"/>
  <c r="T38" i="10" s="1"/>
  <c r="CI86" i="4" l="1"/>
  <c r="V74" i="11"/>
  <c r="V82" i="11"/>
  <c r="U71" i="11"/>
  <c r="V76" i="11"/>
  <c r="V84" i="11" s="1"/>
  <c r="T61" i="11"/>
  <c r="T63" i="11" s="1"/>
  <c r="T64" i="11" s="1"/>
  <c r="T95" i="11"/>
  <c r="T112" i="11" s="1"/>
  <c r="CF87" i="4"/>
  <c r="CF84" i="4" s="1"/>
  <c r="CG87" i="4"/>
  <c r="CG84" i="4" s="1"/>
  <c r="CJ88" i="4"/>
  <c r="CJ84" i="4"/>
  <c r="CH87" i="4"/>
  <c r="CH84" i="4" s="1"/>
  <c r="U80" i="11"/>
  <c r="U81" i="11"/>
  <c r="U33" i="11" s="1"/>
  <c r="U59" i="11" s="1"/>
  <c r="U93" i="11"/>
  <c r="T41" i="10"/>
  <c r="T90" i="10"/>
  <c r="T10" i="10"/>
  <c r="T51" i="11"/>
  <c r="T53" i="11"/>
  <c r="C14" i="17"/>
  <c r="CO23" i="4"/>
  <c r="T92" i="10" l="1"/>
  <c r="T102" i="10"/>
  <c r="T42" i="10"/>
  <c r="CO24" i="4"/>
  <c r="U32" i="11"/>
  <c r="U211" i="11" s="1"/>
  <c r="U91" i="11"/>
  <c r="U38" i="10" s="1"/>
  <c r="C22" i="17"/>
  <c r="CJ39" i="4"/>
  <c r="CF88" i="4"/>
  <c r="CJ32" i="4"/>
  <c r="T108" i="11" s="1"/>
  <c r="CG88" i="4"/>
  <c r="CJ131" i="4"/>
  <c r="CH88" i="4"/>
  <c r="T106" i="10"/>
  <c r="V92" i="11"/>
  <c r="CO86" i="4"/>
  <c r="CI87" i="4"/>
  <c r="CI84" i="4" s="1"/>
  <c r="V81" i="11"/>
  <c r="V33" i="11" s="1"/>
  <c r="V59" i="11" s="1"/>
  <c r="V80" i="11"/>
  <c r="T19" i="10"/>
  <c r="T76" i="10"/>
  <c r="T89" i="10"/>
  <c r="W70" i="11"/>
  <c r="CI88" i="4" l="1"/>
  <c r="CI39" i="4" s="1"/>
  <c r="T110" i="11"/>
  <c r="T111" i="11" s="1"/>
  <c r="U94" i="11"/>
  <c r="CO87" i="4"/>
  <c r="CJ132" i="4"/>
  <c r="CF32" i="4"/>
  <c r="CF39" i="4"/>
  <c r="CO25" i="4"/>
  <c r="T98" i="10"/>
  <c r="T82" i="10"/>
  <c r="T93" i="10"/>
  <c r="T97" i="10"/>
  <c r="V32" i="11"/>
  <c r="V211" i="11" s="1"/>
  <c r="V91" i="11"/>
  <c r="V38" i="10" s="1"/>
  <c r="V93" i="11"/>
  <c r="W92" i="11" s="1"/>
  <c r="CT86" i="4"/>
  <c r="V94" i="11" s="1"/>
  <c r="T43" i="10"/>
  <c r="CH32" i="4"/>
  <c r="CH39" i="4"/>
  <c r="W74" i="11"/>
  <c r="W84" i="11" s="1"/>
  <c r="V71" i="11"/>
  <c r="W76" i="11"/>
  <c r="W82" i="11"/>
  <c r="CG32" i="4"/>
  <c r="CG39" i="4"/>
  <c r="CI32" i="4" l="1"/>
  <c r="W80" i="11"/>
  <c r="W81" i="11"/>
  <c r="W33" i="11" s="1"/>
  <c r="W59" i="11" s="1"/>
  <c r="X70" i="11"/>
  <c r="U50" i="10"/>
  <c r="W93" i="11"/>
  <c r="X92" i="11" s="1"/>
  <c r="CO28" i="4"/>
  <c r="CO30" i="4" s="1"/>
  <c r="U61" i="11"/>
  <c r="U63" i="11" s="1"/>
  <c r="U95" i="11"/>
  <c r="U112" i="11" s="1"/>
  <c r="CT87" i="4"/>
  <c r="CO88" i="4"/>
  <c r="X93" i="11" l="1"/>
  <c r="Y92" i="11" s="1"/>
  <c r="W32" i="11"/>
  <c r="W211" i="11" s="1"/>
  <c r="W91" i="11"/>
  <c r="W38" i="10" s="1"/>
  <c r="U51" i="10"/>
  <c r="CO32" i="4"/>
  <c r="U108" i="11" s="1"/>
  <c r="CO38" i="4"/>
  <c r="CO39" i="4" s="1"/>
  <c r="CO82" i="4"/>
  <c r="CO98" i="4"/>
  <c r="CT88" i="4"/>
  <c r="CO131" i="4"/>
  <c r="V61" i="11"/>
  <c r="V63" i="11" s="1"/>
  <c r="V95" i="11"/>
  <c r="V112" i="11" s="1"/>
  <c r="CY86" i="4"/>
  <c r="W94" i="11" s="1"/>
  <c r="W71" i="11"/>
  <c r="X76" i="11"/>
  <c r="X74" i="11"/>
  <c r="X84" i="11" s="1"/>
  <c r="X82" i="11"/>
  <c r="CO132" i="4" l="1"/>
  <c r="U3" i="11"/>
  <c r="U117" i="11"/>
  <c r="CO136" i="4"/>
  <c r="CO84" i="4"/>
  <c r="CY87" i="4"/>
  <c r="X80" i="11"/>
  <c r="X81" i="11"/>
  <c r="X33" i="11" s="1"/>
  <c r="X59" i="11" s="1"/>
  <c r="U95" i="10"/>
  <c r="Y70" i="11"/>
  <c r="CT131" i="4"/>
  <c r="U110" i="11"/>
  <c r="U111" i="11" s="1"/>
  <c r="DD86" i="4"/>
  <c r="X94" i="11" s="1"/>
  <c r="Y74" i="11" l="1"/>
  <c r="Y84" i="11" s="1"/>
  <c r="Y82" i="11"/>
  <c r="X71" i="11"/>
  <c r="Y76" i="11"/>
  <c r="W61" i="11"/>
  <c r="W63" i="11" s="1"/>
  <c r="W95" i="11"/>
  <c r="W112" i="11" s="1"/>
  <c r="DD87" i="4"/>
  <c r="U20" i="11"/>
  <c r="U43" i="11"/>
  <c r="U101" i="11"/>
  <c r="CY88" i="4"/>
  <c r="X32" i="11"/>
  <c r="X211" i="11" s="1"/>
  <c r="X91" i="11"/>
  <c r="X38" i="10" s="1"/>
  <c r="DD88" i="4" l="1"/>
  <c r="Y80" i="11"/>
  <c r="Y81" i="11"/>
  <c r="Y33" i="11" s="1"/>
  <c r="Y59" i="11" s="1"/>
  <c r="Y93" i="11"/>
  <c r="U45" i="11"/>
  <c r="U47" i="11" s="1"/>
  <c r="U49" i="11" s="1"/>
  <c r="U119" i="11"/>
  <c r="X61" i="11"/>
  <c r="X63" i="11" s="1"/>
  <c r="X95" i="11"/>
  <c r="X112" i="11" s="1"/>
  <c r="Z70" i="11"/>
  <c r="U52" i="10"/>
  <c r="U57" i="11"/>
  <c r="U60" i="11" s="1"/>
  <c r="Z92" i="11" l="1"/>
  <c r="DI86" i="4"/>
  <c r="U103" i="10"/>
  <c r="U104" i="10"/>
  <c r="U105" i="10"/>
  <c r="U3" i="10"/>
  <c r="V48" i="11"/>
  <c r="U65" i="11"/>
  <c r="U64" i="11"/>
  <c r="I6" i="17"/>
  <c r="U103" i="11"/>
  <c r="U104" i="11" s="1"/>
  <c r="Z74" i="11"/>
  <c r="Z82" i="11"/>
  <c r="Y71" i="11"/>
  <c r="Z76" i="11"/>
  <c r="Z84" i="11" s="1"/>
  <c r="U118" i="11"/>
  <c r="U121" i="11"/>
  <c r="Y32" i="11"/>
  <c r="Y211" i="11" s="1"/>
  <c r="Y91" i="11"/>
  <c r="Y38" i="10" s="1"/>
  <c r="Z81" i="11" l="1"/>
  <c r="Z33" i="11" s="1"/>
  <c r="Z59" i="11" s="1"/>
  <c r="Z80" i="11"/>
  <c r="Z93" i="11"/>
  <c r="AA92" i="11" s="1"/>
  <c r="DN86" i="4"/>
  <c r="Z94" i="11" s="1"/>
  <c r="U10" i="10"/>
  <c r="U90" i="10"/>
  <c r="U51" i="11"/>
  <c r="U53" i="11"/>
  <c r="CT23" i="4"/>
  <c r="U39" i="10"/>
  <c r="U41" i="10" s="1"/>
  <c r="V116" i="11"/>
  <c r="I11" i="17"/>
  <c r="I8" i="17"/>
  <c r="AA70" i="11"/>
  <c r="Y94" i="11"/>
  <c r="DI87" i="4"/>
  <c r="U89" i="10" l="1"/>
  <c r="U19" i="10"/>
  <c r="U76" i="10"/>
  <c r="U42" i="10"/>
  <c r="U102" i="10"/>
  <c r="U92" i="10"/>
  <c r="U106" i="10"/>
  <c r="AA93" i="11"/>
  <c r="AB92" i="11" s="1"/>
  <c r="DS86" i="4"/>
  <c r="AA94" i="11" s="1"/>
  <c r="Y61" i="11"/>
  <c r="Y63" i="11" s="1"/>
  <c r="Y95" i="11"/>
  <c r="Y112" i="11" s="1"/>
  <c r="DN87" i="4"/>
  <c r="DI88" i="4"/>
  <c r="DN88" i="4" s="1"/>
  <c r="AA74" i="11"/>
  <c r="AA84" i="11" s="1"/>
  <c r="Z71" i="11"/>
  <c r="AA76" i="11"/>
  <c r="AA82" i="11"/>
  <c r="CT24" i="4"/>
  <c r="Z32" i="11"/>
  <c r="Z211" i="11" s="1"/>
  <c r="Z91" i="11"/>
  <c r="Z38" i="10" s="1"/>
  <c r="U43" i="10" l="1"/>
  <c r="Z61" i="11"/>
  <c r="Z63" i="11" s="1"/>
  <c r="Z95" i="11"/>
  <c r="Z112" i="11" s="1"/>
  <c r="DS87" i="4"/>
  <c r="AA80" i="11"/>
  <c r="AA81" i="11"/>
  <c r="AA33" i="11" s="1"/>
  <c r="AA59" i="11" s="1"/>
  <c r="AB70" i="11"/>
  <c r="DS88" i="4"/>
  <c r="CT25" i="4"/>
  <c r="CT28" i="4" s="1"/>
  <c r="CT30" i="4" s="1"/>
  <c r="U97" i="10"/>
  <c r="U98" i="10"/>
  <c r="U82" i="10"/>
  <c r="U93" i="10"/>
  <c r="AA71" i="11" l="1"/>
  <c r="AB76" i="11"/>
  <c r="AB74" i="11"/>
  <c r="AB84" i="11" s="1"/>
  <c r="AB82" i="11"/>
  <c r="AA61" i="11"/>
  <c r="AA63" i="11" s="1"/>
  <c r="AA95" i="11"/>
  <c r="AA112" i="11" s="1"/>
  <c r="V51" i="10"/>
  <c r="CT32" i="4"/>
  <c r="CT38" i="4"/>
  <c r="CT39" i="4" s="1"/>
  <c r="CT82" i="4"/>
  <c r="CT98" i="4"/>
  <c r="V50" i="10"/>
  <c r="AA32" i="11"/>
  <c r="AA211" i="11" s="1"/>
  <c r="AA91" i="11"/>
  <c r="AA38" i="10" s="1"/>
  <c r="AC70" i="11" l="1"/>
  <c r="V3" i="11"/>
  <c r="V117" i="11"/>
  <c r="CT84" i="4"/>
  <c r="CT136" i="4"/>
  <c r="V108" i="11"/>
  <c r="CT132" i="4"/>
  <c r="AB80" i="11"/>
  <c r="AB81" i="11"/>
  <c r="AB33" i="11" s="1"/>
  <c r="AB59" i="11" s="1"/>
  <c r="AB93" i="11"/>
  <c r="V95" i="10"/>
  <c r="AC92" i="11" l="1"/>
  <c r="DX86" i="4"/>
  <c r="V110" i="11"/>
  <c r="V111" i="11" s="1"/>
  <c r="V20" i="11"/>
  <c r="V43" i="11"/>
  <c r="V101" i="11"/>
  <c r="AB32" i="11"/>
  <c r="AB211" i="11" s="1"/>
  <c r="AB91" i="11"/>
  <c r="AB38" i="10" s="1"/>
  <c r="AC74" i="11"/>
  <c r="AC82" i="11"/>
  <c r="AB71" i="11"/>
  <c r="AC76" i="11"/>
  <c r="AC80" i="11" l="1"/>
  <c r="AC81" i="11"/>
  <c r="AC33" i="11" s="1"/>
  <c r="AC59" i="11" s="1"/>
  <c r="AC84" i="11"/>
  <c r="AD70" i="11"/>
  <c r="V45" i="11"/>
  <c r="V47" i="11" s="1"/>
  <c r="V49" i="11" s="1"/>
  <c r="V119" i="11"/>
  <c r="V52" i="10"/>
  <c r="V57" i="11"/>
  <c r="V60" i="11" s="1"/>
  <c r="AB94" i="11"/>
  <c r="DX87" i="4"/>
  <c r="AC93" i="11"/>
  <c r="AD92" i="11" s="1"/>
  <c r="AC32" i="11" l="1"/>
  <c r="AC211" i="11" s="1"/>
  <c r="AC91" i="11"/>
  <c r="AC38" i="10" s="1"/>
  <c r="AB61" i="11"/>
  <c r="AB63" i="11" s="1"/>
  <c r="AB95" i="11"/>
  <c r="AB112" i="11" s="1"/>
  <c r="EC87" i="4"/>
  <c r="DX88" i="4"/>
  <c r="V118" i="11"/>
  <c r="V121" i="11"/>
  <c r="V3" i="10"/>
  <c r="W48" i="11"/>
  <c r="V103" i="10"/>
  <c r="V104" i="10"/>
  <c r="V105" i="10"/>
  <c r="EC86" i="4"/>
  <c r="AC94" i="11" s="1"/>
  <c r="V64" i="11"/>
  <c r="V65" i="11"/>
  <c r="V103" i="11"/>
  <c r="V104" i="11" s="1"/>
  <c r="J6" i="17"/>
  <c r="AD74" i="11"/>
  <c r="AD82" i="11"/>
  <c r="AC71" i="11"/>
  <c r="AD76" i="11"/>
  <c r="V39" i="10" l="1"/>
  <c r="V41" i="10" s="1"/>
  <c r="V106" i="10" s="1"/>
  <c r="W116" i="11"/>
  <c r="AD81" i="11"/>
  <c r="AD33" i="11" s="1"/>
  <c r="AD59" i="11" s="1"/>
  <c r="AD80" i="11"/>
  <c r="AC61" i="11"/>
  <c r="AC63" i="11" s="1"/>
  <c r="AC95" i="11"/>
  <c r="AC112" i="11" s="1"/>
  <c r="AD93" i="11"/>
  <c r="AD84" i="11"/>
  <c r="J8" i="17"/>
  <c r="J11" i="17"/>
  <c r="AE70" i="11"/>
  <c r="EC88" i="4"/>
  <c r="V10" i="10"/>
  <c r="V90" i="10"/>
  <c r="V51" i="11"/>
  <c r="V53" i="11"/>
  <c r="CY23" i="4"/>
  <c r="CY24" i="4" s="1"/>
  <c r="AE74" i="11" l="1"/>
  <c r="AE84" i="11" s="1"/>
  <c r="AD71" i="11"/>
  <c r="AE76" i="11"/>
  <c r="AE82" i="11"/>
  <c r="AE92" i="11"/>
  <c r="EH86" i="4"/>
  <c r="AD32" i="11"/>
  <c r="AD211" i="11" s="1"/>
  <c r="AD91" i="11"/>
  <c r="AD38" i="10" s="1"/>
  <c r="V42" i="10"/>
  <c r="V102" i="10"/>
  <c r="V92" i="10"/>
  <c r="CY25" i="4"/>
  <c r="W50" i="10" s="1"/>
  <c r="V89" i="10"/>
  <c r="V19" i="10"/>
  <c r="V76" i="10"/>
  <c r="CY28" i="4" l="1"/>
  <c r="CY30" i="4" s="1"/>
  <c r="W51" i="10" s="1"/>
  <c r="AD94" i="11"/>
  <c r="EH87" i="4"/>
  <c r="AE80" i="11"/>
  <c r="AE81" i="11"/>
  <c r="AE33" i="11" s="1"/>
  <c r="AE59" i="11" s="1"/>
  <c r="V43" i="10"/>
  <c r="AE93" i="11"/>
  <c r="AF92" i="11" s="1"/>
  <c r="EM86" i="4"/>
  <c r="AE94" i="11" s="1"/>
  <c r="AF70" i="11"/>
  <c r="V82" i="10"/>
  <c r="V97" i="10"/>
  <c r="V98" i="10"/>
  <c r="V93" i="10"/>
  <c r="CY32" i="4" l="1"/>
  <c r="W108" i="11" s="1"/>
  <c r="W110" i="11" s="1"/>
  <c r="W111" i="11" s="1"/>
  <c r="CY98" i="4"/>
  <c r="CY82" i="4"/>
  <c r="CY136" i="4" s="1"/>
  <c r="CY38" i="4"/>
  <c r="CY39" i="4" s="1"/>
  <c r="W95" i="10"/>
  <c r="AE71" i="11"/>
  <c r="AF76" i="11"/>
  <c r="AF71" i="11"/>
  <c r="AF74" i="11"/>
  <c r="AF84" i="11" s="1"/>
  <c r="AF82" i="11"/>
  <c r="AF93" i="11"/>
  <c r="ER86" i="4" s="1"/>
  <c r="AF94" i="11" s="1"/>
  <c r="AE32" i="11"/>
  <c r="AE211" i="11" s="1"/>
  <c r="AE91" i="11"/>
  <c r="AE38" i="10" s="1"/>
  <c r="AD61" i="11"/>
  <c r="AD63" i="11" s="1"/>
  <c r="AD95" i="11"/>
  <c r="AD112" i="11" s="1"/>
  <c r="EM87" i="4"/>
  <c r="EH88" i="4"/>
  <c r="EM88" i="4" s="1"/>
  <c r="CY84" i="4" l="1"/>
  <c r="W117" i="11"/>
  <c r="W3" i="11"/>
  <c r="W43" i="11" s="1"/>
  <c r="AF80" i="11"/>
  <c r="AF81" i="11"/>
  <c r="AF33" i="11" s="1"/>
  <c r="AF59" i="11" s="1"/>
  <c r="AE61" i="11"/>
  <c r="AE63" i="11" s="1"/>
  <c r="AE95" i="11"/>
  <c r="AE112" i="11" s="1"/>
  <c r="ER87" i="4"/>
  <c r="ER88" i="4" s="1"/>
  <c r="W20" i="11" l="1"/>
  <c r="W52" i="10" s="1"/>
  <c r="AF61" i="11"/>
  <c r="AF63" i="11" s="1"/>
  <c r="AF95" i="11"/>
  <c r="AF112" i="11" s="1"/>
  <c r="AF32" i="11"/>
  <c r="AF211" i="11" s="1"/>
  <c r="AF91" i="11"/>
  <c r="AF38" i="10" s="1"/>
  <c r="W45" i="11"/>
  <c r="W119" i="11"/>
  <c r="W47" i="11" l="1"/>
  <c r="W49" i="11" s="1"/>
  <c r="W3" i="10" s="1"/>
  <c r="W57" i="11"/>
  <c r="W60" i="11" s="1"/>
  <c r="K6" i="17" s="1"/>
  <c r="W100" i="11"/>
  <c r="W102" i="11" s="1"/>
  <c r="W118" i="11"/>
  <c r="W121" i="11"/>
  <c r="W103" i="10"/>
  <c r="W104" i="10"/>
  <c r="W105" i="10"/>
  <c r="W64" i="11" l="1"/>
  <c r="W65" i="11"/>
  <c r="W103" i="11"/>
  <c r="W104" i="11" s="1"/>
  <c r="X48" i="11"/>
  <c r="CY131" i="4"/>
  <c r="CY132" i="4" s="1"/>
  <c r="K8" i="17"/>
  <c r="K11" i="17"/>
  <c r="W10" i="10"/>
  <c r="W90" i="10"/>
  <c r="W53" i="11"/>
  <c r="W51" i="11"/>
  <c r="DD23" i="4"/>
  <c r="DD24" i="4" s="1"/>
  <c r="W39" i="10"/>
  <c r="W41" i="10" s="1"/>
  <c r="W106" i="10" s="1"/>
  <c r="X116" i="11"/>
  <c r="DD25" i="4" l="1"/>
  <c r="X50" i="10" s="1"/>
  <c r="W76" i="10"/>
  <c r="W89" i="10"/>
  <c r="W19" i="10"/>
  <c r="W102" i="10"/>
  <c r="W42" i="10"/>
  <c r="W92" i="10"/>
  <c r="DD28" i="4" l="1"/>
  <c r="DD30" i="4" s="1"/>
  <c r="DD82" i="4" s="1"/>
  <c r="W43" i="10"/>
  <c r="W82" i="10"/>
  <c r="W97" i="10"/>
  <c r="W98" i="10"/>
  <c r="W93" i="10"/>
  <c r="DD38" i="4" l="1"/>
  <c r="DD39" i="4" s="1"/>
  <c r="DD32" i="4"/>
  <c r="X108" i="11" s="1"/>
  <c r="X110" i="11" s="1"/>
  <c r="X111" i="11" s="1"/>
  <c r="DD98" i="4"/>
  <c r="X51" i="10"/>
  <c r="X95" i="10" s="1"/>
  <c r="X3" i="11"/>
  <c r="X117" i="11"/>
  <c r="DD136" i="4"/>
  <c r="DD84" i="4"/>
  <c r="X20" i="11" l="1"/>
  <c r="X43" i="11"/>
  <c r="X45" i="11" l="1"/>
  <c r="X47" i="11" s="1"/>
  <c r="X49" i="11" s="1"/>
  <c r="X119" i="11"/>
  <c r="X52" i="10"/>
  <c r="X57" i="11"/>
  <c r="X60" i="11" s="1"/>
  <c r="X100" i="11"/>
  <c r="X102" i="11" l="1"/>
  <c r="CF131" i="4"/>
  <c r="DD131" i="4"/>
  <c r="DD132" i="4" s="1"/>
  <c r="X3" i="10"/>
  <c r="Y48" i="11"/>
  <c r="X64" i="11"/>
  <c r="X65" i="11"/>
  <c r="L6" i="17"/>
  <c r="X103" i="11"/>
  <c r="X103" i="10"/>
  <c r="X104" i="10"/>
  <c r="X105" i="10"/>
  <c r="X118" i="11"/>
  <c r="X121" i="11"/>
  <c r="L8" i="17" l="1"/>
  <c r="L11" i="17"/>
  <c r="X90" i="10"/>
  <c r="X10" i="10"/>
  <c r="X51" i="11"/>
  <c r="X53" i="11"/>
  <c r="DI23" i="4"/>
  <c r="DI24" i="4" s="1"/>
  <c r="X104" i="11"/>
  <c r="X39" i="10"/>
  <c r="X41" i="10" s="1"/>
  <c r="X106" i="10" s="1"/>
  <c r="Y116" i="11"/>
  <c r="DI25" i="4" l="1"/>
  <c r="Y50" i="10" s="1"/>
  <c r="X19" i="10"/>
  <c r="X76" i="10"/>
  <c r="X89" i="10"/>
  <c r="X102" i="10"/>
  <c r="X42" i="10"/>
  <c r="X92" i="10"/>
  <c r="X43" i="10" l="1"/>
  <c r="X98" i="10"/>
  <c r="X82" i="10"/>
  <c r="X97" i="10"/>
  <c r="X93" i="10"/>
  <c r="DI28" i="4"/>
  <c r="DI30" i="4" s="1"/>
  <c r="Y51" i="10" l="1"/>
  <c r="DI32" i="4"/>
  <c r="Y108" i="11" s="1"/>
  <c r="DI38" i="4"/>
  <c r="DI39" i="4" s="1"/>
  <c r="DI82" i="4"/>
  <c r="DI98" i="4"/>
  <c r="Y3" i="11" l="1"/>
  <c r="Y117" i="11"/>
  <c r="DI136" i="4"/>
  <c r="DI84" i="4"/>
  <c r="Y95" i="10"/>
  <c r="Y110" i="11"/>
  <c r="Y111" i="11" s="1"/>
  <c r="Y20" i="11" l="1"/>
  <c r="Y43" i="11"/>
  <c r="Y52" i="10" l="1"/>
  <c r="Y57" i="11"/>
  <c r="Y60" i="11" s="1"/>
  <c r="Y100" i="11"/>
  <c r="Y45" i="11"/>
  <c r="Y47" i="11" s="1"/>
  <c r="Y49" i="11" s="1"/>
  <c r="Y119" i="11"/>
  <c r="Y3" i="10" l="1"/>
  <c r="Z48" i="11"/>
  <c r="Y118" i="11"/>
  <c r="Y121" i="11"/>
  <c r="Y103" i="10"/>
  <c r="Y104" i="10"/>
  <c r="Y105" i="10"/>
  <c r="Y102" i="11"/>
  <c r="CG131" i="4"/>
  <c r="DI131" i="4"/>
  <c r="DI132" i="4" s="1"/>
  <c r="Y65" i="11"/>
  <c r="Y64" i="11"/>
  <c r="M6" i="17"/>
  <c r="Y103" i="11"/>
  <c r="Y39" i="10" l="1"/>
  <c r="Y41" i="10" s="1"/>
  <c r="Y106" i="10" s="1"/>
  <c r="Z116" i="11"/>
  <c r="M11" i="17"/>
  <c r="M8" i="17"/>
  <c r="Y10" i="10"/>
  <c r="Y90" i="10"/>
  <c r="Y51" i="11"/>
  <c r="Y53" i="11"/>
  <c r="DN23" i="4"/>
  <c r="DN24" i="4" s="1"/>
  <c r="Y104" i="11"/>
  <c r="DN25" i="4" l="1"/>
  <c r="Z50" i="10" s="1"/>
  <c r="Y89" i="10"/>
  <c r="Y19" i="10"/>
  <c r="Y76" i="10"/>
  <c r="Y42" i="10"/>
  <c r="Y102" i="10"/>
  <c r="Y92" i="10"/>
  <c r="Y43" i="10" l="1"/>
  <c r="DN28" i="4"/>
  <c r="DN30" i="4" s="1"/>
  <c r="DN38" i="4" s="1"/>
  <c r="DN39" i="4" s="1"/>
  <c r="Y97" i="10"/>
  <c r="Y98" i="10"/>
  <c r="Y82" i="10"/>
  <c r="Y93" i="10"/>
  <c r="Z51" i="10" l="1"/>
  <c r="Z95" i="10" s="1"/>
  <c r="DN82" i="4"/>
  <c r="DN84" i="4" s="1"/>
  <c r="DN98" i="4"/>
  <c r="DN32" i="4"/>
  <c r="Z108" i="11" s="1"/>
  <c r="Z110" i="11" s="1"/>
  <c r="Z111" i="11" s="1"/>
  <c r="Z117" i="11" l="1"/>
  <c r="Z3" i="11"/>
  <c r="Z43" i="11" s="1"/>
  <c r="DN136" i="4"/>
  <c r="Z20" i="11" l="1"/>
  <c r="Z52" i="10" s="1"/>
  <c r="Z45" i="11"/>
  <c r="Z119" i="11"/>
  <c r="Z57" i="11" l="1"/>
  <c r="Z60" i="11" s="1"/>
  <c r="Z65" i="11" s="1"/>
  <c r="Z100" i="11"/>
  <c r="Z102" i="11" s="1"/>
  <c r="Z47" i="11"/>
  <c r="Z49" i="11" s="1"/>
  <c r="Z3" i="10" s="1"/>
  <c r="Z103" i="10"/>
  <c r="Z104" i="10"/>
  <c r="Z105" i="10"/>
  <c r="Z118" i="11"/>
  <c r="Z121" i="11"/>
  <c r="DN131" i="4" l="1"/>
  <c r="DN132" i="4" s="1"/>
  <c r="CH131" i="4"/>
  <c r="Z64" i="11"/>
  <c r="AA48" i="11"/>
  <c r="N6" i="17"/>
  <c r="N8" i="17" s="1"/>
  <c r="Z103" i="11"/>
  <c r="Z104" i="11" s="1"/>
  <c r="Z10" i="10"/>
  <c r="Z90" i="10"/>
  <c r="Z51" i="11"/>
  <c r="Z53" i="11"/>
  <c r="DS23" i="4"/>
  <c r="DS24" i="4" s="1"/>
  <c r="Z39" i="10"/>
  <c r="Z41" i="10" s="1"/>
  <c r="Z106" i="10" s="1"/>
  <c r="AA116" i="11"/>
  <c r="N11" i="17" l="1"/>
  <c r="Z42" i="10"/>
  <c r="Z102" i="10"/>
  <c r="Z92" i="10"/>
  <c r="DS25" i="4"/>
  <c r="AA50" i="10" s="1"/>
  <c r="Z89" i="10"/>
  <c r="Z19" i="10"/>
  <c r="Z76" i="10"/>
  <c r="Z43" i="10" l="1"/>
  <c r="Z82" i="10"/>
  <c r="Z97" i="10"/>
  <c r="Z98" i="10"/>
  <c r="Z93" i="10"/>
  <c r="DS28" i="4"/>
  <c r="DS30" i="4" s="1"/>
  <c r="AA51" i="10" l="1"/>
  <c r="DS82" i="4"/>
  <c r="DS98" i="4"/>
  <c r="DS32" i="4"/>
  <c r="AA108" i="11" s="1"/>
  <c r="DS38" i="4"/>
  <c r="DS39" i="4" s="1"/>
  <c r="AA110" i="11" l="1"/>
  <c r="AA111" i="11" s="1"/>
  <c r="AA95" i="10"/>
  <c r="AA3" i="11"/>
  <c r="AA117" i="11"/>
  <c r="DS84" i="4"/>
  <c r="DS136" i="4"/>
  <c r="AA20" i="11" l="1"/>
  <c r="AA43" i="11"/>
  <c r="AA45" i="11" l="1"/>
  <c r="AA47" i="11" s="1"/>
  <c r="AA49" i="11" s="1"/>
  <c r="AA119" i="11"/>
  <c r="AA52" i="10"/>
  <c r="AA57" i="11"/>
  <c r="AA60" i="11" s="1"/>
  <c r="AA100" i="11"/>
  <c r="AA103" i="10" l="1"/>
  <c r="AA104" i="10"/>
  <c r="AA105" i="10"/>
  <c r="AA64" i="11"/>
  <c r="AA65" i="11"/>
  <c r="AA103" i="11"/>
  <c r="O6" i="17"/>
  <c r="AA118" i="11"/>
  <c r="AA121" i="11"/>
  <c r="AA102" i="11"/>
  <c r="CI131" i="4"/>
  <c r="DS131" i="4"/>
  <c r="DS132" i="4" s="1"/>
  <c r="AA3" i="10"/>
  <c r="AB48" i="11"/>
  <c r="AA104" i="11" l="1"/>
  <c r="AA39" i="10"/>
  <c r="AA41" i="10" s="1"/>
  <c r="AA106" i="10" s="1"/>
  <c r="AB116" i="11"/>
  <c r="AA10" i="10"/>
  <c r="AA90" i="10"/>
  <c r="AA53" i="11"/>
  <c r="AA51" i="11"/>
  <c r="DX23" i="4"/>
  <c r="DX24" i="4" s="1"/>
  <c r="O8" i="17"/>
  <c r="C19" i="17" s="1"/>
  <c r="O11" i="17"/>
  <c r="DX25" i="4" l="1"/>
  <c r="AB50" i="10" s="1"/>
  <c r="AA76" i="10"/>
  <c r="AA89" i="10"/>
  <c r="AA19" i="10"/>
  <c r="AA102" i="10"/>
  <c r="AA42" i="10"/>
  <c r="AA92" i="10"/>
  <c r="AA43" i="10" l="1"/>
  <c r="AA82" i="10"/>
  <c r="AA97" i="10"/>
  <c r="AA98" i="10"/>
  <c r="AA93" i="10"/>
  <c r="DX28" i="4"/>
  <c r="DX30" i="4" s="1"/>
  <c r="AB51" i="10" l="1"/>
  <c r="DX38" i="4"/>
  <c r="DX39" i="4" s="1"/>
  <c r="DX82" i="4"/>
  <c r="DX98" i="4"/>
  <c r="DX32" i="4"/>
  <c r="AB108" i="11" s="1"/>
  <c r="AB95" i="10" l="1"/>
  <c r="AB110" i="11"/>
  <c r="AB111" i="11" s="1"/>
  <c r="AB3" i="11"/>
  <c r="AB117" i="11"/>
  <c r="DX84" i="4"/>
  <c r="DX136" i="4"/>
  <c r="AB20" i="11" l="1"/>
  <c r="AB43" i="11"/>
  <c r="AB45" i="11" l="1"/>
  <c r="AB47" i="11" s="1"/>
  <c r="AB49" i="11" s="1"/>
  <c r="AB119" i="11"/>
  <c r="AB52" i="10"/>
  <c r="AB57" i="11"/>
  <c r="AB60" i="11" s="1"/>
  <c r="AB100" i="11"/>
  <c r="AB102" i="11" l="1"/>
  <c r="DX131" i="4"/>
  <c r="DX132" i="4" s="1"/>
  <c r="AB3" i="10"/>
  <c r="AC48" i="11"/>
  <c r="AB64" i="11"/>
  <c r="AB65" i="11"/>
  <c r="P6" i="17"/>
  <c r="AB103" i="11"/>
  <c r="AB103" i="10"/>
  <c r="AB104" i="10"/>
  <c r="AB105" i="10"/>
  <c r="AB118" i="11"/>
  <c r="AB121" i="11"/>
  <c r="AB104" i="11" l="1"/>
  <c r="AB39" i="10"/>
  <c r="AB41" i="10" s="1"/>
  <c r="AC116" i="11"/>
  <c r="P8" i="17"/>
  <c r="P11" i="17"/>
  <c r="AB90" i="10"/>
  <c r="AB10" i="10"/>
  <c r="AB51" i="11"/>
  <c r="AB53" i="11"/>
  <c r="EC23" i="4"/>
  <c r="EC24" i="4" s="1"/>
  <c r="AB102" i="10" l="1"/>
  <c r="AB42" i="10"/>
  <c r="AB92" i="10"/>
  <c r="AB19" i="10"/>
  <c r="AB76" i="10"/>
  <c r="AB89" i="10"/>
  <c r="EC25" i="4"/>
  <c r="AC50" i="10" s="1"/>
  <c r="AB106" i="10"/>
  <c r="AB98" i="10" l="1"/>
  <c r="AB82" i="10"/>
  <c r="AB97" i="10"/>
  <c r="AB93" i="10"/>
  <c r="EC28" i="4"/>
  <c r="EC30" i="4" s="1"/>
  <c r="AB43" i="10"/>
  <c r="AC51" i="10" l="1"/>
  <c r="EC32" i="4"/>
  <c r="AC108" i="11" s="1"/>
  <c r="EC38" i="4"/>
  <c r="EC39" i="4" s="1"/>
  <c r="EC82" i="4"/>
  <c r="EC98" i="4"/>
  <c r="AC95" i="10" l="1"/>
  <c r="AC3" i="11"/>
  <c r="AC117" i="11"/>
  <c r="EC136" i="4"/>
  <c r="EC84" i="4"/>
  <c r="AC110" i="11"/>
  <c r="AC111" i="11" s="1"/>
  <c r="AC20" i="11" l="1"/>
  <c r="AC43" i="11"/>
  <c r="AC45" i="11" l="1"/>
  <c r="AC47" i="11" s="1"/>
  <c r="AC49" i="11" s="1"/>
  <c r="AC119" i="11"/>
  <c r="AC52" i="10"/>
  <c r="AC57" i="11"/>
  <c r="AC60" i="11" s="1"/>
  <c r="AC100" i="11"/>
  <c r="AC102" i="11" l="1"/>
  <c r="CK131" i="4"/>
  <c r="EC131" i="4"/>
  <c r="EC132" i="4" s="1"/>
  <c r="AC3" i="10"/>
  <c r="AD48" i="11"/>
  <c r="AC65" i="11"/>
  <c r="AC64" i="11"/>
  <c r="Q6" i="17"/>
  <c r="AC103" i="11"/>
  <c r="AC103" i="10"/>
  <c r="AC104" i="10"/>
  <c r="AC105" i="10"/>
  <c r="AC118" i="11"/>
  <c r="AC121" i="11"/>
  <c r="AC104" i="11" l="1"/>
  <c r="Q11" i="17"/>
  <c r="Q8" i="17"/>
  <c r="AC10" i="10"/>
  <c r="AC90" i="10"/>
  <c r="AC51" i="11"/>
  <c r="AC53" i="11"/>
  <c r="EH23" i="4"/>
  <c r="EH24" i="4" s="1"/>
  <c r="AC39" i="10"/>
  <c r="AC41" i="10" s="1"/>
  <c r="AD116" i="11"/>
  <c r="EH25" i="4" l="1"/>
  <c r="AD50" i="10" s="1"/>
  <c r="AC89" i="10"/>
  <c r="AC19" i="10"/>
  <c r="AC76" i="10"/>
  <c r="AC42" i="10"/>
  <c r="AC102" i="10"/>
  <c r="AC92" i="10"/>
  <c r="AC106" i="10"/>
  <c r="AC97" i="10" l="1"/>
  <c r="AC98" i="10"/>
  <c r="AC82" i="10"/>
  <c r="AC93" i="10"/>
  <c r="AC43" i="10"/>
  <c r="EH28" i="4"/>
  <c r="EH30" i="4" s="1"/>
  <c r="AD51" i="10" l="1"/>
  <c r="EH32" i="4"/>
  <c r="AD108" i="11" s="1"/>
  <c r="EH38" i="4"/>
  <c r="EH39" i="4" s="1"/>
  <c r="EH82" i="4"/>
  <c r="EH98" i="4"/>
  <c r="AD95" i="10" l="1"/>
  <c r="AD3" i="11"/>
  <c r="AD117" i="11"/>
  <c r="EH84" i="4"/>
  <c r="EH136" i="4"/>
  <c r="AD110" i="11"/>
  <c r="AD111" i="11" s="1"/>
  <c r="AD20" i="11" l="1"/>
  <c r="AD43" i="11"/>
  <c r="AD52" i="10" l="1"/>
  <c r="AD57" i="11"/>
  <c r="AD60" i="11" s="1"/>
  <c r="AD100" i="11"/>
  <c r="AD45" i="11"/>
  <c r="AD47" i="11" s="1"/>
  <c r="AD49" i="11" s="1"/>
  <c r="AD119" i="11"/>
  <c r="AD118" i="11" l="1"/>
  <c r="AD121" i="11"/>
  <c r="AD103" i="10"/>
  <c r="AD104" i="10"/>
  <c r="AD105" i="10"/>
  <c r="AD3" i="10"/>
  <c r="AE48" i="11"/>
  <c r="AD102" i="11"/>
  <c r="CL131" i="4"/>
  <c r="EH131" i="4"/>
  <c r="EH132" i="4" s="1"/>
  <c r="AD64" i="11"/>
  <c r="AD65" i="11"/>
  <c r="AD103" i="11"/>
  <c r="R6" i="17"/>
  <c r="AD104" i="11" l="1"/>
  <c r="R8" i="17"/>
  <c r="R11" i="17"/>
  <c r="AD10" i="10"/>
  <c r="AD90" i="10"/>
  <c r="AD51" i="11"/>
  <c r="AD53" i="11"/>
  <c r="EM23" i="4"/>
  <c r="EM24" i="4" s="1"/>
  <c r="AD39" i="10"/>
  <c r="AD41" i="10" s="1"/>
  <c r="AD106" i="10" s="1"/>
  <c r="AE116" i="11"/>
  <c r="AD42" i="10" l="1"/>
  <c r="AD102" i="10"/>
  <c r="AD92" i="10"/>
  <c r="EM25" i="4"/>
  <c r="AE50" i="10" s="1"/>
  <c r="AD89" i="10"/>
  <c r="AD19" i="10"/>
  <c r="AD76" i="10"/>
  <c r="AD82" i="10" l="1"/>
  <c r="AD97" i="10"/>
  <c r="AD98" i="10"/>
  <c r="AD93" i="10"/>
  <c r="EM28" i="4"/>
  <c r="EM30" i="4" s="1"/>
  <c r="AD43" i="10"/>
  <c r="AE51" i="10" l="1"/>
  <c r="EM82" i="4"/>
  <c r="EM98" i="4"/>
  <c r="EM32" i="4"/>
  <c r="AE108" i="11" s="1"/>
  <c r="EM38" i="4"/>
  <c r="EM39" i="4" s="1"/>
  <c r="AE95" i="10" l="1"/>
  <c r="AE110" i="11"/>
  <c r="AE111" i="11" s="1"/>
  <c r="AE3" i="11"/>
  <c r="AE117" i="11"/>
  <c r="EM84" i="4"/>
  <c r="EM136" i="4"/>
  <c r="AE20" i="11" l="1"/>
  <c r="AE43" i="11"/>
  <c r="AE45" i="11" l="1"/>
  <c r="AE47" i="11" s="1"/>
  <c r="AE49" i="11" s="1"/>
  <c r="AE119" i="11"/>
  <c r="AE52" i="10"/>
  <c r="AE57" i="11"/>
  <c r="AE60" i="11" s="1"/>
  <c r="AE100" i="11"/>
  <c r="AE102" i="11" l="1"/>
  <c r="CM131" i="4"/>
  <c r="EM131" i="4"/>
  <c r="EM132" i="4" s="1"/>
  <c r="AE3" i="10"/>
  <c r="AF48" i="11"/>
  <c r="AE64" i="11"/>
  <c r="AE65" i="11"/>
  <c r="AE103" i="11"/>
  <c r="S6" i="17"/>
  <c r="AE103" i="10"/>
  <c r="AE104" i="10"/>
  <c r="AE105" i="10"/>
  <c r="AE118" i="11"/>
  <c r="AE121" i="11"/>
  <c r="AE104" i="11" l="1"/>
  <c r="AE10" i="10"/>
  <c r="AE90" i="10"/>
  <c r="AE53" i="11"/>
  <c r="AE51" i="11"/>
  <c r="ER23" i="4"/>
  <c r="ER24" i="4" s="1"/>
  <c r="S8" i="17"/>
  <c r="S11" i="17"/>
  <c r="AE39" i="10"/>
  <c r="AE41" i="10" s="1"/>
  <c r="AF116" i="11"/>
  <c r="ER25" i="4" l="1"/>
  <c r="AF50" i="10" s="1"/>
  <c r="AE76" i="10"/>
  <c r="AE89" i="10"/>
  <c r="AE19" i="10"/>
  <c r="AE102" i="10"/>
  <c r="AE42" i="10"/>
  <c r="AE92" i="10"/>
  <c r="AE106" i="10"/>
  <c r="ER28" i="4" l="1"/>
  <c r="ER30" i="4" s="1"/>
  <c r="AF51" i="10" s="1"/>
  <c r="AE43" i="10"/>
  <c r="AE82" i="10"/>
  <c r="AE97" i="10"/>
  <c r="AE98" i="10"/>
  <c r="AE93" i="10"/>
  <c r="ER82" i="4" l="1"/>
  <c r="AF117" i="11" s="1"/>
  <c r="ER38" i="4"/>
  <c r="ER39" i="4" s="1"/>
  <c r="ER32" i="4"/>
  <c r="AF108" i="11" s="1"/>
  <c r="ER98" i="4"/>
  <c r="AF95" i="10"/>
  <c r="AF3" i="11" l="1"/>
  <c r="AF20" i="11" s="1"/>
  <c r="ER84" i="4"/>
  <c r="ER136" i="4"/>
  <c r="AF110" i="11"/>
  <c r="AF111" i="11" s="1"/>
  <c r="AF43" i="11" l="1"/>
  <c r="AF45" i="11" s="1"/>
  <c r="AF47" i="11" s="1"/>
  <c r="AF49" i="11" s="1"/>
  <c r="AF3" i="10" s="1"/>
  <c r="AF52" i="10"/>
  <c r="AF57" i="11"/>
  <c r="AF60" i="11" s="1"/>
  <c r="AF100" i="11"/>
  <c r="AF119" i="11" l="1"/>
  <c r="AF118" i="11" s="1"/>
  <c r="AF102" i="11"/>
  <c r="CN131" i="4"/>
  <c r="ER131" i="4"/>
  <c r="ER132" i="4" s="1"/>
  <c r="AF90" i="10"/>
  <c r="AF10" i="10"/>
  <c r="AF51" i="11"/>
  <c r="AF53" i="11"/>
  <c r="AF64" i="11"/>
  <c r="AF65" i="11"/>
  <c r="T6" i="17"/>
  <c r="AF103" i="11"/>
  <c r="AF103" i="10"/>
  <c r="AF104" i="10"/>
  <c r="AF105" i="10"/>
  <c r="AF121" i="11" l="1"/>
  <c r="AF39" i="10" s="1"/>
  <c r="AF41" i="10" s="1"/>
  <c r="AF106" i="10" s="1"/>
  <c r="AF104" i="11"/>
  <c r="U6" i="17"/>
  <c r="U11" i="17" s="1"/>
  <c r="T8" i="17"/>
  <c r="T11" i="17"/>
  <c r="AF19" i="10"/>
  <c r="AF76" i="10"/>
  <c r="AF89" i="10"/>
  <c r="C13" i="17" l="1"/>
  <c r="C15" i="17" s="1"/>
  <c r="C16" i="17" s="1"/>
  <c r="AF42" i="10"/>
  <c r="AF43" i="10" s="1"/>
  <c r="AF102" i="10"/>
  <c r="AF92" i="10"/>
  <c r="AF98" i="10"/>
  <c r="AF82" i="10"/>
  <c r="AF97" i="10"/>
  <c r="AF93" i="10"/>
</calcChain>
</file>

<file path=xl/comments1.xml><?xml version="1.0" encoding="utf-8"?>
<comments xmlns="http://schemas.openxmlformats.org/spreadsheetml/2006/main">
  <authors>
    <author>Harrison, Matthew (Research)</author>
  </authors>
  <commentList>
    <comment ref="BU151" authorId="0">
      <text>
        <r>
          <rPr>
            <b/>
            <sz val="9"/>
            <color indexed="81"/>
            <rFont val="Tahoma"/>
            <family val="2"/>
          </rPr>
          <t>Harrison, Matthew (Research):</t>
        </r>
        <r>
          <rPr>
            <sz val="9"/>
            <color indexed="81"/>
            <rFont val="Tahoma"/>
            <family val="2"/>
          </rPr>
          <t xml:space="preserve">
efavirenz generics on 3/2/2015 - start 3-4 yr step down of royalty</t>
        </r>
      </text>
    </comment>
  </commentList>
</comments>
</file>

<file path=xl/comments2.xml><?xml version="1.0" encoding="utf-8"?>
<comments xmlns="http://schemas.openxmlformats.org/spreadsheetml/2006/main">
  <authors>
    <author>Harrison, Matthew (Research)</author>
  </authors>
  <commentList>
    <comment ref="P120" authorId="0">
      <text>
        <r>
          <rPr>
            <b/>
            <sz val="9"/>
            <color indexed="81"/>
            <rFont val="Tahoma"/>
            <family val="2"/>
          </rPr>
          <t>Harrison, Matthew (Research):</t>
        </r>
        <r>
          <rPr>
            <sz val="9"/>
            <color indexed="81"/>
            <rFont val="Tahoma"/>
            <family val="2"/>
          </rPr>
          <t xml:space="preserve">
42M shares associated with converts and warrants will be retired this year. Assume conversion rate of $78.86/share (average closing price for last 30 trading days of quarter immediately preceding maturation date).
GILD 2013 10-K:
In 2014, our May 2014 Notes will mature and we will settle the related warrants. As our stock price currently exceeds the conversion and warrants’ exercise prices, we expect based on the stock price as of the filing of this form, to pay approximately $3.10 to $3.40 billion to settle the aggregate principal of our May 2014 Notes and the related warrants.</t>
        </r>
      </text>
    </comment>
  </commentList>
</comments>
</file>

<file path=xl/comments3.xml><?xml version="1.0" encoding="utf-8"?>
<comments xmlns="http://schemas.openxmlformats.org/spreadsheetml/2006/main">
  <authors>
    <author>Amoozegar, Cyrus (Research)</author>
  </authors>
  <commentList>
    <comment ref="B140" authorId="0">
      <text>
        <r>
          <rPr>
            <b/>
            <sz val="9"/>
            <color indexed="81"/>
            <rFont val="Tahoma"/>
            <family val="2"/>
          </rPr>
          <t>Amoozegar, Cyrus (Research):</t>
        </r>
        <r>
          <rPr>
            <sz val="9"/>
            <color indexed="81"/>
            <rFont val="Tahoma"/>
            <family val="2"/>
          </rPr>
          <t xml:space="preserve">
Based on 3mo LIBOR</t>
        </r>
      </text>
    </comment>
    <comment ref="S140" authorId="0">
      <text>
        <r>
          <rPr>
            <b/>
            <sz val="9"/>
            <color indexed="81"/>
            <rFont val="Tahoma"/>
            <family val="2"/>
          </rPr>
          <t>Amoozegar, Cyrus (Research):</t>
        </r>
        <r>
          <rPr>
            <sz val="9"/>
            <color indexed="81"/>
            <rFont val="Tahoma"/>
            <family val="2"/>
          </rPr>
          <t xml:space="preserve">
3mo LIBOR as of 9/18/2017</t>
        </r>
      </text>
    </comment>
    <comment ref="B142" authorId="0">
      <text>
        <r>
          <rPr>
            <b/>
            <sz val="9"/>
            <color indexed="81"/>
            <rFont val="Tahoma"/>
            <family val="2"/>
          </rPr>
          <t>Amoozegar, Cyrus (Research):</t>
        </r>
        <r>
          <rPr>
            <sz val="9"/>
            <color indexed="81"/>
            <rFont val="Tahoma"/>
            <family val="2"/>
          </rPr>
          <t xml:space="preserve">
Based on 3mo LIBOR</t>
        </r>
      </text>
    </comment>
    <comment ref="B144" authorId="0">
      <text>
        <r>
          <rPr>
            <b/>
            <sz val="9"/>
            <color indexed="81"/>
            <rFont val="Tahoma"/>
            <family val="2"/>
          </rPr>
          <t>Amoozegar, Cyrus (Research):</t>
        </r>
        <r>
          <rPr>
            <sz val="9"/>
            <color indexed="81"/>
            <rFont val="Tahoma"/>
            <family val="2"/>
          </rPr>
          <t xml:space="preserve">
Based on 3mo LIBOR</t>
        </r>
      </text>
    </comment>
    <comment ref="B179" authorId="0">
      <text>
        <r>
          <rPr>
            <b/>
            <sz val="9"/>
            <color indexed="81"/>
            <rFont val="Tahoma"/>
            <family val="2"/>
          </rPr>
          <t>Amoozegar, Cyrus (Research):</t>
        </r>
        <r>
          <rPr>
            <sz val="9"/>
            <color indexed="81"/>
            <rFont val="Tahoma"/>
            <family val="2"/>
          </rPr>
          <t xml:space="preserve">
Based on 3mo LIBOR</t>
        </r>
      </text>
    </comment>
    <comment ref="B181" authorId="0">
      <text>
        <r>
          <rPr>
            <b/>
            <sz val="9"/>
            <color indexed="81"/>
            <rFont val="Tahoma"/>
            <family val="2"/>
          </rPr>
          <t>Amoozegar, Cyrus (Research):</t>
        </r>
        <r>
          <rPr>
            <sz val="9"/>
            <color indexed="81"/>
            <rFont val="Tahoma"/>
            <family val="2"/>
          </rPr>
          <t xml:space="preserve">
Based on 3mo LIBOR</t>
        </r>
      </text>
    </comment>
    <comment ref="B183" authorId="0">
      <text>
        <r>
          <rPr>
            <b/>
            <sz val="9"/>
            <color indexed="81"/>
            <rFont val="Tahoma"/>
            <family val="2"/>
          </rPr>
          <t>Amoozegar, Cyrus (Research):</t>
        </r>
        <r>
          <rPr>
            <sz val="9"/>
            <color indexed="81"/>
            <rFont val="Tahoma"/>
            <family val="2"/>
          </rPr>
          <t xml:space="preserve">
Based on 3mo LIBOR</t>
        </r>
      </text>
    </comment>
  </commentList>
</comments>
</file>

<file path=xl/comments4.xml><?xml version="1.0" encoding="utf-8"?>
<comments xmlns="http://schemas.openxmlformats.org/spreadsheetml/2006/main">
  <authors>
    <author>adnanbut</author>
    <author>Harrison, Matthew (Research)</author>
    <author>yigaln</author>
  </authors>
  <commentList>
    <comment ref="D6" authorId="0">
      <text>
        <r>
          <rPr>
            <b/>
            <sz val="8"/>
            <color indexed="81"/>
            <rFont val="Tahoma"/>
            <family val="2"/>
          </rPr>
          <t xml:space="preserve">Source:  CDC HIV/AIDS Update - A Glance at the HIV Epidemic; 900,000 patients
</t>
        </r>
        <r>
          <rPr>
            <sz val="8"/>
            <color indexed="81"/>
            <rFont val="Tahoma"/>
            <family val="2"/>
          </rPr>
          <t xml:space="preserve">
</t>
        </r>
      </text>
    </comment>
    <comment ref="L9" authorId="1">
      <text>
        <r>
          <rPr>
            <b/>
            <sz val="9"/>
            <color indexed="81"/>
            <rFont val="Tahoma"/>
            <family val="2"/>
          </rPr>
          <t>Harrison, Matthew (Research):</t>
        </r>
        <r>
          <rPr>
            <sz val="9"/>
            <color indexed="81"/>
            <rFont val="Tahoma"/>
            <family val="2"/>
          </rPr>
          <t xml:space="preserve">
948,000 4Q09 Gilead</t>
        </r>
      </text>
    </comment>
    <comment ref="M9" authorId="1">
      <text>
        <r>
          <rPr>
            <b/>
            <sz val="9"/>
            <color indexed="81"/>
            <rFont val="Tahoma"/>
            <family val="2"/>
          </rPr>
          <t>Harrison, Matthew (Research):</t>
        </r>
        <r>
          <rPr>
            <sz val="9"/>
            <color indexed="81"/>
            <rFont val="Tahoma"/>
            <family val="2"/>
          </rPr>
          <t xml:space="preserve">
4Q10 948,000</t>
        </r>
      </text>
    </comment>
    <comment ref="N9" authorId="1">
      <text>
        <r>
          <rPr>
            <b/>
            <sz val="9"/>
            <color indexed="81"/>
            <rFont val="Tahoma"/>
            <family val="2"/>
          </rPr>
          <t>Harrison, Matthew (Research):</t>
        </r>
        <r>
          <rPr>
            <sz val="9"/>
            <color indexed="81"/>
            <rFont val="Tahoma"/>
            <family val="2"/>
          </rPr>
          <t xml:space="preserve">
still 948,000</t>
        </r>
      </text>
    </comment>
    <comment ref="D18" authorId="0">
      <text>
        <r>
          <rPr>
            <b/>
            <sz val="8"/>
            <color indexed="81"/>
            <rFont val="Tahoma"/>
            <family val="2"/>
          </rPr>
          <t xml:space="preserve">Source:  GILD assumes there are 350,000 patients on anti-retroviral therapy in the U.S.
</t>
        </r>
        <r>
          <rPr>
            <sz val="8"/>
            <color indexed="81"/>
            <rFont val="Tahoma"/>
            <family val="2"/>
          </rPr>
          <t xml:space="preserve">
</t>
        </r>
      </text>
    </comment>
    <comment ref="S18" authorId="1">
      <text>
        <r>
          <rPr>
            <b/>
            <sz val="9"/>
            <color indexed="81"/>
            <rFont val="Tahoma"/>
            <family val="2"/>
          </rPr>
          <t>Harrison, Matthew (Research):</t>
        </r>
        <r>
          <rPr>
            <sz val="9"/>
            <color indexed="81"/>
            <rFont val="Tahoma"/>
            <family val="2"/>
          </rPr>
          <t xml:space="preserve">
Gilead says 644,000</t>
        </r>
      </text>
    </comment>
    <comment ref="X18" authorId="1">
      <text>
        <r>
          <rPr>
            <b/>
            <sz val="9"/>
            <color indexed="81"/>
            <rFont val="Tahoma"/>
            <family val="2"/>
          </rPr>
          <t>Harrison, Matthew (Research):</t>
        </r>
        <r>
          <rPr>
            <sz val="9"/>
            <color indexed="81"/>
            <rFont val="Tahoma"/>
            <family val="2"/>
          </rPr>
          <t xml:space="preserve">
Gilead says 683,000</t>
        </r>
      </text>
    </comment>
    <comment ref="N22" authorId="2">
      <text>
        <r>
          <rPr>
            <b/>
            <sz val="8"/>
            <color indexed="81"/>
            <rFont val="Tahoma"/>
            <family val="2"/>
          </rPr>
          <t>yigaln: CDC</t>
        </r>
        <r>
          <rPr>
            <sz val="8"/>
            <color indexed="81"/>
            <rFont val="Tahoma"/>
            <family val="2"/>
          </rPr>
          <t xml:space="preserve">
In 2011, an estimated 49,273 people were diagnosed with HIV infection in the United States.  </t>
        </r>
      </text>
    </comment>
    <comment ref="B151" authorId="2">
      <text>
        <r>
          <rPr>
            <b/>
            <sz val="8"/>
            <color indexed="81"/>
            <rFont val="Tahoma"/>
            <family val="2"/>
          </rPr>
          <t>yigaln:</t>
        </r>
        <r>
          <rPr>
            <sz val="8"/>
            <color indexed="81"/>
            <rFont val="Tahoma"/>
            <family val="2"/>
          </rPr>
          <t xml:space="preserve">
55% of revenues are HBV</t>
        </r>
      </text>
    </comment>
    <comment ref="T168" authorId="2">
      <text>
        <r>
          <rPr>
            <b/>
            <sz val="8"/>
            <color indexed="81"/>
            <rFont val="Tahoma"/>
            <family val="2"/>
          </rPr>
          <t>yigaln:</t>
        </r>
        <r>
          <rPr>
            <sz val="8"/>
            <color indexed="81"/>
            <rFont val="Tahoma"/>
            <family val="2"/>
          </rPr>
          <t xml:space="preserve">
YE12 buying</t>
        </r>
      </text>
    </comment>
    <comment ref="AM181" authorId="1">
      <text>
        <r>
          <rPr>
            <b/>
            <sz val="9"/>
            <color indexed="81"/>
            <rFont val="Tahoma"/>
            <family val="2"/>
          </rPr>
          <t>Harrison, Matthew (Research):</t>
        </r>
        <r>
          <rPr>
            <sz val="9"/>
            <color indexed="81"/>
            <rFont val="Tahoma"/>
            <family val="2"/>
          </rPr>
          <t xml:space="preserve">
incles 89M 1x</t>
        </r>
      </text>
    </comment>
    <comment ref="AM191" authorId="1">
      <text>
        <r>
          <rPr>
            <b/>
            <sz val="9"/>
            <color indexed="81"/>
            <rFont val="Tahoma"/>
            <family val="2"/>
          </rPr>
          <t>Harrison, Matthew (Research):</t>
        </r>
        <r>
          <rPr>
            <sz val="9"/>
            <color indexed="81"/>
            <rFont val="Tahoma"/>
            <family val="2"/>
          </rPr>
          <t xml:space="preserve">
inclues 223M 1x</t>
        </r>
      </text>
    </comment>
    <comment ref="L241" authorId="1">
      <text>
        <r>
          <rPr>
            <b/>
            <sz val="9"/>
            <color indexed="81"/>
            <rFont val="Tahoma"/>
            <family val="2"/>
          </rPr>
          <t>Harrison, Matthew (Research):</t>
        </r>
        <r>
          <rPr>
            <sz val="9"/>
            <color indexed="81"/>
            <rFont val="Tahoma"/>
            <family val="2"/>
          </rPr>
          <t xml:space="preserve">
~50% from Gilead</t>
        </r>
      </text>
    </comment>
    <comment ref="M241" authorId="1">
      <text>
        <r>
          <rPr>
            <b/>
            <sz val="9"/>
            <color indexed="81"/>
            <rFont val="Tahoma"/>
            <family val="2"/>
          </rPr>
          <t>Harrison, Matthew (Research):</t>
        </r>
        <r>
          <rPr>
            <sz val="9"/>
            <color indexed="81"/>
            <rFont val="Tahoma"/>
            <family val="2"/>
          </rPr>
          <t xml:space="preserve">
~51% from Gilead for EU5</t>
        </r>
      </text>
    </comment>
    <comment ref="N241" authorId="1">
      <text>
        <r>
          <rPr>
            <b/>
            <sz val="9"/>
            <color indexed="81"/>
            <rFont val="Tahoma"/>
            <family val="2"/>
          </rPr>
          <t>Harrison, Matthew (Research):</t>
        </r>
        <r>
          <rPr>
            <sz val="9"/>
            <color indexed="81"/>
            <rFont val="Tahoma"/>
            <family val="2"/>
          </rPr>
          <t xml:space="preserve">
~51% in EU5</t>
        </r>
      </text>
    </comment>
    <comment ref="S241" authorId="1">
      <text>
        <r>
          <rPr>
            <b/>
            <sz val="9"/>
            <color indexed="81"/>
            <rFont val="Tahoma"/>
            <family val="2"/>
          </rPr>
          <t>Harrison, Matthew (Research):</t>
        </r>
        <r>
          <rPr>
            <sz val="9"/>
            <color indexed="81"/>
            <rFont val="Tahoma"/>
            <family val="2"/>
          </rPr>
          <t xml:space="preserve">
~52% in EU5</t>
        </r>
      </text>
    </comment>
    <comment ref="AH443" authorId="1">
      <text>
        <r>
          <rPr>
            <b/>
            <sz val="9"/>
            <color indexed="81"/>
            <rFont val="Tahoma"/>
            <family val="2"/>
          </rPr>
          <t>Harrison, Matthew (Research):</t>
        </r>
        <r>
          <rPr>
            <sz val="9"/>
            <color indexed="81"/>
            <rFont val="Tahoma"/>
            <family val="2"/>
          </rPr>
          <t xml:space="preserve">
f/x</t>
        </r>
      </text>
    </comment>
    <comment ref="K481" authorId="1">
      <text>
        <r>
          <rPr>
            <b/>
            <sz val="9"/>
            <color indexed="81"/>
            <rFont val="Tahoma"/>
            <family val="2"/>
          </rPr>
          <t>Harrison, Matthew (Research):</t>
        </r>
        <r>
          <rPr>
            <sz val="9"/>
            <color indexed="81"/>
            <rFont val="Tahoma"/>
            <family val="2"/>
          </rPr>
          <t xml:space="preserve">
Gilead say ~4% of total
</t>
        </r>
      </text>
    </comment>
    <comment ref="L481" authorId="1">
      <text>
        <r>
          <rPr>
            <b/>
            <sz val="9"/>
            <color indexed="81"/>
            <rFont val="Tahoma"/>
            <family val="2"/>
          </rPr>
          <t>Harrison, Matthew (Research):</t>
        </r>
        <r>
          <rPr>
            <sz val="9"/>
            <color indexed="81"/>
            <rFont val="Tahoma"/>
            <family val="2"/>
          </rPr>
          <t xml:space="preserve">
Gilead say ~25%</t>
        </r>
      </text>
    </comment>
  </commentList>
</comments>
</file>

<file path=xl/comments5.xml><?xml version="1.0" encoding="utf-8"?>
<comments xmlns="http://schemas.openxmlformats.org/spreadsheetml/2006/main">
  <authors>
    <author>Harrison, Matthew (Research)</author>
  </authors>
  <commentList>
    <comment ref="E25" authorId="0">
      <text>
        <r>
          <rPr>
            <b/>
            <sz val="9"/>
            <color indexed="81"/>
            <rFont val="Tahoma"/>
            <family val="2"/>
          </rPr>
          <t>Harrison, Matthew (Research):</t>
        </r>
        <r>
          <rPr>
            <sz val="9"/>
            <color indexed="81"/>
            <rFont val="Tahoma"/>
            <family val="2"/>
          </rPr>
          <t xml:space="preserve">
Vertex said 70-75k treated across naïve and refractory with 40-55k GT1</t>
        </r>
      </text>
    </comment>
    <comment ref="I25" authorId="0">
      <text>
        <r>
          <rPr>
            <b/>
            <sz val="9"/>
            <color indexed="81"/>
            <rFont val="Tahoma"/>
            <family val="2"/>
          </rPr>
          <t>Harrison, Matthew (Research):</t>
        </r>
        <r>
          <rPr>
            <sz val="9"/>
            <color indexed="81"/>
            <rFont val="Tahoma"/>
            <family val="2"/>
          </rPr>
          <t xml:space="preserve">
Gilead believes 58k tx across all GT in 2013</t>
        </r>
      </text>
    </comment>
    <comment ref="F52" authorId="0">
      <text>
        <r>
          <rPr>
            <b/>
            <sz val="9"/>
            <color indexed="81"/>
            <rFont val="Tahoma"/>
            <family val="2"/>
          </rPr>
          <t>Harrison, Matthew (Research):</t>
        </r>
        <r>
          <rPr>
            <sz val="9"/>
            <color indexed="81"/>
            <rFont val="Tahoma"/>
            <family val="2"/>
          </rPr>
          <t xml:space="preserve">
vertex said 250-300k</t>
        </r>
      </text>
    </comment>
  </commentList>
</comments>
</file>

<file path=xl/comments6.xml><?xml version="1.0" encoding="utf-8"?>
<comments xmlns="http://schemas.openxmlformats.org/spreadsheetml/2006/main">
  <authors>
    <author>Harrison, Matthew (Research)</author>
  </authors>
  <commentList>
    <comment ref="H28" authorId="0">
      <text>
        <r>
          <rPr>
            <b/>
            <sz val="9"/>
            <color indexed="81"/>
            <rFont val="Tahoma"/>
            <family val="2"/>
          </rPr>
          <t>Harrison, Matthew (Research):</t>
        </r>
        <r>
          <rPr>
            <sz val="9"/>
            <color indexed="81"/>
            <rFont val="Tahoma"/>
            <family val="2"/>
          </rPr>
          <t xml:space="preserve">
based on reported revs for TVR ($517M) and BVR ($234M), ~15-18k pts were treated - assume all are GT1</t>
        </r>
      </text>
    </comment>
    <comment ref="F53" authorId="0">
      <text>
        <r>
          <rPr>
            <b/>
            <sz val="9"/>
            <color indexed="81"/>
            <rFont val="Tahoma"/>
            <family val="2"/>
          </rPr>
          <t>Harrison, Matthew (Research):</t>
        </r>
        <r>
          <rPr>
            <sz val="9"/>
            <color indexed="81"/>
            <rFont val="Tahoma"/>
            <family val="2"/>
          </rPr>
          <t xml:space="preserve">
Assume similar number to the US</t>
        </r>
      </text>
    </comment>
  </commentList>
</comments>
</file>

<file path=xl/comments7.xml><?xml version="1.0" encoding="utf-8"?>
<comments xmlns="http://schemas.openxmlformats.org/spreadsheetml/2006/main">
  <authors>
    <author>Le, Amy M (Research)</author>
  </authors>
  <commentList>
    <comment ref="AA6" authorId="0">
      <text>
        <r>
          <rPr>
            <b/>
            <sz val="9"/>
            <color indexed="81"/>
            <rFont val="Tahoma"/>
            <family val="2"/>
          </rPr>
          <t>Le, Amy M (Research):</t>
        </r>
        <r>
          <rPr>
            <sz val="9"/>
            <color indexed="81"/>
            <rFont val="Tahoma"/>
            <family val="2"/>
          </rPr>
          <t xml:space="preserve">
40% of cases are diagnosed in patients 20 years and older
Surveillance, Epidemiology, and End Results (SEER) Program. SEER*Stat Database: Incidence-SEER 17 Regs Public Use, Nov. 2010 Sub (2000-2008)-Linked to County Attributes-Total US, 1969-2008 Counties. Bethesda, MD: National Cancer Institute, Division of Cancer Control and Population Sciences, Surveillance Research Program, Cancer Statistics Branch; 2011.</t>
        </r>
      </text>
    </comment>
  </commentList>
</comments>
</file>

<file path=xl/comments8.xml><?xml version="1.0" encoding="utf-8"?>
<comments xmlns="http://schemas.openxmlformats.org/spreadsheetml/2006/main">
  <authors>
    <author>Le, Amy M (Research)</author>
    <author>Purohit, Vikram (Research)</author>
  </authors>
  <commentList>
    <comment ref="B8" authorId="0">
      <text>
        <r>
          <rPr>
            <b/>
            <sz val="9"/>
            <color indexed="81"/>
            <rFont val="Tahoma"/>
            <family val="2"/>
          </rPr>
          <t>Le, Amy M (Research):</t>
        </r>
        <r>
          <rPr>
            <sz val="9"/>
            <color indexed="81"/>
            <rFont val="Tahoma"/>
            <family val="2"/>
          </rPr>
          <t xml:space="preserve">
HbSS &amp; HbS Beta Thal 0 = most severe 
HbSC &amp;HbS Thal + = milder forms
Beta Thal not incorporated in this model for LentiGlobin</t>
        </r>
      </text>
    </comment>
    <comment ref="I27" authorId="1">
      <text>
        <r>
          <rPr>
            <b/>
            <sz val="9"/>
            <color indexed="81"/>
            <rFont val="Tahoma"/>
            <family val="2"/>
          </rPr>
          <t>Purohit, Vikram (Research):</t>
        </r>
        <r>
          <rPr>
            <sz val="9"/>
            <color indexed="81"/>
            <rFont val="Tahoma"/>
            <family val="2"/>
          </rPr>
          <t xml:space="preserve">
Steep discount to Glybera-level price given competition (GBT) and relatively large market size</t>
        </r>
      </text>
    </comment>
  </commentList>
</comments>
</file>

<file path=xl/comments9.xml><?xml version="1.0" encoding="utf-8"?>
<comments xmlns="http://schemas.openxmlformats.org/spreadsheetml/2006/main">
  <authors>
    <author>Pommer, Matthew S (Research)</author>
  </authors>
  <commentList>
    <comment ref="P4" authorId="0">
      <text>
        <r>
          <rPr>
            <sz val="9"/>
            <color indexed="81"/>
            <rFont val="Tahoma"/>
            <family val="2"/>
          </rPr>
          <t>CELG 1Q14 Call Transcript 4/24/14: "we feel quite good about the IP and there's some differences that we could see with respect to extensions and things like that. But it would go beyond the 2027 timeframe."</t>
        </r>
      </text>
    </comment>
    <comment ref="B9" authorId="0">
      <text>
        <r>
          <rPr>
            <sz val="9"/>
            <color indexed="81"/>
            <rFont val="Tahoma"/>
            <family val="2"/>
          </rPr>
          <t xml:space="preserve">Prevalence of CD in the US: 
</t>
        </r>
        <r>
          <rPr>
            <b/>
            <sz val="9"/>
            <color indexed="81"/>
            <rFont val="Tahoma"/>
            <family val="2"/>
          </rPr>
          <t>201/100,000</t>
        </r>
        <r>
          <rPr>
            <sz val="9"/>
            <color indexed="81"/>
            <rFont val="Tahoma"/>
            <family val="2"/>
          </rPr>
          <t xml:space="preserve"> Source: Clin Gastroenterol Hepatol. 2007;5:1424-29
</t>
        </r>
      </text>
    </comment>
    <comment ref="B14" authorId="0">
      <text>
        <r>
          <rPr>
            <b/>
            <sz val="9"/>
            <color indexed="81"/>
            <rFont val="Tahoma"/>
            <family val="2"/>
          </rPr>
          <t xml:space="preserve">MP: </t>
        </r>
        <r>
          <rPr>
            <sz val="9"/>
            <color indexed="81"/>
            <rFont val="Tahoma"/>
            <family val="2"/>
          </rPr>
          <t xml:space="preserve">Markov model analysis of a population-based cohort. 
Source: Gastroenterology 1999;117:49-57.
</t>
        </r>
      </text>
    </comment>
    <comment ref="B31" authorId="0">
      <text>
        <r>
          <rPr>
            <b/>
            <sz val="9"/>
            <color indexed="81"/>
            <rFont val="Tahoma"/>
            <family val="2"/>
          </rPr>
          <t>MP:</t>
        </r>
        <r>
          <rPr>
            <sz val="9"/>
            <color indexed="81"/>
            <rFont val="Tahoma"/>
            <family val="2"/>
          </rPr>
          <t xml:space="preserve"> We assume a 25% premium to Remicade/Humira maintenance price given the oral delivery and potential for less infection.
PriceRx lists Remicade WAC  on 9/4/14 of $928.24. Remicade label for Crohn's disease: "5mg/kg at 0, 2 and 6 weeks, then every 8 weeks. Some adults who initially respond to treatment may benefit from increasing the dose to 10mg/kg if they later lose their response. 
Conservative approach taken: Assume all patients treated as maintenance of 5mg/kg every two months. Assume average weight is 180lbs. Result: Average price per patient per year is ~$23K</t>
        </r>
      </text>
    </comment>
  </commentList>
</comments>
</file>

<file path=xl/comments10.xml><?xml version="1.0" encoding="utf-8"?>
<comments xmlns="http://schemas.openxmlformats.org/spreadsheetml/2006/main">
  <authors>
    <author>Pommer, Matthew S (Research)</author>
    <author>Purohit, Vikram (Research)</author>
  </authors>
  <commentList>
    <comment ref="C38" authorId="0">
      <text>
        <r>
          <rPr>
            <sz val="9"/>
            <color indexed="81"/>
            <rFont val="Tahoma"/>
            <family val="2"/>
          </rPr>
          <t>census.gov</t>
        </r>
      </text>
    </comment>
    <comment ref="C40" authorId="0">
      <text>
        <r>
          <rPr>
            <sz val="9"/>
            <color indexed="81"/>
            <rFont val="Tahoma"/>
            <family val="2"/>
          </rPr>
          <t>Source:
1.3 million - Lawrence, RC, et al. Arthritis &amp; Rheumatism 58.1 (2008): 26-35.
Other sources: prevalence in US and northern Europe is 0.5-1.0% with an annual incidence of 0.02-0.05%.
Alamanos, Yannis, and Alexandros A. Drosos. "Epidemiology of adult rheumatoid arthritis." Autoimmunity reviews 4.3 (2005): 130-136.</t>
        </r>
      </text>
    </comment>
    <comment ref="C42" authorId="0">
      <text>
        <r>
          <rPr>
            <sz val="9"/>
            <color indexed="81"/>
            <rFont val="Tahoma"/>
            <family val="2"/>
          </rPr>
          <t>Source: 
20-40% of patients fail to achieve ACR 20 with biologic therapies and some lose response ove time. 
Klareskog L et al. Lancet 2004;363:675-681
Keystone EC et al. Arthritis Rheum 2004;40:1400-1411
Lipsky P et al. New Engl J Med 2000;343:1594-1602</t>
        </r>
      </text>
    </comment>
    <comment ref="C45" authorId="0">
      <text>
        <r>
          <rPr>
            <sz val="9"/>
            <color indexed="81"/>
            <rFont val="Tahoma"/>
            <family val="2"/>
          </rPr>
          <t xml:space="preserve">"Combinations of methotrexate and the new biologic agents can lead to remission in 30 to 40 percent of patients with rheumatoid arthritis"
Pincus T, O’Dell JR, Kremer JM. Combination therapy with multiple disease-modifying antirheumatic drugs in rheumatoid arthritis: a preventive strategy. Ann Intern Med. 1999;131:768–74.
Olsen NJ, Stein CM. New drugs for rheumatoid arthritis. N Engl J Med. 2004;350:2167–79
</t>
        </r>
      </text>
    </comment>
    <comment ref="C48" authorId="0">
      <text>
        <r>
          <rPr>
            <sz val="9"/>
            <color indexed="81"/>
            <rFont val="Tahoma"/>
            <family val="2"/>
          </rPr>
          <t>Mild disease potential treated with nonsteroidal anti-inflammatory drug (NSAIDs) or glucocorticoids</t>
        </r>
      </text>
    </comment>
    <comment ref="C72" authorId="0">
      <text>
        <r>
          <rPr>
            <sz val="9"/>
            <color indexed="81"/>
            <rFont val="Tahoma"/>
            <family val="2"/>
          </rPr>
          <t>World Bank</t>
        </r>
      </text>
    </comment>
    <comment ref="C74" authorId="0">
      <text>
        <r>
          <rPr>
            <sz val="9"/>
            <color indexed="81"/>
            <rFont val="Tahoma"/>
            <family val="2"/>
          </rPr>
          <t>Source:
1.3 million - Lawrence, RC, et al. Arthritis &amp; Rheumatism 58.1 (2008): 26-35.
Other sources: prevalence in US and northern Europe is 0.5-1.0% with an annual incidence of 0.02-0.05%.
Alamanos, Yannis, and Alexandros A. Drosos. "Epidemiology of adult rheumatoid arthritis." Autoimmunity reviews 4.3 (2005): 130-136.</t>
        </r>
      </text>
    </comment>
    <comment ref="C76" authorId="0">
      <text>
        <r>
          <rPr>
            <sz val="9"/>
            <color indexed="81"/>
            <rFont val="Tahoma"/>
            <family val="2"/>
          </rPr>
          <t>Source: 
20-40% of patients fail to achieve ACR 20 with biologic therapies and some lose response ove time. 
Klareskog L et al. Lancet 2004;363:675-681
Keystone EC et al. Arthritis Rheum 2004;40:1400-1411
Lipsky P et al. New Engl J Med 2000;343:1594-1602</t>
        </r>
      </text>
    </comment>
    <comment ref="C79" authorId="0">
      <text>
        <r>
          <rPr>
            <sz val="9"/>
            <color indexed="81"/>
            <rFont val="Tahoma"/>
            <family val="2"/>
          </rPr>
          <t xml:space="preserve">"Combinations of methotrexate and the new biologic agents can lead to remission in 30 to 40 percent of patients with rheumatoid arthritis"
Pincus T, O’Dell JR, Kremer JM. Combination therapy with multiple disease-modifying antirheumatic drugs in rheumatoid arthritis: a preventive strategy. Ann Intern Med. 1999;131:768–74.
Olsen NJ, Stein CM. New drugs for rheumatoid arthritis. N Engl J Med. 2004;350:2167–79
</t>
        </r>
      </text>
    </comment>
    <comment ref="C82" authorId="0">
      <text>
        <r>
          <rPr>
            <sz val="9"/>
            <color indexed="81"/>
            <rFont val="Tahoma"/>
            <family val="2"/>
          </rPr>
          <t>Mild disease potential treated with nonsteroidal anti-inflammatory drug (NSAIDs) or glucocorticoids</t>
        </r>
      </text>
    </comment>
    <comment ref="B106" authorId="1">
      <text>
        <r>
          <rPr>
            <b/>
            <sz val="9"/>
            <color indexed="81"/>
            <rFont val="Tahoma"/>
            <family val="2"/>
          </rPr>
          <t>Purohit, Vikram (Research):</t>
        </r>
        <r>
          <rPr>
            <sz val="9"/>
            <color indexed="81"/>
            <rFont val="Tahoma"/>
            <family val="2"/>
          </rPr>
          <t xml:space="preserve">
12/17/15 - Royalty to GLPG from GILD starting at 20% (no guidance provided on increases over time)</t>
        </r>
      </text>
    </comment>
    <comment ref="B113" authorId="1">
      <text>
        <r>
          <rPr>
            <b/>
            <sz val="9"/>
            <color indexed="81"/>
            <rFont val="Tahoma"/>
            <family val="2"/>
          </rPr>
          <t>Purohit, Vikram (Research):</t>
        </r>
        <r>
          <rPr>
            <sz val="9"/>
            <color indexed="81"/>
            <rFont val="Tahoma"/>
            <family val="2"/>
          </rPr>
          <t xml:space="preserve">
12/17/15 - Gilead provides $300M license fee as part of $725M upfront and up to $1.35B in milestones</t>
        </r>
      </text>
    </comment>
  </commentList>
</comments>
</file>

<file path=xl/sharedStrings.xml><?xml version="1.0" encoding="utf-8"?>
<sst xmlns="http://schemas.openxmlformats.org/spreadsheetml/2006/main" count="2729" uniqueCount="1488">
  <si>
    <t>2000A</t>
  </si>
  <si>
    <t>2001A</t>
  </si>
  <si>
    <t>2002A</t>
  </si>
  <si>
    <t>2003A</t>
  </si>
  <si>
    <t>2004A</t>
  </si>
  <si>
    <t>2005A</t>
  </si>
  <si>
    <t>2006A</t>
  </si>
  <si>
    <t>2007A</t>
  </si>
  <si>
    <t>2008A</t>
  </si>
  <si>
    <t>2009A</t>
  </si>
  <si>
    <t>2010A</t>
  </si>
  <si>
    <t>2011A</t>
  </si>
  <si>
    <t>2012A</t>
  </si>
  <si>
    <t>2017E</t>
  </si>
  <si>
    <t>2018E</t>
  </si>
  <si>
    <t>2019E</t>
  </si>
  <si>
    <t>2020E</t>
  </si>
  <si>
    <t>1Q02A</t>
  </si>
  <si>
    <t>2Q02A</t>
  </si>
  <si>
    <t>3Q02A</t>
  </si>
  <si>
    <t>4Q02A</t>
  </si>
  <si>
    <t>1Q03A</t>
  </si>
  <si>
    <t>2Q03A</t>
  </si>
  <si>
    <t>3Q03A</t>
  </si>
  <si>
    <t>4Q03A</t>
  </si>
  <si>
    <t>1Q04A</t>
  </si>
  <si>
    <t>2Q04A</t>
  </si>
  <si>
    <t>3Q04A</t>
  </si>
  <si>
    <t>4Q04A</t>
  </si>
  <si>
    <t>1Q05A</t>
  </si>
  <si>
    <t>2Q05A</t>
  </si>
  <si>
    <t>3Q05A</t>
  </si>
  <si>
    <t>4Q05A</t>
  </si>
  <si>
    <t>1Q06A</t>
  </si>
  <si>
    <t>2Q06A</t>
  </si>
  <si>
    <t>3Q06A</t>
  </si>
  <si>
    <t>4Q06A</t>
  </si>
  <si>
    <t>1Q07A</t>
  </si>
  <si>
    <t>2Q07A</t>
  </si>
  <si>
    <t>3Q07A</t>
  </si>
  <si>
    <t>4Q07A</t>
  </si>
  <si>
    <t>1Q08A</t>
  </si>
  <si>
    <t>2Q08A</t>
  </si>
  <si>
    <t>3Q08A</t>
  </si>
  <si>
    <t>4Q08A</t>
  </si>
  <si>
    <t>1Q09A</t>
  </si>
  <si>
    <t>2Q09A</t>
  </si>
  <si>
    <t>3Q09A</t>
  </si>
  <si>
    <t>4Q09A</t>
  </si>
  <si>
    <t>1Q10A</t>
  </si>
  <si>
    <t>2Q10A</t>
  </si>
  <si>
    <t>3Q10A</t>
  </si>
  <si>
    <t>4Q10A</t>
  </si>
  <si>
    <t>1Q11A</t>
  </si>
  <si>
    <t>2Q11A</t>
  </si>
  <si>
    <t>3Q11A</t>
  </si>
  <si>
    <t>4Q11A</t>
  </si>
  <si>
    <t>1Q12A</t>
  </si>
  <si>
    <t>2Q12A</t>
  </si>
  <si>
    <t>3Q12A</t>
  </si>
  <si>
    <t>4Q12A</t>
  </si>
  <si>
    <t>Atripla</t>
  </si>
  <si>
    <t>Truvada</t>
  </si>
  <si>
    <t>Viread</t>
  </si>
  <si>
    <t>Emtriva</t>
  </si>
  <si>
    <t>Complera/Eviplera</t>
  </si>
  <si>
    <t>Stribild</t>
  </si>
  <si>
    <t>Hepsera</t>
  </si>
  <si>
    <t>Other</t>
  </si>
  <si>
    <t>Total Product Sales</t>
  </si>
  <si>
    <t>Royalty Revenue</t>
  </si>
  <si>
    <t>Hepsera/Lamivudine/Volibris (GSK)</t>
  </si>
  <si>
    <t>Lexiscan, Adenoscan (Astellas)</t>
  </si>
  <si>
    <t>AmBisome (Astellas)</t>
  </si>
  <si>
    <t>Japan Tobacco</t>
  </si>
  <si>
    <t>Macugen</t>
  </si>
  <si>
    <t>Other Royalties</t>
  </si>
  <si>
    <t>Total Revenues</t>
  </si>
  <si>
    <t>Product Revenue</t>
  </si>
  <si>
    <t xml:space="preserve">US </t>
  </si>
  <si>
    <t>EU</t>
  </si>
  <si>
    <t>ROW</t>
  </si>
  <si>
    <t>Ex-US</t>
  </si>
  <si>
    <t>Total Antiviral Products</t>
  </si>
  <si>
    <t>Royalty, contract and other revenue</t>
  </si>
  <si>
    <t>Other Products</t>
  </si>
  <si>
    <t>Sovaldi</t>
  </si>
  <si>
    <t>1Q20E</t>
  </si>
  <si>
    <t>2Q20E</t>
  </si>
  <si>
    <t>3Q20E</t>
  </si>
  <si>
    <t>4Q20E</t>
  </si>
  <si>
    <t>1Q19E</t>
  </si>
  <si>
    <t>2Q19E</t>
  </si>
  <si>
    <t>3Q19E</t>
  </si>
  <si>
    <t>4Q19E</t>
  </si>
  <si>
    <t>4Q18E</t>
  </si>
  <si>
    <t>1Q18E</t>
  </si>
  <si>
    <t>2Q18E</t>
  </si>
  <si>
    <t>3Q18E</t>
  </si>
  <si>
    <t>Contract and other revenue</t>
  </si>
  <si>
    <t>COGS</t>
  </si>
  <si>
    <t>Gross Profit</t>
  </si>
  <si>
    <t>R&amp;D</t>
  </si>
  <si>
    <t>SG&amp;A</t>
  </si>
  <si>
    <t>Acquisition-related amortization of purchased intangibles</t>
  </si>
  <si>
    <t>Acquisition-related transaction costs</t>
  </si>
  <si>
    <t>Restructuring expenses</t>
  </si>
  <si>
    <t>% of operating expense</t>
  </si>
  <si>
    <t xml:space="preserve">Acquisition amortization of inventory </t>
  </si>
  <si>
    <t>Acquisition intangibles amortization</t>
  </si>
  <si>
    <t>Write-off of acquired in-process R&amp;D</t>
  </si>
  <si>
    <t>One-Time Gains (Losses)</t>
  </si>
  <si>
    <t>Tax effects of adjustments</t>
  </si>
  <si>
    <t>GAAP Net Income</t>
  </si>
  <si>
    <t>Depreciation &amp; Amort.</t>
  </si>
  <si>
    <t>EBITDA</t>
  </si>
  <si>
    <t>Convertible Interest Add-Back</t>
  </si>
  <si>
    <t>Total revenue</t>
  </si>
  <si>
    <t>Geographic Breakdown</t>
  </si>
  <si>
    <t>United States</t>
  </si>
  <si>
    <t>Total revenues outside of the United States</t>
  </si>
  <si>
    <t>Switzerland</t>
  </si>
  <si>
    <t>France</t>
  </si>
  <si>
    <t>Spain</t>
  </si>
  <si>
    <t>United Kingdom</t>
  </si>
  <si>
    <t>Italy</t>
  </si>
  <si>
    <t>Germany</t>
  </si>
  <si>
    <t>Other European countries</t>
  </si>
  <si>
    <t>Other countries</t>
  </si>
  <si>
    <t>Stock Buyback</t>
  </si>
  <si>
    <t>Average repurchase Price</t>
  </si>
  <si>
    <t>Cost of share repurchase</t>
  </si>
  <si>
    <t>Remaining Authorization</t>
  </si>
  <si>
    <t>Tax Rate</t>
  </si>
  <si>
    <t>Gilead Income Statement</t>
  </si>
  <si>
    <t>Operating Income</t>
  </si>
  <si>
    <t>Product Sales</t>
  </si>
  <si>
    <t>Royalty, contract and other revenues</t>
  </si>
  <si>
    <t>Consensus Revenue</t>
  </si>
  <si>
    <t>Total Revenue</t>
  </si>
  <si>
    <t>Interest expense</t>
  </si>
  <si>
    <t>Other income (expense), net</t>
  </si>
  <si>
    <t>Pretax Income</t>
  </si>
  <si>
    <t>Taxes</t>
  </si>
  <si>
    <t>Net Income (non-gaap)</t>
  </si>
  <si>
    <t>Net loss from noncontrolling interest</t>
  </si>
  <si>
    <t>Options Expense</t>
  </si>
  <si>
    <t>Tax Impact</t>
  </si>
  <si>
    <t>Non-gaap EPS (incl. options)</t>
  </si>
  <si>
    <t>GAAP EPS (incl. options)</t>
  </si>
  <si>
    <t>Basic Shares - GAAP</t>
  </si>
  <si>
    <t>Diluted Shares - GAAP</t>
  </si>
  <si>
    <t>Reconciliation to GAAP</t>
  </si>
  <si>
    <t>Adjustments to COGS</t>
  </si>
  <si>
    <t>Options expense</t>
  </si>
  <si>
    <t>Tax adjustments</t>
  </si>
  <si>
    <t>Restructuring expense</t>
  </si>
  <si>
    <t>Acquisition related-transaction costs</t>
  </si>
  <si>
    <t>Acquisition related-amortization of purchased intangibles</t>
  </si>
  <si>
    <t>Acquisition related-contingent consideration remeasurement</t>
  </si>
  <si>
    <t>Net income (non-gaap, incl. options)</t>
  </si>
  <si>
    <t>Legacy GAAP Reconciliation</t>
  </si>
  <si>
    <t>Consensus EPS</t>
  </si>
  <si>
    <t>No. of share repurchased</t>
  </si>
  <si>
    <t>Diluted Shares - non-GAAP</t>
  </si>
  <si>
    <t>COGS (product revenue)</t>
  </si>
  <si>
    <t>Gross Margin (total revenue)</t>
  </si>
  <si>
    <t>SG&amp;A (as a % of sales)</t>
  </si>
  <si>
    <t>R&amp;D (as a % of sales)</t>
  </si>
  <si>
    <t>Operating Margin</t>
  </si>
  <si>
    <t>EBITDA Margin</t>
  </si>
  <si>
    <t>Net Margin</t>
  </si>
  <si>
    <t>Net product sales</t>
  </si>
  <si>
    <t>Operating margin (EBIT)</t>
  </si>
  <si>
    <t>EBITDA margin</t>
  </si>
  <si>
    <t>Cash and Equivalents</t>
  </si>
  <si>
    <t>Marketable Securities</t>
  </si>
  <si>
    <t>Trade Receivables, net</t>
  </si>
  <si>
    <t>Inventories</t>
  </si>
  <si>
    <t>Deferred Taxes, Net</t>
  </si>
  <si>
    <t>Prepaid Expenses &amp; Taxes</t>
  </si>
  <si>
    <t>Other Current Assets</t>
  </si>
  <si>
    <t>Total current assets</t>
  </si>
  <si>
    <t>Property, Plant &amp; Equipment, Net</t>
  </si>
  <si>
    <t>Non-Current Portion of Prepaid Royalties</t>
  </si>
  <si>
    <t>Non-Current Deferred Tax Asset</t>
  </si>
  <si>
    <t>Intangible Assets, net</t>
  </si>
  <si>
    <t>Long Term Marketable Securities</t>
  </si>
  <si>
    <t>Goodwill</t>
  </si>
  <si>
    <t>Other Assets</t>
  </si>
  <si>
    <t>Total assets</t>
  </si>
  <si>
    <t>Accounts Payable</t>
  </si>
  <si>
    <t>Accrued Expenses/Comp &amp; Employee Ben.</t>
  </si>
  <si>
    <t>Accrued Liabilities</t>
  </si>
  <si>
    <t>Deferred Revenue</t>
  </si>
  <si>
    <t>Current Portion of Long Term Debt</t>
  </si>
  <si>
    <t>Total current liabilities</t>
  </si>
  <si>
    <t>Deferred Tax Liabilities</t>
  </si>
  <si>
    <t xml:space="preserve">Long-Term Debt </t>
  </si>
  <si>
    <t>Long-Term Deferred Revenue</t>
  </si>
  <si>
    <t>Other long-term obligations</t>
  </si>
  <si>
    <t>Total liabilities</t>
  </si>
  <si>
    <t>Minority Interest</t>
  </si>
  <si>
    <t>Preferred Stock</t>
  </si>
  <si>
    <t xml:space="preserve">Common Stock </t>
  </si>
  <si>
    <t>Additional paid-in capital</t>
  </si>
  <si>
    <t>(Accumulated Deficit) Retained Earnings</t>
  </si>
  <si>
    <t>Accumulated Other Comprehensive Income</t>
  </si>
  <si>
    <t>Total stockholders' equity</t>
  </si>
  <si>
    <t>Balance Sheet Ratios</t>
  </si>
  <si>
    <t>Revenues</t>
  </si>
  <si>
    <t>Operating expenses</t>
  </si>
  <si>
    <t>NI</t>
  </si>
  <si>
    <t>Operating CF</t>
  </si>
  <si>
    <t>Capex</t>
  </si>
  <si>
    <t>AR Turnover (Total Sales / AR)</t>
  </si>
  <si>
    <t>Inventory Turnover (COGS / Inv)</t>
  </si>
  <si>
    <t>AP Turnover (COGS / AP)</t>
  </si>
  <si>
    <t>Days receivables outstanding</t>
  </si>
  <si>
    <t>Days inventory outstanding</t>
  </si>
  <si>
    <t>Days sales Outstanding</t>
  </si>
  <si>
    <t xml:space="preserve">Days payable outstanding </t>
  </si>
  <si>
    <t>Other current assets</t>
  </si>
  <si>
    <t>% revenue</t>
  </si>
  <si>
    <t>% of operating expenses</t>
  </si>
  <si>
    <t>Trade receivables</t>
  </si>
  <si>
    <t xml:space="preserve">Accounts payable </t>
  </si>
  <si>
    <t>% operating expenses</t>
  </si>
  <si>
    <t>Accrued liabilities</t>
  </si>
  <si>
    <t>% total current liabilities</t>
  </si>
  <si>
    <t>Prepaid Expenses (current)</t>
  </si>
  <si>
    <t>% total current assets</t>
  </si>
  <si>
    <t>Prepaid Expenses (non Current)</t>
  </si>
  <si>
    <t>% of previous period</t>
  </si>
  <si>
    <t>Other non-current assets</t>
  </si>
  <si>
    <t>% total non-current assets</t>
  </si>
  <si>
    <t>Other Accrued Expenses</t>
  </si>
  <si>
    <t>Liquidity</t>
  </si>
  <si>
    <t>Current Ratio (CA/CL)</t>
  </si>
  <si>
    <t>Quick Ratio ((Cash+AR)/CL)</t>
  </si>
  <si>
    <t>Profitability</t>
  </si>
  <si>
    <t>ROE (NI/Ave. Equity)</t>
  </si>
  <si>
    <t>ROA (NI/Ave. Assets)</t>
  </si>
  <si>
    <t>Gross Profit Margin</t>
  </si>
  <si>
    <t>Profit Margin (NI/Total Sales)</t>
  </si>
  <si>
    <t>Fixed Asset Turnover (Total Sales/Ave. Net PPE)</t>
  </si>
  <si>
    <t>Total Assets Turnover (Total Sales/Ave. Assets)</t>
  </si>
  <si>
    <t>Capital Struct. Leverage (Ave. Assets/Ave. Equity)</t>
  </si>
  <si>
    <t>Leverage</t>
  </si>
  <si>
    <t>Total Leverage (Total Debt/EBITDA)</t>
  </si>
  <si>
    <t>Interest Coverage (EBITDA/Interest)</t>
  </si>
  <si>
    <t>Long Term Debt/Equity</t>
  </si>
  <si>
    <t>OCF/Ave. Current Liabilities</t>
  </si>
  <si>
    <t>OCF/Ave. Total Liabilities</t>
  </si>
  <si>
    <t>OCF/Capital Expenditures</t>
  </si>
  <si>
    <t>Net Debt/Total Capital</t>
  </si>
  <si>
    <t>Cap Ex</t>
  </si>
  <si>
    <t>Property and Equipment, Net</t>
  </si>
  <si>
    <t>Beginning balance</t>
  </si>
  <si>
    <t>Capital expenditures</t>
  </si>
  <si>
    <t>Annual Depreciation Expense</t>
  </si>
  <si>
    <t>Others</t>
  </si>
  <si>
    <t>Ending balance</t>
  </si>
  <si>
    <t>Fixed Asset Turnover (CHECK)</t>
  </si>
  <si>
    <t xml:space="preserve">Existing PP&amp;E </t>
  </si>
  <si>
    <t>2002 capital expenditures</t>
  </si>
  <si>
    <t>2003 capital expenditures</t>
  </si>
  <si>
    <t>2004 capital expenditures</t>
  </si>
  <si>
    <t>2005 capital expenditures</t>
  </si>
  <si>
    <t>2006 capital expenditures</t>
  </si>
  <si>
    <t>2007 capital expenditures</t>
  </si>
  <si>
    <t>2008 capital expenditures</t>
  </si>
  <si>
    <t>2009 capital expenditures</t>
  </si>
  <si>
    <t>2010 capital expenditures</t>
  </si>
  <si>
    <t>2011 capital expenditures</t>
  </si>
  <si>
    <t>2012 capital expenditures</t>
  </si>
  <si>
    <t>2013 capital expenditures</t>
  </si>
  <si>
    <t>2014 capital expenditures</t>
  </si>
  <si>
    <t>2015 capital expenditures</t>
  </si>
  <si>
    <t>2016 capital expenditures</t>
  </si>
  <si>
    <t>2017 capital expenditures</t>
  </si>
  <si>
    <t>2018 capital expenditures</t>
  </si>
  <si>
    <t>2019 capital expenditures</t>
  </si>
  <si>
    <t>2020 capital expenditures</t>
  </si>
  <si>
    <t>2021 capital expenditures</t>
  </si>
  <si>
    <t>2022 capital expenditures</t>
  </si>
  <si>
    <t>Total depreciation</t>
  </si>
  <si>
    <t>Total depreciation and amortization</t>
  </si>
  <si>
    <t>Amortization as % of operating expenses</t>
  </si>
  <si>
    <t>Acquisitions</t>
  </si>
  <si>
    <t>Additions net of cash:</t>
  </si>
  <si>
    <t>Allocation to IPR&amp;D (Expensed)</t>
  </si>
  <si>
    <t>Allocation (%)</t>
  </si>
  <si>
    <t>Allocation to Goodwill</t>
  </si>
  <si>
    <t>Allocation to Intangibles/Technology Rights</t>
  </si>
  <si>
    <t>Total Goodwill</t>
  </si>
  <si>
    <t>Total Intangibles/Technology Rights, Net</t>
  </si>
  <si>
    <t>Amortization of Existing Intangible Assets</t>
  </si>
  <si>
    <t>Implied Life of Intangibles</t>
  </si>
  <si>
    <t>Return on invested capital (non-GAAP)</t>
  </si>
  <si>
    <t>Sales</t>
  </si>
  <si>
    <t>EBIT</t>
  </si>
  <si>
    <t>Tax rate</t>
  </si>
  <si>
    <t>NOPAT</t>
  </si>
  <si>
    <t>NOPAT margin</t>
  </si>
  <si>
    <t>Accounts receivables</t>
  </si>
  <si>
    <t>Inventory</t>
  </si>
  <si>
    <t>Net PP&amp;E</t>
  </si>
  <si>
    <t>Noncurrent assets</t>
  </si>
  <si>
    <t>Goodwill &amp; other intangibles</t>
  </si>
  <si>
    <t>Operating assets</t>
  </si>
  <si>
    <t>Accounts payable</t>
  </si>
  <si>
    <t>Other current liabilities</t>
  </si>
  <si>
    <t>Other long-term liabilities</t>
  </si>
  <si>
    <t>Operating liabilities</t>
  </si>
  <si>
    <t>Net operating assets</t>
  </si>
  <si>
    <t>Asset turnover</t>
  </si>
  <si>
    <t>Shares Outstanding</t>
  </si>
  <si>
    <t>Net Income (Loss)</t>
  </si>
  <si>
    <t xml:space="preserve">     Depreciation</t>
  </si>
  <si>
    <t xml:space="preserve">     Amortization</t>
  </si>
  <si>
    <t>Amortization of Bond Discount</t>
  </si>
  <si>
    <t>Tax Benefits Related to Employee Stock Options</t>
  </si>
  <si>
    <t>Deferred Income Taxes</t>
  </si>
  <si>
    <t>Prepaid Expenses</t>
  </si>
  <si>
    <t>Net cash provided by (used in) operating activities</t>
  </si>
  <si>
    <t>Purchases of PP&amp;E</t>
  </si>
  <si>
    <t>Purchases Of Marketable Securities</t>
  </si>
  <si>
    <t>Acquisitions, Net Of Cash</t>
  </si>
  <si>
    <t>Net cash used in investing activities</t>
  </si>
  <si>
    <t>Proceeds from credit facility</t>
  </si>
  <si>
    <t>Repayments of credit facility</t>
  </si>
  <si>
    <t>Dividends paid</t>
  </si>
  <si>
    <t xml:space="preserve">Issuance/(Repayments) of Convertible Senior Notes, Net </t>
  </si>
  <si>
    <t>Issuance/(Repayments) Of Long-Term Debt</t>
  </si>
  <si>
    <t>Net cash provided by financing activities</t>
  </si>
  <si>
    <t>Effect of Exchange Rate Changes on Cash</t>
  </si>
  <si>
    <t xml:space="preserve">Change in cash </t>
  </si>
  <si>
    <t>Cash at beginning of year</t>
  </si>
  <si>
    <t>Cash at end of year</t>
  </si>
  <si>
    <t>Cash and marketable securities at end of year</t>
  </si>
  <si>
    <t xml:space="preserve">Free Cash Flow </t>
  </si>
  <si>
    <t>CFO</t>
  </si>
  <si>
    <t xml:space="preserve"> - Cap Ex</t>
  </si>
  <si>
    <t>+ Tax Benefits of ESO's</t>
  </si>
  <si>
    <t>Free Cash Flow</t>
  </si>
  <si>
    <t>Share Price</t>
  </si>
  <si>
    <t>Market Capitalization</t>
  </si>
  <si>
    <t>FCF yield</t>
  </si>
  <si>
    <t>Buybacks as a % of FCF</t>
  </si>
  <si>
    <t xml:space="preserve">Stock Price (average) </t>
  </si>
  <si>
    <t>Option Balance (Beginning Year)</t>
  </si>
  <si>
    <t xml:space="preserve"> Average Options Exercisable</t>
  </si>
  <si>
    <t xml:space="preserve">   % Exercisable</t>
  </si>
  <si>
    <t>Weighted Average Exercise Price of exercisable</t>
  </si>
  <si>
    <t>Options Cancelled</t>
  </si>
  <si>
    <t xml:space="preserve">   % Cancelled </t>
  </si>
  <si>
    <t>Options Exercised</t>
  </si>
  <si>
    <t xml:space="preserve">   % Exercised</t>
  </si>
  <si>
    <t>Weighted Average Exercise Price</t>
  </si>
  <si>
    <t xml:space="preserve">   Statutory Tax rate</t>
  </si>
  <si>
    <t>Proceeds from option</t>
  </si>
  <si>
    <t>Tax Benefit from Options</t>
  </si>
  <si>
    <t>Options Granted</t>
  </si>
  <si>
    <t xml:space="preserve">     % of Outstanding Options</t>
  </si>
  <si>
    <t>Option Balance (End of Year)</t>
  </si>
  <si>
    <t>Shares Issued</t>
  </si>
  <si>
    <t>Proceeds from share issuance</t>
  </si>
  <si>
    <t>Share Repurchase Cost</t>
  </si>
  <si>
    <t>Conversion of Convertible Subordinated Debt/Share Issuance from Acquisitions</t>
  </si>
  <si>
    <t>Stock Compensation Expense</t>
  </si>
  <si>
    <t>Total Change in APIC</t>
  </si>
  <si>
    <t>Beginning Period Shares</t>
  </si>
  <si>
    <t>End of Period Shares</t>
  </si>
  <si>
    <t xml:space="preserve">Average Shares Outstanding-basic </t>
  </si>
  <si>
    <t>Average Shares Outstanding-diluted</t>
  </si>
  <si>
    <t>Option Difference</t>
  </si>
  <si>
    <t>Current diluted EPS</t>
  </si>
  <si>
    <t>Option expense</t>
  </si>
  <si>
    <t>Diluted EPS, pro forma</t>
  </si>
  <si>
    <t>Retained Earnings</t>
  </si>
  <si>
    <t>Retained Earnings:  Beg. of Period</t>
  </si>
  <si>
    <t>Net income</t>
  </si>
  <si>
    <t>Dividend Payout Ratio</t>
  </si>
  <si>
    <t>Dividends</t>
  </si>
  <si>
    <t>Retained Earnings:  End. of Period</t>
  </si>
  <si>
    <t>Dilution from Convertible Debt</t>
  </si>
  <si>
    <t>Dilution from Convertible senior notes - due 2011 (5 yr) (lower call)</t>
  </si>
  <si>
    <t>Conversion price</t>
  </si>
  <si>
    <t>Dilution from Convertible senior notes - due 2013 (7 yr) (lower call)</t>
  </si>
  <si>
    <t>Dilution from Convertible senior notes - due 2014 (4 yr) (lower call)</t>
  </si>
  <si>
    <t>Dilution from Convertible senior notes - due 2016 (6 yr) (lower call)</t>
  </si>
  <si>
    <t>Dilution from Convertible senior notes - due 2011 (5 yr) (warrant)</t>
  </si>
  <si>
    <t>Strike price</t>
  </si>
  <si>
    <t>Dilution from Convertible senior notes - due 2013 (7 yr) (warrant)</t>
  </si>
  <si>
    <t>Dilution from Convertible senior notes - due 2014 (4 yr) (warrant)</t>
  </si>
  <si>
    <t>Dilution from Convertible senior notes - due 2016 (6 yr) (warrant)</t>
  </si>
  <si>
    <t>Total Diluted Shares</t>
  </si>
  <si>
    <t>Dilution from Convertible Debt and Warrants</t>
  </si>
  <si>
    <t>Average Stock price</t>
  </si>
  <si>
    <t>2011 Notes</t>
  </si>
  <si>
    <t>Outstanding Values</t>
  </si>
  <si>
    <t>Conversion ratio</t>
  </si>
  <si>
    <t>Conversion Price</t>
  </si>
  <si>
    <t>Dilution from Convertible bond</t>
  </si>
  <si>
    <t>Warrant Exercise Price</t>
  </si>
  <si>
    <t>Dilution from Warrant</t>
  </si>
  <si>
    <t>Dilution from 2011 Notes and Warrants</t>
  </si>
  <si>
    <t>2013 Notes</t>
  </si>
  <si>
    <t>Dilution from 2013 Notes and Warrants</t>
  </si>
  <si>
    <t>2014 Notes</t>
  </si>
  <si>
    <t>Dilution from 2014 Notes and Warrants</t>
  </si>
  <si>
    <t>2016 Notes</t>
  </si>
  <si>
    <t>Dilution from 2016 Notes and Warrants</t>
  </si>
  <si>
    <t>Total Dilution fron Convertible Bonds and Warrants</t>
  </si>
  <si>
    <t>Check</t>
  </si>
  <si>
    <t>HIV Revenue Model</t>
  </si>
  <si>
    <t>1Q12</t>
  </si>
  <si>
    <t>2Q12</t>
  </si>
  <si>
    <t>3Q12</t>
  </si>
  <si>
    <t>4Q12</t>
  </si>
  <si>
    <t>1Q13</t>
  </si>
  <si>
    <t>2Q13</t>
  </si>
  <si>
    <t>Bull</t>
  </si>
  <si>
    <t>Base</t>
  </si>
  <si>
    <t>Bear</t>
  </si>
  <si>
    <t>Total HIV Infected Patients</t>
  </si>
  <si>
    <t>% Growth</t>
  </si>
  <si>
    <t>Total Diagnosed HIV Patients</t>
  </si>
  <si>
    <t>% Patients Diagnosed</t>
  </si>
  <si>
    <t xml:space="preserve">Total Infected Patients, not Diagnosed </t>
  </si>
  <si>
    <t>% Patients Infected, not Diganosed</t>
  </si>
  <si>
    <t>Patients on ART</t>
  </si>
  <si>
    <t>% Patients on ART</t>
  </si>
  <si>
    <t>Treatment Experienced Patients - US</t>
  </si>
  <si>
    <t>Treatment Naïve Patients - US</t>
  </si>
  <si>
    <t>Treatment Experienced Patients (%)</t>
  </si>
  <si>
    <t>Treatment Naïve Patients (%)</t>
  </si>
  <si>
    <t>Treatment Experienced Patients on NRTI</t>
  </si>
  <si>
    <t>Treatment Experienced Patients on NRTI (%)</t>
  </si>
  <si>
    <t>Complera</t>
  </si>
  <si>
    <t>Total Gilead NRTI Share</t>
  </si>
  <si>
    <t>Treatment Naive Patients on NRTI</t>
  </si>
  <si>
    <t>Treatment Naive Patients on NRTI (%)</t>
  </si>
  <si>
    <t>Total Naive US Patients on a Gilead HIV Product</t>
  </si>
  <si>
    <t>Total US Patients on a Gilead HIV Product</t>
  </si>
  <si>
    <t>Average Length of Treatment - Experienced</t>
  </si>
  <si>
    <t>Average Length of Treatment - Naïve</t>
  </si>
  <si>
    <t>Treatment Experienced Patients - EU</t>
  </si>
  <si>
    <t>Treatment Naïve Patients - EU</t>
  </si>
  <si>
    <t>Total EU HIV Franchise</t>
  </si>
  <si>
    <t>% growth</t>
  </si>
  <si>
    <t>Total ROW HIV Franchise</t>
  </si>
  <si>
    <t>NA</t>
  </si>
  <si>
    <t>HBV</t>
  </si>
  <si>
    <t>Eviplera</t>
  </si>
  <si>
    <t>Carrying Value Balances</t>
  </si>
  <si>
    <t>Maturity</t>
  </si>
  <si>
    <t xml:space="preserve">0.5% convertible senior notes due 2011 (2011 convertible senior notes) </t>
  </si>
  <si>
    <t xml:space="preserve">0.625% convertible senior notes due 2013 (2013 convertible senior notes) </t>
  </si>
  <si>
    <t xml:space="preserve">1.0% convertible senior notes due 2014 (2014 convertible senior notes) </t>
  </si>
  <si>
    <t xml:space="preserve">1.625% convertible senior notes due 2016 (2016 convertible senior notes) </t>
  </si>
  <si>
    <t xml:space="preserve">2.0% convertible senior notes due 2007 (2007 convertible senior notes) </t>
  </si>
  <si>
    <t xml:space="preserve">5.0% convertible subordinate notes due 2007 (2007 convertible subordinate notes) </t>
  </si>
  <si>
    <t>2.4% senior notes maturing in December 2014</t>
  </si>
  <si>
    <t>3.05% senior notes maturing in December 2016</t>
  </si>
  <si>
    <t>4.5% senior notes maturing in April 2021</t>
  </si>
  <si>
    <t>4.4% senior notes maturing in December 2021</t>
  </si>
  <si>
    <t>5.65% senior notes maturing in December 2041</t>
  </si>
  <si>
    <t>Other debt</t>
  </si>
  <si>
    <t>Credit facilities</t>
  </si>
  <si>
    <t>Total Debt</t>
  </si>
  <si>
    <t>From Model</t>
  </si>
  <si>
    <t>Current and Non-Current portion of debt calculation</t>
  </si>
  <si>
    <t xml:space="preserve">Current portion of convertible notes </t>
  </si>
  <si>
    <t>Current Portion Long Term Debt</t>
  </si>
  <si>
    <t xml:space="preserve">Non-Current portion of convertible notes </t>
  </si>
  <si>
    <t>Non-Current Portion Long Term Debt</t>
  </si>
  <si>
    <t>Change in Debt carrying balances</t>
  </si>
  <si>
    <t>Net Issuance (including non-cash interest expense)</t>
  </si>
  <si>
    <t>Convertible Notes Calculation</t>
  </si>
  <si>
    <t>Net carrying amount</t>
  </si>
  <si>
    <t xml:space="preserve">Non-cash interest expense </t>
  </si>
  <si>
    <t>Unamortized Discount</t>
  </si>
  <si>
    <t>Effective interest rate @ 5.7%</t>
  </si>
  <si>
    <t>Effective interest rate @ 5.8%</t>
  </si>
  <si>
    <t>Effective interest rate @ 3.5%</t>
  </si>
  <si>
    <t>Effective interest rate @ 4.0%</t>
  </si>
  <si>
    <t>Interest rates</t>
  </si>
  <si>
    <t xml:space="preserve">4.5% senior notes due 2021 (2021 senior notes) </t>
  </si>
  <si>
    <t>2% senior notes maturing in December 2017</t>
  </si>
  <si>
    <t>Interest Expense</t>
  </si>
  <si>
    <t>Blended Interest Rate (On Opening Debt Balance)</t>
  </si>
  <si>
    <t>Reported Interest Expense</t>
  </si>
  <si>
    <t>Gross-to-net</t>
  </si>
  <si>
    <t>Depreciation as % operating expenses</t>
  </si>
  <si>
    <t>US</t>
  </si>
  <si>
    <t>Total Debt / EBITDA</t>
  </si>
  <si>
    <t>Stock Options</t>
  </si>
  <si>
    <t>Difference</t>
  </si>
  <si>
    <t>Diluted shares</t>
  </si>
  <si>
    <t>Shares Repurchased (MM)</t>
  </si>
  <si>
    <t>Cash Flows from Financing Activities</t>
  </si>
  <si>
    <t>Current assets</t>
  </si>
  <si>
    <t>Current liabilities</t>
  </si>
  <si>
    <t>Depreciation Schedule</t>
  </si>
  <si>
    <t>Total Liabilities and equity</t>
  </si>
  <si>
    <t>US HIV PATIENT POPULATION</t>
  </si>
  <si>
    <t>EU HIV PATIENT POPULATION</t>
  </si>
  <si>
    <t>Total Diagnosed HIV Pts</t>
  </si>
  <si>
    <t>1Q14A</t>
  </si>
  <si>
    <t>Proceeds From Maturities Of Marketable Securities</t>
  </si>
  <si>
    <t>Proceeds From Sales Of Marketable Securities</t>
  </si>
  <si>
    <t>Total US HIV Franchise</t>
  </si>
  <si>
    <t>Viread - HBV Sales</t>
  </si>
  <si>
    <t>Clinical studies and outside services</t>
  </si>
  <si>
    <t>Personnel expenses</t>
  </si>
  <si>
    <t>Facilities, IT and other costs</t>
  </si>
  <si>
    <t>IPR&amp;D impairment charges</t>
  </si>
  <si>
    <t>FCF</t>
  </si>
  <si>
    <t>YoY growth</t>
  </si>
  <si>
    <t>PV of FCF</t>
  </si>
  <si>
    <t>Sum of Discounted CF</t>
  </si>
  <si>
    <t>Net Cash</t>
  </si>
  <si>
    <t>Equity Value</t>
  </si>
  <si>
    <t>Equity Value Per Share</t>
  </si>
  <si>
    <t>Discount Rate</t>
  </si>
  <si>
    <t>Intermediate Growth Rate</t>
  </si>
  <si>
    <t>Terminal Growth Rate</t>
  </si>
  <si>
    <t>Time of Valuation</t>
  </si>
  <si>
    <t>US Population</t>
  </si>
  <si>
    <t>Growth</t>
  </si>
  <si>
    <t>% Prevelance of population</t>
  </si>
  <si>
    <t># Prevelance</t>
  </si>
  <si>
    <t>Gilead Numbers; NHANES says ~3.5M chronically infected</t>
  </si>
  <si>
    <t>Incidence</t>
  </si>
  <si>
    <t>CDC NHANES</t>
  </si>
  <si>
    <t>Deaths</t>
  </si>
  <si>
    <t>Cures</t>
  </si>
  <si>
    <t>% diagnosed</t>
  </si>
  <si>
    <t># diagnosed</t>
  </si>
  <si>
    <t>Gilead</t>
  </si>
  <si>
    <t>% total treated</t>
  </si>
  <si>
    <t># total treated</t>
  </si>
  <si>
    <t>Naïve Treated Patients</t>
  </si>
  <si>
    <t>% prevelant naïve treated</t>
  </si>
  <si>
    <t>% diagnosed naïve treated</t>
  </si>
  <si>
    <t># naïve treated</t>
  </si>
  <si>
    <t># GT1</t>
  </si>
  <si>
    <t>Based on IMS data and Vertex GT1 treated pt numbers</t>
  </si>
  <si>
    <t># GT2/3</t>
  </si>
  <si>
    <t>Based on prevalent %</t>
  </si>
  <si>
    <t># GT4/5/6</t>
  </si>
  <si>
    <t>% GT1</t>
  </si>
  <si>
    <t>% GT2/3</t>
  </si>
  <si>
    <t>% GT4/5/6</t>
  </si>
  <si>
    <t>Naïve Cured Patients</t>
  </si>
  <si>
    <t>Relapsed/Refractory Population</t>
  </si>
  <si>
    <t># R/R</t>
  </si>
  <si>
    <t># naives failing treatment</t>
  </si>
  <si>
    <t>% retreated</t>
  </si>
  <si>
    <t># retreated</t>
  </si>
  <si>
    <t># Cured</t>
  </si>
  <si>
    <t>% Cured</t>
  </si>
  <si>
    <t># failing Gilead reg</t>
  </si>
  <si>
    <t># available for Gilead</t>
  </si>
  <si>
    <t>$ Annual Price</t>
  </si>
  <si>
    <t># Annual Patients</t>
  </si>
  <si>
    <t>Global Revenues</t>
  </si>
  <si>
    <t>JPN</t>
  </si>
  <si>
    <t>Total</t>
  </si>
  <si>
    <t>EU5 Population</t>
  </si>
  <si>
    <t>Muhlberger et al.  HCV-related burden of disease in Europe: a systematic assessment of incidence, prevalence, morbidity and mortality, BMC Public Health, 2009.</t>
  </si>
  <si>
    <t>Based on IMS data</t>
  </si>
  <si>
    <t>US Hepatitis C Market Model</t>
  </si>
  <si>
    <t>Prevelant Population</t>
  </si>
  <si>
    <t>Gilead, Historical IMS, Vertex and assumptions</t>
  </si>
  <si>
    <t>Naïve Market Share</t>
  </si>
  <si>
    <t>X</t>
  </si>
  <si>
    <t># Relapsed/Refractory</t>
  </si>
  <si>
    <t>Calculated</t>
  </si>
  <si>
    <t xml:space="preserve">Assumptions; Vertex said 60-80% of total treated patients were naïve </t>
  </si>
  <si>
    <t>Vertex comments; Calculated</t>
  </si>
  <si>
    <t>Relapsed/Refractory Treated Patients</t>
  </si>
  <si>
    <t># failing Gilead-based treatment</t>
  </si>
  <si>
    <t>Calculated to remove from Gilead re-treatment pie</t>
  </si>
  <si>
    <t>Similar to naïve market share expect for 2014</t>
  </si>
  <si>
    <t>Relapsed/Refractory Market Share</t>
  </si>
  <si>
    <t>US Sovaldi Revenues</t>
  </si>
  <si>
    <t>$ Total US Revenues (millions)</t>
  </si>
  <si>
    <t>Currently only ~100k refractory pts are actively under the care of a physician</t>
  </si>
  <si>
    <t># Chronically Infected Prevelance</t>
  </si>
  <si>
    <t>EU5 Hepatitis C Market Model</t>
  </si>
  <si>
    <t>$ Total EU Revenues (millions)</t>
  </si>
  <si>
    <t>% total treated of diagnosed</t>
  </si>
  <si>
    <t>Just assuming 1/3 of US number, but could be higher given the much higher diagnosis rate</t>
  </si>
  <si>
    <t>Japan Hepatitis C Market Model</t>
  </si>
  <si>
    <t>Japan Population</t>
  </si>
  <si>
    <t>$ Total JPN Revenues (millions)</t>
  </si>
  <si>
    <t>Base Growth rate</t>
  </si>
  <si>
    <t>Bear Growth rate</t>
  </si>
  <si>
    <t>Bull Growth rate</t>
  </si>
  <si>
    <t>Scenarios (1=BULL, 2=BASE, 3=BEAR) ---&gt;</t>
  </si>
  <si>
    <t>X = RED = Scenario Row</t>
  </si>
  <si>
    <t>Launches ---&gt;</t>
  </si>
  <si>
    <t>AbbVie</t>
  </si>
  <si>
    <t>Achillion/Idenix/Etc</t>
  </si>
  <si>
    <t>Merck/Bristol</t>
  </si>
  <si>
    <t>12 week course</t>
  </si>
  <si>
    <t>Sovaldi WAC Price (monthly)</t>
  </si>
  <si>
    <t>24 week course</t>
  </si>
  <si>
    <t>FDC WAC Price (monthly)</t>
  </si>
  <si>
    <t>8 week course</t>
  </si>
  <si>
    <t>% 12 week</t>
  </si>
  <si>
    <t>% 24 week</t>
  </si>
  <si>
    <t>% 8 week</t>
  </si>
  <si>
    <t>Blended FDC WAC (course)</t>
  </si>
  <si>
    <t>Blended Sovaldi WAC (course)</t>
  </si>
  <si>
    <t>Compliance</t>
  </si>
  <si>
    <t>Annual Price Increases</t>
  </si>
  <si>
    <t>FDC Share</t>
  </si>
  <si>
    <t>Keep 10% sicne GT works fine</t>
  </si>
  <si>
    <t>Assume all naives get 8 wks</t>
  </si>
  <si>
    <t>% Negative Pricing Competition</t>
  </si>
  <si>
    <t>67% of the US price</t>
  </si>
  <si>
    <t>Bristol/Gilead/AbbVie</t>
  </si>
  <si>
    <t>http://www.cdc.gov/hiv/statistics/basics/</t>
  </si>
  <si>
    <t>Gilead Quarterly Earnings Slides - Ipsos Monitor Data</t>
  </si>
  <si>
    <t>Market Shares</t>
  </si>
  <si>
    <t>US TREATMENT EXPERIENCED</t>
  </si>
  <si>
    <t>Patient Numbers</t>
  </si>
  <si>
    <t xml:space="preserve">  Stribild</t>
  </si>
  <si>
    <t>US TREATMENT NAÏVE</t>
  </si>
  <si>
    <t>WAC Price</t>
  </si>
  <si>
    <t>3Q13</t>
  </si>
  <si>
    <t>$ Monthly Cost of Therapy</t>
  </si>
  <si>
    <t>$ Total Truvada</t>
  </si>
  <si>
    <t>$ Total Atripla</t>
  </si>
  <si>
    <t>$ Total Complera</t>
  </si>
  <si>
    <t>$ Total Stribild</t>
  </si>
  <si>
    <t># Total Experienced Patients</t>
  </si>
  <si>
    <t># Total Naïve Patient</t>
  </si>
  <si>
    <t>$ Total Viread (HIV)</t>
  </si>
  <si>
    <t>Viread (Patent Expiration 2018, Teva Settlement Dec 15, 2017)</t>
  </si>
  <si>
    <t>Truvada (Patent Expiration 2021)</t>
  </si>
  <si>
    <t>Atripla (Patent Expiration 2021)</t>
  </si>
  <si>
    <t>Complera (Patent Expiration 2023)</t>
  </si>
  <si>
    <t>Stribild (Patent Expiration 2029)</t>
  </si>
  <si>
    <t>% of total ART patients</t>
  </si>
  <si>
    <t>EU TREATMENT EXPERIENCED</t>
  </si>
  <si>
    <t>Total Gilead Share</t>
  </si>
  <si>
    <t>Total Experienced Patients on a Gilead Product</t>
  </si>
  <si>
    <t>Viread (Patent Expiration 2018)</t>
  </si>
  <si>
    <t>Truvada (Patent Expiration 2018)</t>
  </si>
  <si>
    <t>Atripla (Patent Expiration 2018)</t>
  </si>
  <si>
    <t>Eviplera (Patent Expiration 2022)</t>
  </si>
  <si>
    <t>Stribild (Patent Expiration 2027)</t>
  </si>
  <si>
    <t>EU TREATMENT NAÏVE</t>
  </si>
  <si>
    <t>Total Naïve Patients on a Gilead Product</t>
  </si>
  <si>
    <t>US REVENUES</t>
  </si>
  <si>
    <t>EU REVENUES</t>
  </si>
  <si>
    <t>Total Viread</t>
  </si>
  <si>
    <t>$ Total Viread</t>
  </si>
  <si>
    <t>US Total Viread</t>
  </si>
  <si>
    <t>ROW Total Viread</t>
  </si>
  <si>
    <t>EU Total Viread</t>
  </si>
  <si>
    <t>HIV</t>
  </si>
  <si>
    <t>% HBV</t>
  </si>
  <si>
    <t>$ Total Eviplera</t>
  </si>
  <si>
    <t>$ Total Global HIV Franchise</t>
  </si>
  <si>
    <t xml:space="preserve">ROW HIV </t>
  </si>
  <si>
    <t>$ Total Revenues</t>
  </si>
  <si>
    <t>Ranexa (US Only - Patent Expiration 2019)</t>
  </si>
  <si>
    <t>Letairis (US Only - Patent Expiration 2018)</t>
  </si>
  <si>
    <t>AmBisome (US Patent 2016 / EU 2008)</t>
  </si>
  <si>
    <t>Cayston (US &amp; EU Patents 2021)</t>
  </si>
  <si>
    <t>4Q13</t>
  </si>
  <si>
    <t>Co. Guidance</t>
  </si>
  <si>
    <t>USD</t>
  </si>
  <si>
    <t>GILD.O</t>
  </si>
  <si>
    <t>Gilead Sciences Inc.</t>
  </si>
  <si>
    <t>E</t>
  </si>
  <si>
    <t>ModelWare Tags for Validation</t>
  </si>
  <si>
    <t>Unrecorded Goodwill from Poolings</t>
  </si>
  <si>
    <t>ModelWare Calculations</t>
  </si>
  <si>
    <t>Reported Net Income</t>
  </si>
  <si>
    <t>Statutory tax rate</t>
  </si>
  <si>
    <t>2013A</t>
  </si>
  <si>
    <t>Currency</t>
  </si>
  <si>
    <t>Current Stock Price</t>
  </si>
  <si>
    <t>Count</t>
  </si>
  <si>
    <t>GILD.O,mscalc:sedolCodeCalc</t>
  </si>
  <si>
    <t>GILD.O,mscalc:closePriceCurrencyCalc</t>
  </si>
  <si>
    <t>GILD.O,mscalc:targetPrice,,,,USD</t>
  </si>
  <si>
    <t>$F$2</t>
  </si>
  <si>
    <t>Net Issuance/Repurchases</t>
  </si>
  <si>
    <t>Depreciation &amp; Amortization</t>
  </si>
  <si>
    <t>Stock-based compensation expense</t>
  </si>
  <si>
    <t>In-process research and development impairment charges</t>
  </si>
  <si>
    <t>Accounts receivable, net</t>
  </si>
  <si>
    <t>Accrued Liabilities and taxes payable</t>
  </si>
  <si>
    <t>Changes in operating assets and liabilities:</t>
  </si>
  <si>
    <t>Repurchases of common stock</t>
  </si>
  <si>
    <t>Proceeds from issuances of common stock (for ESO)</t>
  </si>
  <si>
    <t>Excess tax benefits from stock-based compensation</t>
  </si>
  <si>
    <t>Proceeds/(purchases) of convertible note hedges</t>
  </si>
  <si>
    <t>Proceeds from sale of/(payments to settle) warrants</t>
  </si>
  <si>
    <t>Contributions from (distributions to) noncontrolling interest</t>
  </si>
  <si>
    <t>Proceeds from/(repayments of) debt financing</t>
  </si>
  <si>
    <t>Terminal</t>
  </si>
  <si>
    <t>Scenarios</t>
  </si>
  <si>
    <t>Selector ---&gt;</t>
  </si>
  <si>
    <t>1 = Bull</t>
  </si>
  <si>
    <t>2 = Base</t>
  </si>
  <si>
    <t>3 = Bear</t>
  </si>
  <si>
    <t>1Q14</t>
  </si>
  <si>
    <t>2Q14</t>
  </si>
  <si>
    <t>4Q14</t>
  </si>
  <si>
    <t>3Q14</t>
  </si>
  <si>
    <t>Total COGS</t>
  </si>
  <si>
    <t>ROW (incl JPN)</t>
  </si>
  <si>
    <t>US (2014 Expiration)</t>
  </si>
  <si>
    <t>EU (2016 Expiration)</t>
  </si>
  <si>
    <t>US (2021 Expiration)</t>
  </si>
  <si>
    <t>US (2023 Expiration)</t>
  </si>
  <si>
    <t>EU (2022 Expiration)</t>
  </si>
  <si>
    <t>US (2029 Expiration)</t>
  </si>
  <si>
    <t>EU (2023 Expiration)</t>
  </si>
  <si>
    <t>Growth Analysis (Non-GAAP)</t>
  </si>
  <si>
    <t>Margin Analysis (Non-GAAP)</t>
  </si>
  <si>
    <t>Net income to Gilead (Non-GAAP)</t>
  </si>
  <si>
    <t>Non-GAAP EPS (excl. options)</t>
  </si>
  <si>
    <t>Assume 20% premium to Stribild pricing</t>
  </si>
  <si>
    <t>2.05% senior notes maturing in April 2019</t>
  </si>
  <si>
    <t>3.7% senior notes maturing in April 2024</t>
  </si>
  <si>
    <t>4.8% senior notes maturing in April 2044</t>
  </si>
  <si>
    <t>2369174</t>
  </si>
  <si>
    <t>Other income (expense) reconciliation</t>
  </si>
  <si>
    <t>2Q14A</t>
  </si>
  <si>
    <t>Other Antiviral</t>
  </si>
  <si>
    <t xml:space="preserve"> </t>
  </si>
  <si>
    <t>2021E</t>
  </si>
  <si>
    <t>2022E</t>
  </si>
  <si>
    <t>2023E</t>
  </si>
  <si>
    <t>2024E</t>
  </si>
  <si>
    <t>2025E</t>
  </si>
  <si>
    <t>2026E</t>
  </si>
  <si>
    <t>2027E</t>
  </si>
  <si>
    <t>2028E</t>
  </si>
  <si>
    <t>2029E</t>
  </si>
  <si>
    <t>2030E</t>
  </si>
  <si>
    <t>1Q21E</t>
  </si>
  <si>
    <t>2Q21E</t>
  </si>
  <si>
    <t>3Q21E</t>
  </si>
  <si>
    <t>4Q21E</t>
  </si>
  <si>
    <t>1Q22E</t>
  </si>
  <si>
    <t>2Q22E</t>
  </si>
  <si>
    <t>3Q22E</t>
  </si>
  <si>
    <t>4Q22E</t>
  </si>
  <si>
    <t>1Q23E</t>
  </si>
  <si>
    <t>2Q23E</t>
  </si>
  <si>
    <t>3Q23E</t>
  </si>
  <si>
    <t>4Q23E</t>
  </si>
  <si>
    <t>1Q24E</t>
  </si>
  <si>
    <t>2Q24E</t>
  </si>
  <si>
    <t>3Q24E</t>
  </si>
  <si>
    <t>4Q24E</t>
  </si>
  <si>
    <t>1Q25E</t>
  </si>
  <si>
    <t>2Q25E</t>
  </si>
  <si>
    <t>3Q25E</t>
  </si>
  <si>
    <t>4Q25E</t>
  </si>
  <si>
    <t>1Q26E</t>
  </si>
  <si>
    <t>2Q26E</t>
  </si>
  <si>
    <t>3Q26E</t>
  </si>
  <si>
    <t>4Q26E</t>
  </si>
  <si>
    <t>1Q27E</t>
  </si>
  <si>
    <t>2Q27E</t>
  </si>
  <si>
    <t>3Q27E</t>
  </si>
  <si>
    <t>4Q27E</t>
  </si>
  <si>
    <t>1Q28E</t>
  </si>
  <si>
    <t>2Q28E</t>
  </si>
  <si>
    <t>3Q28E</t>
  </si>
  <si>
    <t>4Q28E</t>
  </si>
  <si>
    <t>1Q29E</t>
  </si>
  <si>
    <t>2Q29E</t>
  </si>
  <si>
    <t>3Q29E</t>
  </si>
  <si>
    <t>4Q29E</t>
  </si>
  <si>
    <t>1Q30E</t>
  </si>
  <si>
    <t>2Q30E</t>
  </si>
  <si>
    <t>3Q30E</t>
  </si>
  <si>
    <t>4Q30E</t>
  </si>
  <si>
    <t>2023 capital expenditures</t>
  </si>
  <si>
    <t>2024 capital expenditures</t>
  </si>
  <si>
    <t>2025 capital expenditures</t>
  </si>
  <si>
    <t>2026 capital expenditures</t>
  </si>
  <si>
    <t>2027 capital expenditures</t>
  </si>
  <si>
    <t>2028 capital expenditures</t>
  </si>
  <si>
    <t>2029 capital expenditures</t>
  </si>
  <si>
    <t>2030 capital expenditures</t>
  </si>
  <si>
    <t>1Q15</t>
  </si>
  <si>
    <t>3Q14A</t>
  </si>
  <si>
    <t>EU Sovaldi Revenues</t>
  </si>
  <si>
    <t>Harvoni WAC Price (monthly)</t>
  </si>
  <si>
    <t>GT2 vs GT3</t>
  </si>
  <si>
    <t>2.35% senior notes maturing in February 2020</t>
  </si>
  <si>
    <t>3.5% senior notes maturing in February 2025</t>
  </si>
  <si>
    <t>4.5% senior notes maturing in February 2045</t>
  </si>
  <si>
    <t>4Q14A</t>
  </si>
  <si>
    <t>Harvoni</t>
  </si>
  <si>
    <t>US (2030 Expiration)</t>
  </si>
  <si>
    <t>EU (2028 Expiration)</t>
  </si>
  <si>
    <t>Harvoni US revenue ($M)</t>
  </si>
  <si>
    <t>Sovaldi US revenue ($M)</t>
  </si>
  <si>
    <t>Harvoni EU revenue ($M)</t>
  </si>
  <si>
    <t>Sovaldi EU revenue ($M)</t>
  </si>
  <si>
    <t>Harvoni JPN revenue ($M)</t>
  </si>
  <si>
    <t>Sovaldi JPN revenue ($M)</t>
  </si>
  <si>
    <t>Harvoni (AUS, NZ, Swiss, Turkey) revenue ($M)</t>
  </si>
  <si>
    <t>Sovaldi (AUS, NZ, Swiss, Turkey) revenue ($M)</t>
  </si>
  <si>
    <t>2014A</t>
  </si>
  <si>
    <t>Variable interest entity consolidated costs</t>
  </si>
  <si>
    <t>Less: variable interest entity consolidated costs</t>
  </si>
  <si>
    <t>Australia, NZ, Switzerland, Turkey, Egypt, etc</t>
  </si>
  <si>
    <t>% Gross-to-Net</t>
  </si>
  <si>
    <t>Reported</t>
  </si>
  <si>
    <t>BuyBack</t>
  </si>
  <si>
    <t>Dividend</t>
  </si>
  <si>
    <t>Payout Ratio</t>
  </si>
  <si>
    <t>Total returned to shareholders</t>
  </si>
  <si>
    <t>% of FCF</t>
  </si>
  <si>
    <t>Buyback/Divvy</t>
  </si>
  <si>
    <t>Payout ratio</t>
  </si>
  <si>
    <t>1Q15A</t>
  </si>
  <si>
    <t>2Q15A</t>
  </si>
  <si>
    <t>3Q15A</t>
  </si>
  <si>
    <t>4Q15A</t>
  </si>
  <si>
    <t>1.850% senior notes maturing in September 2018</t>
  </si>
  <si>
    <t>2.550% senior notes maturing in September 2020</t>
  </si>
  <si>
    <t>3.250% senior notes maturing in September 2022</t>
  </si>
  <si>
    <t>3.650% senior notes maturing in September 2026</t>
  </si>
  <si>
    <t>4.750% senior notes maturing in September 2046</t>
  </si>
  <si>
    <t>4.600% senior notes maturing in September 2035</t>
  </si>
  <si>
    <t>Genvoya</t>
  </si>
  <si>
    <t>2015A</t>
  </si>
  <si>
    <t>1Q16A</t>
  </si>
  <si>
    <t>Up-front collaboration expenses</t>
  </si>
  <si>
    <t>Acquisition related IPR&amp;D impairment</t>
  </si>
  <si>
    <t>Descovy (emtricitabine / TAF)</t>
  </si>
  <si>
    <t>Truvada (emtricitabine / TDF)</t>
  </si>
  <si>
    <t>Atripla (efavirenz / emtricitibine / TDF)</t>
  </si>
  <si>
    <t>Viread (TDF)</t>
  </si>
  <si>
    <t>Complera/Eviplera (emtricitabine / rilpivirine / TDF)</t>
  </si>
  <si>
    <t>Stribild (elvitegravir / emtricitabine / TDF)</t>
  </si>
  <si>
    <t>Odefsey (emtricitabine / rilpivirine / TAF)</t>
  </si>
  <si>
    <t>Genvoya (elvitegravir / emtricitabine / TAF)</t>
  </si>
  <si>
    <t>Harvoni (sofosbuvir / ledipasvir)</t>
  </si>
  <si>
    <t>Epclusa (sofosbuvir / velpatasvir)</t>
  </si>
  <si>
    <t>Sovaldi (sofosbuvir)</t>
  </si>
  <si>
    <t>Europe</t>
  </si>
  <si>
    <t>Japan</t>
  </si>
  <si>
    <t>Other International</t>
  </si>
  <si>
    <t>Vitekta</t>
  </si>
  <si>
    <t>Zydelig (2025 Expiration)</t>
  </si>
  <si>
    <t>GS-9883 / emtricitabine / TAF</t>
  </si>
  <si>
    <t>US (2033 Expiration)</t>
  </si>
  <si>
    <t>GS-9883/F/TAF</t>
  </si>
  <si>
    <t>2Q15</t>
  </si>
  <si>
    <t>3Q15</t>
  </si>
  <si>
    <t>4Q15</t>
  </si>
  <si>
    <t>1Q16</t>
  </si>
  <si>
    <t>2Q16</t>
  </si>
  <si>
    <t>3Q16</t>
  </si>
  <si>
    <t>4Q16</t>
  </si>
  <si>
    <t>2Q16A</t>
  </si>
  <si>
    <t>3Q16A</t>
  </si>
  <si>
    <t>4Q16A</t>
  </si>
  <si>
    <t>2015</t>
  </si>
  <si>
    <t>2014</t>
  </si>
  <si>
    <t>Truvada (2021 Expiry)</t>
  </si>
  <si>
    <t>Atripla (2021 Expiry)</t>
  </si>
  <si>
    <t>Complera (2023 Expiry)</t>
  </si>
  <si>
    <t>Stribild (2029 Expiry)</t>
  </si>
  <si>
    <t>Genvoya (2029 Expiry)</t>
  </si>
  <si>
    <t>Odefsey (2025 Expiry)</t>
  </si>
  <si>
    <t>Descovy (2025 Expiry)</t>
  </si>
  <si>
    <t>GS-9883/F/TAF (2033 Expiry)</t>
  </si>
  <si>
    <t>Truvada + Descovy</t>
  </si>
  <si>
    <t>Complera + Odefsey</t>
  </si>
  <si>
    <t>Stribild + Genvoya</t>
  </si>
  <si>
    <t>Genvoya (Patent Expiration 2029)</t>
  </si>
  <si>
    <t>$ Total Genvoya</t>
  </si>
  <si>
    <t>+PrEP</t>
  </si>
  <si>
    <t>$ Total Odefsey</t>
  </si>
  <si>
    <t>Odefsey (Patent Expiration 2025)</t>
  </si>
  <si>
    <t>Descovy (Patent Expiration 2025)</t>
  </si>
  <si>
    <t>$ Total Descovy</t>
  </si>
  <si>
    <t>GS-9883/F/TAF (Patent Expiration 2033)</t>
  </si>
  <si>
    <t>$ Total GS-9883/F/TAF</t>
  </si>
  <si>
    <t>Odefsey</t>
  </si>
  <si>
    <t>Descovy</t>
  </si>
  <si>
    <t>Genvoya (2028 Expiry)</t>
  </si>
  <si>
    <t>Atripla (2017 Expiry)</t>
  </si>
  <si>
    <t>Eviplera (2022 Expiry)</t>
  </si>
  <si>
    <t>Stribild (2028 Expiry)</t>
  </si>
  <si>
    <t>Truvada (2017 Expiry)</t>
  </si>
  <si>
    <t>US (2025 Expiration)</t>
  </si>
  <si>
    <t>EU (2025 Expiration)</t>
  </si>
  <si>
    <t>EU (2033 Expiration)</t>
  </si>
  <si>
    <t>US (2032 Expiration)</t>
  </si>
  <si>
    <t>EU (2032 Expiration)</t>
  </si>
  <si>
    <t>% of total</t>
  </si>
  <si>
    <t>Epclusa US revenue ($M)</t>
  </si>
  <si>
    <t>Epclusa EU revenue ($M)</t>
  </si>
  <si>
    <t>Epclusa JPN revenue ($M)</t>
  </si>
  <si>
    <t>Epclusa (AUS, NZ, Swiss, Turkey) revenue ($M)</t>
  </si>
  <si>
    <t>% COGS</t>
  </si>
  <si>
    <t>H</t>
  </si>
  <si>
    <t>S</t>
  </si>
  <si>
    <t>x</t>
  </si>
  <si>
    <t>EU (7/2017 Expiration)</t>
  </si>
  <si>
    <t>US (Teva settlement; Dec 15, 2017)</t>
  </si>
  <si>
    <t>EU (July 2017 Expiration)</t>
  </si>
  <si>
    <t>EU (2030 Expiration)</t>
  </si>
  <si>
    <t>Tamiflu Royalties (2017 US Expiry, 2016 EU)</t>
  </si>
  <si>
    <t>HCV</t>
  </si>
  <si>
    <t>2016A</t>
  </si>
  <si>
    <t>1.95% senior notes maturing in March 2022</t>
  </si>
  <si>
    <t>2.50% senior notes maturing in September 2023</t>
  </si>
  <si>
    <t>2.95% senior notes maturing in September 2027</t>
  </si>
  <si>
    <t>4.00% senior notes maturing in September 2036</t>
  </si>
  <si>
    <t>4.15% senior notes maturing in September 2047</t>
  </si>
  <si>
    <t>1Q17A</t>
  </si>
  <si>
    <t>2016</t>
  </si>
  <si>
    <t>2Q17A</t>
  </si>
  <si>
    <t>US DLBCL Patient Numbers</t>
  </si>
  <si>
    <t>Prevalence</t>
  </si>
  <si>
    <t>Death</t>
  </si>
  <si>
    <t>All cause death</t>
  </si>
  <si>
    <t>Front Line DLBCL Patients</t>
  </si>
  <si>
    <t>% treated as a % of newly diagnosed</t>
  </si>
  <si>
    <t>Relapsed Refractory DLBCL Patients</t>
  </si>
  <si>
    <t>% treated as a % of net prevalence</t>
  </si>
  <si>
    <t>DLBCL Untreated / Watchful Waiting</t>
  </si>
  <si>
    <t>Newly Diagnosed Front Line</t>
  </si>
  <si>
    <t>Watchful Waiting</t>
  </si>
  <si>
    <t>Not treated / In between treatment</t>
  </si>
  <si>
    <t>Salvage</t>
  </si>
  <si>
    <t>% of relapsed/refractory</t>
  </si>
  <si>
    <t>Total Patients For Treatment</t>
  </si>
  <si>
    <t>US Aggregate Market Share (calculated)</t>
  </si>
  <si>
    <t>JCAR017</t>
  </si>
  <si>
    <t>Total market penetration</t>
  </si>
  <si>
    <t>Average # of infusions</t>
  </si>
  <si>
    <t>Average cost/infusion ($000s)</t>
  </si>
  <si>
    <t>Y/Y Growth</t>
  </si>
  <si>
    <t>US DLBCL revenue ($M)</t>
  </si>
  <si>
    <t>Death rate</t>
  </si>
  <si>
    <t>SEER data adjusted for Roche incidence (~86%)</t>
  </si>
  <si>
    <t>Roche slides ASH 2013; literature suggests 3% annual growth rate</t>
  </si>
  <si>
    <t>SEER data; ~2% annual decline rate</t>
  </si>
  <si>
    <t>Roche slides ASH 2013</t>
  </si>
  <si>
    <t>US FL Patient Numbers</t>
  </si>
  <si>
    <t>Front Line iNHL Patients</t>
  </si>
  <si>
    <t>Front Line FL Patients</t>
  </si>
  <si>
    <t>Relapsed Refractory FL Patients</t>
  </si>
  <si>
    <t>FL Untreated / Watchful Waiting</t>
  </si>
  <si>
    <t>Axi-Cel</t>
  </si>
  <si>
    <t>US FL revenue ($M)</t>
  </si>
  <si>
    <t>US ALL Pediatric Patient Numbers</t>
  </si>
  <si>
    <t>Relapsed Refractory ALL Patients</t>
  </si>
  <si>
    <t>Addressable US ALL Pediatric B-Cell Pts</t>
  </si>
  <si>
    <t>US ALL Adult Patient Numbers</t>
  </si>
  <si>
    <t>Addressable US ALL Adult B-Cell Pts</t>
  </si>
  <si>
    <t>US Adult ALL Aggregate Market Share</t>
  </si>
  <si>
    <t>US Adult ALL revenue ($M)</t>
  </si>
  <si>
    <t>US Pediatric ALL Aggregate Market Share</t>
  </si>
  <si>
    <t>US Pediatric ALL revenue ($M)</t>
  </si>
  <si>
    <t>US price:</t>
  </si>
  <si>
    <t>Annual US Price Increase</t>
  </si>
  <si>
    <t>EU price as percent of US price:</t>
  </si>
  <si>
    <t>Annual EU Price Change</t>
  </si>
  <si>
    <t>Pediatric ALL Death</t>
  </si>
  <si>
    <t>Adult ALL Death</t>
  </si>
  <si>
    <t>Price</t>
  </si>
  <si>
    <t>Infusions</t>
  </si>
  <si>
    <t>Case Selector</t>
  </si>
  <si>
    <t>ACS: Cancer Facts and Figures 2014</t>
  </si>
  <si>
    <t>ACS: Caner Facts and Figure 2014; Prevalence Growth of 0.6%</t>
  </si>
  <si>
    <t>SEER data; Total ALL deaths ~1440 for 2014E,  ~2% annual decline rate</t>
  </si>
  <si>
    <t>J Clin Oncol 28:648-654: Literature suggest between 10-20%</t>
  </si>
  <si>
    <t xml:space="preserve">Hematology 2012: 129-136 </t>
  </si>
  <si>
    <t xml:space="preserve">Juno data: 80% of ALL cases are B cell ALL </t>
  </si>
  <si>
    <t>J Clin Oncol 28:648-654: Higher RR for adults</t>
  </si>
  <si>
    <t>Scenario</t>
  </si>
  <si>
    <t>US CLL Patient Numbers</t>
  </si>
  <si>
    <t>SEER; Leukemia and Lymphoma Society</t>
  </si>
  <si>
    <t>Roche data from ASH 2013 Slides</t>
  </si>
  <si>
    <t>All Cause Death</t>
  </si>
  <si>
    <t>Front Line CLL Patients</t>
  </si>
  <si>
    <t>Relapsed/Refractory</t>
  </si>
  <si>
    <t>Untreated / Watchful Waiting</t>
  </si>
  <si>
    <t>Between Therapy / Untreated</t>
  </si>
  <si>
    <t>Estimate: 80% of deaths</t>
  </si>
  <si>
    <t>$ Average cost/infusion ($000s)</t>
  </si>
  <si>
    <t>US CLL revenue ($M)</t>
  </si>
  <si>
    <t>US MM Market Model</t>
  </si>
  <si>
    <t xml:space="preserve">Penetration Assumptions </t>
  </si>
  <si>
    <t>CAR-T Penetration</t>
  </si>
  <si>
    <t xml:space="preserve">Bull </t>
  </si>
  <si>
    <t xml:space="preserve">Base </t>
  </si>
  <si>
    <t>Total 3rd Line refractory MM patients</t>
  </si>
  <si>
    <t>Penetration of CAR-T Therapy</t>
  </si>
  <si>
    <t>bb2121 market share</t>
  </si>
  <si>
    <t>Gross Annual Price / Patient</t>
  </si>
  <si>
    <t>Price Increases</t>
  </si>
  <si>
    <t>Net Annual Price / Patient</t>
  </si>
  <si>
    <t>KTE-C19</t>
  </si>
  <si>
    <t>KITE-585</t>
  </si>
  <si>
    <t>bull</t>
  </si>
  <si>
    <t>base</t>
  </si>
  <si>
    <t>bear</t>
  </si>
  <si>
    <t>Patients on KITE-585</t>
  </si>
  <si>
    <t>KITE-585 market share</t>
  </si>
  <si>
    <t>Other market share</t>
  </si>
  <si>
    <t>KITE-585 Pricing</t>
  </si>
  <si>
    <t>US KITE-585 Rev ($M)</t>
  </si>
  <si>
    <t>Floating Rate notes maturing in September 2019</t>
  </si>
  <si>
    <t>Floating Rate notes maturing in March 2019</t>
  </si>
  <si>
    <t>Floating Rate notes maturing in September 2018</t>
  </si>
  <si>
    <t>1.85% senior note maturing in September 2019</t>
  </si>
  <si>
    <t>Vosevi</t>
  </si>
  <si>
    <t>Scenarios (Change on DCF tab) ---&gt;</t>
  </si>
  <si>
    <t>Crohn's Disease Model - United States</t>
  </si>
  <si>
    <t>US Population (M)</t>
  </si>
  <si>
    <t>Growth Y/Y</t>
  </si>
  <si>
    <t>CD Prevalence</t>
  </si>
  <si>
    <t>% medical remission (no medication)</t>
  </si>
  <si>
    <t>% post-surgical remission (no medication)</t>
  </si>
  <si>
    <t>% 5-ASA medical treatment</t>
  </si>
  <si>
    <t>% Steroids/anti-TNF treatment</t>
  </si>
  <si>
    <t># remission</t>
  </si>
  <si>
    <t># post-surgical</t>
  </si>
  <si>
    <t># 5-ASA</t>
  </si>
  <si>
    <t># Steroids/anti-TNFs</t>
  </si>
  <si>
    <t>Market penetration</t>
  </si>
  <si>
    <t>% Penetration</t>
  </si>
  <si>
    <t># filgotinib patients</t>
  </si>
  <si>
    <t>filgotinib Price</t>
  </si>
  <si>
    <t>Price increase Y/Y</t>
  </si>
  <si>
    <t>filgotinib Crohns revenue ($M)</t>
  </si>
  <si>
    <t>Galapagos Royalty</t>
  </si>
  <si>
    <t>Filgotinib Revenue to Gilead</t>
  </si>
  <si>
    <t>US Launch</t>
  </si>
  <si>
    <t>EU Launch</t>
  </si>
  <si>
    <t>US patent expiration</t>
  </si>
  <si>
    <t>Rheumatoid Arthritis (RA) Market Model</t>
  </si>
  <si>
    <t>Inadequate Biologics Response</t>
  </si>
  <si>
    <t>US Penetration</t>
  </si>
  <si>
    <t>ROW Penetration</t>
  </si>
  <si>
    <t>DMARD Responders</t>
  </si>
  <si>
    <t xml:space="preserve">Mild disease </t>
  </si>
  <si>
    <t>United States (US) Market</t>
  </si>
  <si>
    <t>Growth (%)</t>
  </si>
  <si>
    <t>RA prevalence (M)</t>
  </si>
  <si>
    <t>Inadequate Biologics Response (000s)</t>
  </si>
  <si>
    <t>DMARD Responders (000s)</t>
  </si>
  <si>
    <t>Mild &amp; other RA population</t>
  </si>
  <si>
    <t>Mild RA population (000s)</t>
  </si>
  <si>
    <t>Penetration</t>
  </si>
  <si>
    <t>Inadequate biologics response (severe)</t>
  </si>
  <si>
    <t>DMARD responders (moderate/severe)</t>
  </si>
  <si>
    <t>Mild disease</t>
  </si>
  <si>
    <t>Total US RA patients on filgotinib</t>
  </si>
  <si>
    <t>Pricing</t>
  </si>
  <si>
    <t>Gross Price/month - filgotinib ($000s)</t>
  </si>
  <si>
    <t>YoY Increase</t>
  </si>
  <si>
    <t>Gross to Net</t>
  </si>
  <si>
    <t>Net Price/year - filgotinib ($000s)</t>
  </si>
  <si>
    <t>Revenue by market segment</t>
  </si>
  <si>
    <t>Total US RA revenue filgotinib</t>
  </si>
  <si>
    <t>Big 5 EU Market</t>
  </si>
  <si>
    <t>EU (Big 5) Population (M)</t>
  </si>
  <si>
    <t>Total EU5 RA patients on filgotinib</t>
  </si>
  <si>
    <t>Total Big 5 EU RA revenue filgotinib</t>
  </si>
  <si>
    <t>Total WW Revenue filgotinib</t>
  </si>
  <si>
    <t>Royalties on filgotinib ($M)</t>
  </si>
  <si>
    <t>Royalty rate</t>
  </si>
  <si>
    <t>Milestones on filgotinib from Gilead</t>
  </si>
  <si>
    <t>Milestones on filgotinib ($M)</t>
  </si>
  <si>
    <r>
      <t>Milestones on filgotinib (</t>
    </r>
    <r>
      <rPr>
        <b/>
        <sz val="11"/>
        <color indexed="8"/>
        <rFont val="Calibri"/>
        <family val="2"/>
      </rPr>
      <t>€</t>
    </r>
    <r>
      <rPr>
        <b/>
        <sz val="11"/>
        <color indexed="8"/>
        <rFont val="Calibri"/>
        <family val="2"/>
      </rPr>
      <t>M)</t>
    </r>
  </si>
  <si>
    <t>Filgotinib</t>
  </si>
  <si>
    <t>Filgotinib Revenue to Gilead - US</t>
  </si>
  <si>
    <t>Filgotinib Revenue to Gilead - ex-US</t>
  </si>
  <si>
    <t>ex-US</t>
  </si>
  <si>
    <t>Vosevi (sofosbuvir/velpatasvir/voxilaprevir)</t>
  </si>
  <si>
    <t>Vosevi US revenue ($M)</t>
  </si>
  <si>
    <t>Vosevi EU revenue ($M)</t>
  </si>
  <si>
    <t>Vosevi JPN revenue ($M)</t>
  </si>
  <si>
    <t>Vosevi (AUS, NZ, Swiss, Turkey) revenue ($M)</t>
  </si>
  <si>
    <t>Juno market share</t>
  </si>
  <si>
    <t>3Q17A</t>
  </si>
  <si>
    <t>Interest Expense Reconciliation</t>
  </si>
  <si>
    <t xml:space="preserve">Vosevi </t>
  </si>
  <si>
    <t>Variable Floating Rate notes maturing in May 2019</t>
  </si>
  <si>
    <t>4Q17A</t>
  </si>
  <si>
    <t>2017A</t>
  </si>
  <si>
    <t>$20.0B-$21.0B</t>
  </si>
  <si>
    <t>$3.4B-$3.6B</t>
  </si>
  <si>
    <t>21%-23%</t>
  </si>
  <si>
    <t>85%-87%</t>
  </si>
  <si>
    <t>84</t>
  </si>
  <si>
    <t>Floating Rate notes maturing in October 2018</t>
  </si>
  <si>
    <t>Floating Rate notes maturing in Octboer 2020</t>
  </si>
  <si>
    <t>Floating Rate notes maturing in October 2022</t>
  </si>
  <si>
    <t>3.650% senior notes maturing in March 2026</t>
  </si>
  <si>
    <t>2.95% senior notes maturing in March 2027</t>
  </si>
  <si>
    <t>4.750% senior notes maturing in March 2046</t>
  </si>
  <si>
    <t>4.15% senior notes maturing in March 2047</t>
  </si>
  <si>
    <t>Floating Rate notes maturing in October 2020</t>
  </si>
  <si>
    <t>Research</t>
  </si>
  <si>
    <t>MSA72HLP</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</si>
  <si>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</si>
  <si>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</si>
  <si>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</si>
  <si>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</si>
  <si>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</si>
  <si>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</si>
  <si>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Matthew Harrison</t>
  </si>
  <si>
    <t>Date: 13 Apr 2018</t>
  </si>
  <si>
    <t>Ticker: GILD.O</t>
  </si>
  <si>
    <t>Stock Rating: Equal-Weight</t>
  </si>
  <si>
    <t>Industry: Biotechnology</t>
  </si>
  <si>
    <t>Industry View: In-Line</t>
  </si>
  <si>
    <t>Price as of 13 Apr 2018: 75.09</t>
  </si>
  <si>
    <t>Target Price: 85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</si>
  <si>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</si>
  <si>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</si>
  <si>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</si>
  <si>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</si>
  <si>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Gilead Sciences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</si>
  <si>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</si>
  <si>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</si>
  <si>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</si>
  <si>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</si>
  <si>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</si>
  <si>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</si>
  <si>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</si>
  <si>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</si>
  <si>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</si>
  <si>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</si>
  <si>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</si>
  <si>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</si>
  <si>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</si>
  <si>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</si>
  <si>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</si>
  <si>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</si>
  <si>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</si>
  <si>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</si>
  <si>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</si>
  <si>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</si>
  <si>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</si>
  <si>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</si>
  <si>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</si>
  <si>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</si>
  <si>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</si>
  <si>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</si>
  <si>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</si>
  <si>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</si>
  <si>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</si>
  <si>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</si>
  <si>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</si>
  <si>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</si>
  <si>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</si>
  <si>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</si>
  <si>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</si>
  <si>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</si>
  <si>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</si>
  <si>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</si>
  <si>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</si>
  <si>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</si>
  <si>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</si>
  <si>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</si>
  <si>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</si>
  <si>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</si>
  <si>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</si>
  <si>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</si>
  <si>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</si>
  <si>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</si>
  <si>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</si>
  <si>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</si>
  <si>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</si>
  <si>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</si>
  <si>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</si>
  <si>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</si>
  <si>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</si>
  <si>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</si>
  <si>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</si>
  <si>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</si>
  <si>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</si>
  <si>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</si>
  <si>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</si>
  <si>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</si>
  <si>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</si>
  <si>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</si>
  <si>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</si>
  <si>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</si>
  <si>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</si>
  <si>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</si>
  <si>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</si>
  <si>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</si>
  <si>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</si>
  <si>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</si>
  <si>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</si>
  <si>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</si>
  <si>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</si>
  <si>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</si>
  <si>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</si>
  <si>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</si>
  <si>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</si>
  <si>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</si>
  <si>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</si>
  <si>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</si>
  <si>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</si>
  <si>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</si>
  <si>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</si>
  <si>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</si>
  <si>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</si>
  <si>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</si>
  <si>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</si>
  <si>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</si>
  <si>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</si>
  <si>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</si>
  <si>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</si>
  <si>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</si>
  <si>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</si>
  <si>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</si>
  <si>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</si>
  <si>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</si>
  <si>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</si>
  <si>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</si>
  <si>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</si>
  <si>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</si>
  <si>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</si>
  <si>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</si>
  <si>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</si>
  <si>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</si>
  <si>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</si>
  <si>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</si>
  <si>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</si>
  <si>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</si>
  <si>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</si>
  <si>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</si>
  <si>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</si>
  <si>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</si>
  <si>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</si>
  <si>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</si>
  <si>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</si>
  <si>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</si>
  <si>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</si>
  <si>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</si>
  <si>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</si>
  <si>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</si>
  <si>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</si>
  <si>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</si>
  <si>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</si>
  <si>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</si>
  <si>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</si>
  <si>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</si>
  <si>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</si>
  <si>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</si>
  <si>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</si>
  <si>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</si>
  <si>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</si>
  <si>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</si>
  <si>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</si>
  <si>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</si>
  <si>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</si>
  <si>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</si>
  <si>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</si>
  <si>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</si>
  <si>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</si>
  <si>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</si>
  <si>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</si>
  <si>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</si>
  <si>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</si>
  <si>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</si>
  <si>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</si>
  <si>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</si>
  <si>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</si>
  <si>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</si>
  <si>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</si>
  <si>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</si>
  <si>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</si>
  <si>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</si>
  <si>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</si>
  <si>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</si>
  <si>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</si>
  <si>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</si>
  <si>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</si>
  <si>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</si>
  <si>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</si>
  <si>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</si>
  <si>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</si>
  <si>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</si>
  <si>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</si>
  <si>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</si>
  <si>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</si>
  <si>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</si>
  <si>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</si>
  <si>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</si>
  <si>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</si>
  <si>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</si>
  <si>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</si>
  <si>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</si>
  <si>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</si>
  <si>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</si>
  <si>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Gilead Sciences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</si>
  <si>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</si>
  <si>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</si>
  <si>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</si>
  <si>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</si>
  <si>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</si>
  <si>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</si>
  <si>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</si>
  <si>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</si>
  <si>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</si>
  <si>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</si>
  <si>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</si>
  <si>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</si>
  <si>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</si>
  <si>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</si>
  <si>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</si>
  <si>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</si>
  <si>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</si>
  <si>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</si>
  <si>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</si>
  <si>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</si>
  <si>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</si>
  <si>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</si>
  <si>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</si>
  <si>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</si>
  <si>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</si>
  <si>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</si>
  <si>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</si>
  <si>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</si>
  <si>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</si>
  <si>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</si>
  <si>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</si>
  <si>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</si>
  <si>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</si>
  <si>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</si>
  <si>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</si>
  <si>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</si>
  <si>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</si>
  <si>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</si>
  <si>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</si>
  <si>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</si>
  <si>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</si>
  <si>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</si>
  <si>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</si>
  <si>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</si>
  <si>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</si>
  <si>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</si>
  <si>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</si>
  <si>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</si>
  <si>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</si>
  <si>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</si>
  <si>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</si>
  <si>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</si>
  <si>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</si>
  <si>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</si>
  <si>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</si>
  <si>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</si>
  <si>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</si>
  <si>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</si>
  <si>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</si>
  <si>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</si>
  <si>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</si>
  <si>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</si>
  <si>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</si>
  <si>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</si>
  <si>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</si>
  <si>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</si>
  <si>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</si>
  <si>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</si>
  <si>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Gilead Sciences Inc..</t>
  </si>
  <si>
    <t>Within the last 12 months, Morgan Stanley has provided or is providing investment banking services to,</t>
  </si>
  <si>
    <t>or has an investment banking client relationship with, the following company: Gilead Sciences Inc..</t>
  </si>
  <si>
    <t>Within the last 12 months, Morgan Stanley has received compensation for products and services other than</t>
  </si>
  <si>
    <t>investment banking services from Gilead Sciences Inc..</t>
  </si>
  <si>
    <t>In the next 3 months, Morgan Stanley expects to receive or intends to seek compensation for investment</t>
  </si>
  <si>
    <t>banking services from Gilead Sciences Inc..</t>
  </si>
  <si>
    <t>Within the last 12 months, Morgan Stanley has received compensation for investment banking services from</t>
  </si>
  <si>
    <t>Gilead Sciences Inc..</t>
  </si>
  <si>
    <t>Within the last 12 months, Morgan Stanley managed or co-managed a public offering (or 144A offering) of</t>
  </si>
  <si>
    <t>securities of Gilead Sciences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</si>
  <si>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</si>
  <si>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</si>
  <si>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</si>
  <si>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</si>
  <si>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</si>
  <si>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Matthew Harrison.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</si>
  <si>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</si>
  <si>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</si>
  <si>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</si>
  <si>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</si>
  <si>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</si>
  <si>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</si>
  <si>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</si>
  <si>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</si>
  <si>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</si>
  <si>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</si>
  <si>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</si>
  <si>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</si>
  <si>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</si>
  <si>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</si>
  <si>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</si>
  <si>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</si>
  <si>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</si>
  <si>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</si>
  <si>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</si>
  <si>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</si>
  <si>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</si>
  <si>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</si>
  <si>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</si>
  <si>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</si>
  <si>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</si>
  <si>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</si>
  <si>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</si>
  <si>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</si>
  <si>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</si>
  <si>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</si>
  <si>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</si>
  <si>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</si>
  <si>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</si>
  <si>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</si>
  <si>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</si>
  <si>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</si>
  <si>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</si>
  <si>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</si>
  <si>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</si>
  <si>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</si>
  <si>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</si>
  <si>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</si>
  <si>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</si>
  <si>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</si>
  <si>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</si>
  <si>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</si>
  <si>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</si>
  <si>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</si>
  <si>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</si>
  <si>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</si>
  <si>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</si>
  <si>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</si>
  <si>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</si>
  <si>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</si>
  <si>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</si>
  <si>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</si>
  <si>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</si>
  <si>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</si>
  <si>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</si>
  <si>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</si>
  <si>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</si>
  <si>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</si>
  <si>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</si>
  <si>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</si>
  <si>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</si>
  <si>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</si>
  <si>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</si>
  <si>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</si>
  <si>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</si>
  <si>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</si>
  <si>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</si>
  <si>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purohvik</t>
  </si>
  <si>
    <t>L:\HEALTH\Biotech\Harrison\Models\GILD_MH.xlsm</t>
  </si>
  <si>
    <t>[BRO MSA]</t>
  </si>
  <si>
    <t>[PRODUCT MODEL]</t>
  </si>
  <si>
    <t>[EMAIL_ALERT YES]</t>
  </si>
  <si>
    <t>[DISCIPLINE Company]</t>
  </si>
  <si>
    <t>[SUPPRESSED NO]</t>
  </si>
  <si>
    <t>[DOCDAT 2018-04-13]</t>
  </si>
  <si>
    <t>[DOCTIME 11:24]</t>
  </si>
  <si>
    <t>[PSYM GILD.O(S&amp;P) (None)]</t>
  </si>
  <si>
    <t>[COU 1]</t>
  </si>
  <si>
    <t>[ANA ]</t>
  </si>
  <si>
    <t>[HL GILD.O Model]</t>
  </si>
  <si>
    <t>[IND BIOTEC]</t>
  </si>
  <si>
    <t>[PANA MSA72HLP]</t>
  </si>
</sst>
</file>

<file path=xl/styles.xml><?xml version="1.0" encoding="utf-8"?>
<styleSheet xmlns="http://schemas.openxmlformats.org/spreadsheetml/2006/main" xmlns:mc="http://schemas.openxmlformats.org/markup-compatibility/2006" xmlns:x14ac="http://schemas.microsoft.com/office/spreadsheetml/2009/9/ac" mc:Ignorable="x14ac">
  <numFmts count="39">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_);\(#,##0.0\)"/>
    <numFmt numFmtId="165" formatCode="&quot;$&quot;#,##0.0_);\(&quot;$&quot;#,##0.0\)"/>
    <numFmt numFmtId="166" formatCode="0.0_);\(0.0\)"/>
    <numFmt numFmtId="167" formatCode="#,##0.0000_);\(#,##0.0000\)"/>
    <numFmt numFmtId="168" formatCode="0.000%"/>
    <numFmt numFmtId="169" formatCode="0_);\(0\)"/>
    <numFmt numFmtId="170" formatCode="0_);[Red]\(0\)"/>
    <numFmt numFmtId="171" formatCode="_(* #,##0.0_);_(* \(#,##0.0\);_(* &quot;-&quot;??_);_(@_)"/>
    <numFmt numFmtId="172" formatCode="#,##0.0"/>
    <numFmt numFmtId="173" formatCode="#,##0.0_);[Red]\(#,##0.0\)"/>
    <numFmt numFmtId="174" formatCode="0.0%"/>
    <numFmt numFmtId="175" formatCode="0.0_);[Red]\(0.0\)"/>
    <numFmt numFmtId="176" formatCode="0.00_);[Red]\(0.00\)"/>
    <numFmt numFmtId="177" formatCode="_(* #,##0_);_(* \(#,##0\);_(* &quot;-&quot;??_);_(@_)"/>
    <numFmt numFmtId="178" formatCode="0.0%_);\(0.0%\)"/>
    <numFmt numFmtId="179" formatCode="#,##0.000000000_);\(#,##0.000000000\)"/>
    <numFmt numFmtId="180" formatCode="_(* #,##0.00000_);_(* \(#,##0.00000\);_(* &quot;-&quot;??_);_(@_)"/>
    <numFmt numFmtId="181" formatCode="0.0000%"/>
    <numFmt numFmtId="182" formatCode="0.0"/>
    <numFmt numFmtId="183" formatCode="0.00000"/>
    <numFmt numFmtId="184" formatCode="0.00000000"/>
    <numFmt numFmtId="185" formatCode="_(* #,##0.0_);_(* \(#,##0.0\);_(* &quot;-&quot;?_);_(@_)"/>
    <numFmt numFmtId="186" formatCode="&quot;$&quot;#,##0"/>
    <numFmt numFmtId="187" formatCode="&quot;$&quot;#,##0.00"/>
    <numFmt numFmtId="188" formatCode="_(* #,##0.000_);_(* \(#,##0.000\);_(* &quot;-&quot;??_);_(@_)"/>
    <numFmt numFmtId="189" formatCode="&quot;$&quot;#,##0.0"/>
    <numFmt numFmtId="195" formatCode="0%_);\(0%\)"/>
    <numFmt numFmtId="197" formatCode="#,##0.000"/>
    <numFmt numFmtId="199" formatCode="###&quot;A&quot;"/>
    <numFmt numFmtId="200" formatCode="####&quot;E&quot;"/>
    <numFmt numFmtId="201" formatCode="[$€-2]\ #,##0"/>
    <numFmt numFmtId="213" formatCode="mm/dd/yy\ hh:mm"/>
  </numFmts>
  <fonts count="87">
    <font>
      <sz val="11"/>
      <color theme="1"/>
      <name val="Calibri"/>
      <family val="2"/>
      <scheme val="minor"/>
    </font>
    <font>
      <sz val="11"/>
      <color indexed="8"/>
      <name val="Calibri"/>
      <family val="2"/>
    </font>
    <font>
      <sz val="11"/>
      <color indexed="8"/>
      <name val="Calibri"/>
      <family val="2"/>
    </font>
    <font>
      <sz val="10"/>
      <name val="Arial"/>
      <family val="2"/>
    </font>
    <font>
      <b/>
      <sz val="10"/>
      <name val="Arial"/>
      <family val="2"/>
    </font>
    <font>
      <i/>
      <sz val="10"/>
      <name val="Arial"/>
      <family val="2"/>
    </font>
    <font>
      <b/>
      <i/>
      <sz val="10"/>
      <name val="Arial"/>
      <family val="2"/>
    </font>
    <font>
      <sz val="8"/>
      <color indexed="81"/>
      <name val="Tahoma"/>
      <family val="2"/>
    </font>
    <font>
      <sz val="10"/>
      <name val="Arial"/>
      <family val="2"/>
    </font>
    <font>
      <b/>
      <sz val="8"/>
      <color indexed="81"/>
      <name val="Tahoma"/>
      <family val="2"/>
    </font>
    <font>
      <sz val="10"/>
      <color indexed="8"/>
      <name val="Arial"/>
      <family val="2"/>
    </font>
    <font>
      <sz val="10"/>
      <color indexed="9"/>
      <name val="Arial"/>
      <family val="2"/>
    </font>
    <font>
      <sz val="10"/>
      <name val="MS Sans Serif"/>
      <family val="2"/>
    </font>
    <font>
      <sz val="9"/>
      <name val="Times New Roman"/>
      <family val="1"/>
    </font>
    <font>
      <b/>
      <sz val="10"/>
      <color indexed="8"/>
      <name val="Times New Roman"/>
      <family val="1"/>
    </font>
    <font>
      <sz val="10"/>
      <color indexed="8"/>
      <name val="Times New Roman"/>
      <family val="1"/>
    </font>
    <font>
      <i/>
      <sz val="8"/>
      <name val="Times New Roman"/>
      <family val="1"/>
    </font>
    <font>
      <b/>
      <sz val="11"/>
      <color indexed="8"/>
      <name val="Calibri"/>
      <family val="2"/>
    </font>
    <font>
      <sz val="10"/>
      <color indexed="12"/>
      <name val="Arial"/>
      <family val="2"/>
    </font>
    <font>
      <b/>
      <sz val="9"/>
      <color indexed="81"/>
      <name val="Tahoma"/>
      <family val="2"/>
    </font>
    <font>
      <sz val="9"/>
      <color indexed="81"/>
      <name val="Tahoma"/>
      <family val="2"/>
    </font>
    <font>
      <sz val="8"/>
      <name val="Calibri"/>
      <family val="2"/>
    </font>
    <font>
      <sz val="11"/>
      <color theme="1"/>
      <name val="Calibri"/>
      <family val="2"/>
      <scheme val="minor"/>
    </font>
    <font>
      <u/>
      <sz val="11"/>
      <color theme="10"/>
      <name val="Calibri"/>
      <family val="2"/>
      <scheme val="minor"/>
    </font>
    <font>
      <sz val="10"/>
      <color rgb="FF0000FF"/>
      <name val="Arial"/>
      <family val="2"/>
    </font>
    <font>
      <b/>
      <i/>
      <sz val="10"/>
      <color theme="8" tint="-0.249977111117893"/>
      <name val="Arial"/>
      <family val="2"/>
    </font>
    <font>
      <sz val="10"/>
      <color theme="1"/>
      <name val="Arial"/>
      <family val="2"/>
    </font>
    <font>
      <sz val="10"/>
      <color theme="0" tint="-0.499984740745262"/>
      <name val="Arial"/>
      <family val="2"/>
    </font>
    <font>
      <b/>
      <sz val="10"/>
      <color theme="1"/>
      <name val="Arial"/>
      <family val="2"/>
    </font>
    <font>
      <b/>
      <i/>
      <sz val="10"/>
      <color theme="1"/>
      <name val="Arial"/>
      <family val="2"/>
    </font>
    <font>
      <b/>
      <i/>
      <sz val="10"/>
      <color theme="2" tint="-0.499984740745262"/>
      <name val="Arial"/>
      <family val="2"/>
    </font>
    <font>
      <b/>
      <sz val="10"/>
      <color rgb="FF0000FF"/>
      <name val="Arial"/>
      <family val="2"/>
    </font>
    <font>
      <b/>
      <i/>
      <sz val="10"/>
      <color rgb="FF0000FF"/>
      <name val="Arial"/>
      <family val="2"/>
    </font>
    <font>
      <i/>
      <sz val="10"/>
      <color rgb="FF0000FF"/>
      <name val="Arial"/>
      <family val="2"/>
    </font>
    <font>
      <b/>
      <sz val="10"/>
      <color theme="0"/>
      <name val="Arial"/>
      <family val="2"/>
    </font>
    <font>
      <sz val="10"/>
      <color theme="0"/>
      <name val="Arial"/>
      <family val="2"/>
    </font>
    <font>
      <b/>
      <sz val="10"/>
      <color rgb="FFFF0000"/>
      <name val="Arial"/>
      <family val="2"/>
    </font>
    <font>
      <i/>
      <sz val="10"/>
      <color theme="0"/>
      <name val="Arial"/>
      <family val="2"/>
    </font>
    <font>
      <sz val="10"/>
      <color rgb="FFFF0000"/>
      <name val="Arial"/>
      <family val="2"/>
    </font>
    <font>
      <b/>
      <i/>
      <sz val="10"/>
      <color rgb="FFFF0000"/>
      <name val="Arial"/>
      <family val="2"/>
    </font>
    <font>
      <b/>
      <sz val="10"/>
      <color theme="9" tint="-0.499984740745262"/>
      <name val="Arial"/>
      <family val="2"/>
    </font>
    <font>
      <i/>
      <sz val="10"/>
      <color theme="1"/>
      <name val="Arial"/>
      <family val="2"/>
    </font>
    <font>
      <u/>
      <sz val="10"/>
      <name val="Arial"/>
      <family val="2"/>
    </font>
    <font>
      <sz val="10"/>
      <color theme="9" tint="-0.499984740745262"/>
      <name val="Arial"/>
      <family val="2"/>
    </font>
    <font>
      <b/>
      <sz val="10"/>
      <color indexed="8"/>
      <name val="Arial"/>
      <family val="2"/>
    </font>
    <font>
      <sz val="10"/>
      <color theme="8" tint="-0.249977111117893"/>
      <name val="Arial"/>
      <family val="2"/>
    </font>
    <font>
      <sz val="12"/>
      <color theme="1"/>
      <name val="Calibri"/>
      <family val="2"/>
      <scheme val="minor"/>
    </font>
    <font>
      <sz val="10.5"/>
      <name val="Frutiger 45 Light"/>
    </font>
    <font>
      <i/>
      <sz val="10"/>
      <color rgb="FF0033CC"/>
      <name val="Arial"/>
      <family val="2"/>
    </font>
    <font>
      <sz val="10"/>
      <color rgb="FF0033CC"/>
      <name val="Arial"/>
      <family val="2"/>
    </font>
    <font>
      <b/>
      <sz val="11"/>
      <color theme="1"/>
      <name val="Calibri"/>
      <family val="2"/>
      <scheme val="minor"/>
    </font>
    <font>
      <sz val="10"/>
      <color indexed="8"/>
      <name val="Arial "/>
    </font>
    <font>
      <b/>
      <sz val="10"/>
      <color indexed="8"/>
      <name val="Arial "/>
    </font>
    <font>
      <sz val="10"/>
      <color rgb="FF0000FF"/>
      <name val="Arial "/>
    </font>
    <font>
      <sz val="10"/>
      <name val="Arial "/>
    </font>
    <font>
      <sz val="10"/>
      <color indexed="9"/>
      <name val="Arial "/>
    </font>
    <font>
      <b/>
      <sz val="10"/>
      <color rgb="FFFF0000"/>
      <name val="Arial "/>
    </font>
    <font>
      <i/>
      <sz val="10"/>
      <color indexed="8"/>
      <name val="Arial "/>
    </font>
    <font>
      <i/>
      <sz val="10"/>
      <color rgb="FF0000FF"/>
      <name val="Arial "/>
    </font>
    <font>
      <sz val="10"/>
      <color rgb="FFFF0000"/>
      <name val="Arial "/>
    </font>
    <font>
      <i/>
      <sz val="10"/>
      <name val="Arial "/>
    </font>
    <font>
      <b/>
      <sz val="10"/>
      <color rgb="FF0000FF"/>
      <name val="Arial "/>
    </font>
    <font>
      <b/>
      <sz val="10"/>
      <color theme="0"/>
      <name val="Arial "/>
    </font>
    <font>
      <sz val="10"/>
      <color theme="0"/>
      <name val="Arial "/>
    </font>
    <font>
      <sz val="9"/>
      <color theme="1"/>
      <name val="Arial"/>
      <family val="2"/>
    </font>
    <font>
      <b/>
      <sz val="9"/>
      <color theme="1"/>
      <name val="Arial"/>
      <family val="2"/>
    </font>
    <font>
      <b/>
      <sz val="9"/>
      <color theme="0"/>
      <name val="Arial"/>
      <family val="2"/>
    </font>
    <font>
      <sz val="9"/>
      <color rgb="FF0000FF"/>
      <name val="Arial"/>
      <family val="2"/>
    </font>
    <font>
      <sz val="9"/>
      <color rgb="FFFF0000"/>
      <name val="Arial"/>
      <family val="2"/>
    </font>
    <font>
      <sz val="9"/>
      <name val="Arial"/>
      <family val="2"/>
    </font>
    <font>
      <sz val="11"/>
      <color rgb="FF0000FF"/>
      <name val="Calibri"/>
      <family val="2"/>
      <scheme val="minor"/>
    </font>
    <font>
      <i/>
      <sz val="9"/>
      <name val="Arial"/>
      <family val="2"/>
    </font>
    <font>
      <b/>
      <sz val="11"/>
      <color rgb="FFFF0000"/>
      <name val="Calibri"/>
      <family val="2"/>
      <scheme val="minor"/>
    </font>
    <font>
      <i/>
      <sz val="10"/>
      <color rgb="FF0000CC"/>
      <name val="Arial"/>
      <family val="2"/>
    </font>
    <font>
      <sz val="11"/>
      <color theme="0" tint="-0.34998626667073579"/>
      <name val="Calibri"/>
      <family val="2"/>
      <scheme val="minor"/>
    </font>
    <font>
      <b/>
      <sz val="12"/>
      <color theme="0"/>
      <name val="Arial"/>
      <family val="2"/>
    </font>
    <font>
      <sz val="12"/>
      <color theme="0"/>
      <name val="Arial"/>
      <family val="2"/>
    </font>
    <font>
      <i/>
      <sz val="11"/>
      <color theme="1"/>
      <name val="Calibri"/>
      <family val="2"/>
      <scheme val="minor"/>
    </font>
    <font>
      <i/>
      <sz val="11"/>
      <color rgb="FF0000FF"/>
      <name val="Calibri"/>
      <family val="2"/>
      <scheme val="minor"/>
    </font>
    <font>
      <b/>
      <sz val="12"/>
      <color theme="1"/>
      <name val="Arial"/>
      <family val="2"/>
    </font>
    <font>
      <sz val="10"/>
      <color theme="0" tint="-0.14999847407452621"/>
      <name val="Arial"/>
      <family val="2"/>
    </font>
    <font>
      <u/>
      <sz val="10"/>
      <color theme="10"/>
      <name val="Arial"/>
      <family val="2"/>
    </font>
    <font>
      <b/>
      <sz val="10"/>
      <color rgb="FF0033CC"/>
      <name val="Arial"/>
      <family val="2"/>
    </font>
    <font>
      <sz val="10"/>
      <name val="Courier"/>
      <family val="3"/>
    </font>
    <font>
      <sz val="11"/>
      <name val="Arial"/>
      <family val="2"/>
    </font>
    <font>
      <sz val="10"/>
      <color rgb="FF000000"/>
      <name val="Arial"/>
      <family val="2"/>
    </font>
    <font>
      <b/>
      <sz val="12"/>
      <color rgb="FF000080"/>
      <name val="Arial"/>
      <family val="2"/>
    </font>
  </fonts>
  <fills count="3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theme="2"/>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3" tint="0.79998168889431442"/>
        <bgColor rgb="FF000000"/>
      </patternFill>
    </fill>
    <fill>
      <patternFill patternType="solid">
        <fgColor theme="3" tint="0.59999389629810485"/>
        <bgColor indexed="64"/>
      </patternFill>
    </fill>
    <fill>
      <patternFill patternType="solid">
        <fgColor theme="3" tint="0.39997558519241921"/>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65"/>
        <bgColor indexed="64"/>
      </patternFill>
    </fill>
    <fill>
      <patternFill patternType="solid">
        <fgColor theme="3"/>
        <bgColor indexed="64"/>
      </patternFill>
    </fill>
    <fill>
      <patternFill patternType="solid">
        <fgColor theme="0" tint="-0.249977111117893"/>
        <bgColor indexed="64"/>
      </patternFill>
    </fill>
    <fill>
      <patternFill patternType="solid">
        <fgColor theme="4" tint="-0.499984740745262"/>
        <bgColor indexed="64"/>
      </patternFill>
    </fill>
    <fill>
      <patternFill patternType="solid">
        <fgColor rgb="FFFFCCCC"/>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rgb="FFB8E08C"/>
        <bgColor indexed="64"/>
      </patternFill>
    </fill>
    <fill>
      <patternFill patternType="solid">
        <fgColor rgb="FFF2F2F2"/>
        <bgColor indexed="64"/>
      </patternFill>
    </fill>
    <fill>
      <patternFill patternType="solid">
        <fgColor theme="3" tint="-0.249977111117893"/>
        <bgColor indexed="64"/>
      </patternFill>
    </fill>
    <fill>
      <patternFill patternType="solid">
        <fgColor rgb="FFFF0000"/>
        <bgColor indexed="64"/>
      </patternFill>
    </fill>
  </fills>
  <borders count="35">
    <border>
      <left/>
      <right/>
      <top/>
      <bottom/>
      <diagonal/>
    </border>
    <border>
      <left/>
      <right/>
      <top style="thin">
        <color indexed="64"/>
      </top>
      <bottom/>
      <diagonal/>
    </border>
    <border>
      <left/>
      <right/>
      <top style="thin">
        <color indexed="64"/>
      </top>
      <bottom style="thin">
        <color indexed="64"/>
      </bottom>
      <diagonal/>
    </border>
    <border>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n">
        <color indexed="8"/>
      </bottom>
      <diagonal/>
    </border>
    <border>
      <left/>
      <right/>
      <top style="thin">
        <color indexed="64"/>
      </top>
      <bottom style="medium">
        <color indexed="64"/>
      </bottom>
      <diagonal/>
    </border>
    <border>
      <left/>
      <right/>
      <top style="thin">
        <color indexed="64"/>
      </top>
      <bottom style="double">
        <color indexed="64"/>
      </bottom>
      <diagonal/>
    </border>
    <border>
      <left/>
      <right/>
      <top style="medium">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double">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3">
    <xf numFmtId="0" fontId="0" fillId="0" borderId="0"/>
    <xf numFmtId="0" fontId="3" fillId="0" borderId="0"/>
    <xf numFmtId="0" fontId="3" fillId="3" borderId="0" applyNumberFormat="0" applyFont="0" applyBorder="0" applyAlignment="0" applyProtection="0"/>
    <xf numFmtId="0" fontId="3" fillId="0" borderId="0"/>
    <xf numFmtId="0" fontId="3" fillId="0" borderId="0"/>
    <xf numFmtId="44" fontId="3" fillId="0" borderId="0" applyFont="0" applyFill="0" applyBorder="0" applyAlignment="0" applyProtection="0"/>
    <xf numFmtId="0" fontId="12" fillId="0" borderId="0"/>
    <xf numFmtId="0" fontId="12" fillId="0" borderId="0"/>
    <xf numFmtId="0" fontId="12" fillId="0" borderId="0"/>
    <xf numFmtId="0" fontId="12" fillId="0" borderId="0"/>
    <xf numFmtId="0" fontId="14" fillId="0" borderId="0"/>
    <xf numFmtId="43" fontId="2" fillId="0" borderId="0" applyFont="0" applyFill="0" applyBorder="0" applyAlignment="0" applyProtection="0"/>
    <xf numFmtId="44" fontId="2" fillId="0" borderId="0" applyFont="0" applyFill="0" applyBorder="0" applyAlignment="0" applyProtection="0"/>
    <xf numFmtId="0" fontId="23" fillId="0" borderId="0" applyNumberFormat="0" applyFill="0" applyBorder="0" applyAlignment="0" applyProtection="0"/>
    <xf numFmtId="0" fontId="3" fillId="0" borderId="0" applyNumberFormat="0" applyFill="0" applyBorder="0" applyAlignment="0" applyProtection="0"/>
    <xf numFmtId="0" fontId="22" fillId="0" borderId="0"/>
    <xf numFmtId="0" fontId="3" fillId="0" borderId="0"/>
    <xf numFmtId="0" fontId="3" fillId="0" borderId="0"/>
    <xf numFmtId="0" fontId="3" fillId="0" borderId="0"/>
    <xf numFmtId="0" fontId="3" fillId="0" borderId="0"/>
    <xf numFmtId="0" fontId="3" fillId="0" borderId="0"/>
    <xf numFmtId="38" fontId="3" fillId="0" borderId="0" applyFont="0" applyFill="0" applyBorder="0" applyAlignment="0" applyProtection="0"/>
    <xf numFmtId="0" fontId="8" fillId="0" borderId="0"/>
    <xf numFmtId="38" fontId="8" fillId="0" borderId="0" applyFont="0" applyFill="0" applyBorder="0" applyAlignment="0" applyProtection="0"/>
    <xf numFmtId="0" fontId="3" fillId="0" borderId="0"/>
    <xf numFmtId="0" fontId="13" fillId="0" borderId="0">
      <alignment vertical="center"/>
    </xf>
    <xf numFmtId="9" fontId="2" fillId="0" borderId="0" applyFont="0" applyFill="0" applyBorder="0" applyAlignment="0" applyProtection="0"/>
    <xf numFmtId="9" fontId="3" fillId="0" borderId="0" applyFont="0" applyFill="0" applyBorder="0" applyAlignment="0" applyProtection="0"/>
    <xf numFmtId="9" fontId="2" fillId="0" borderId="0" applyFont="0" applyFill="0" applyBorder="0" applyAlignment="0" applyProtection="0"/>
    <xf numFmtId="9" fontId="3" fillId="0" borderId="0" applyFont="0" applyFill="0" applyBorder="0" applyAlignment="0" applyProtection="0"/>
    <xf numFmtId="0" fontId="15" fillId="0" borderId="0"/>
    <xf numFmtId="0" fontId="15" fillId="0" borderId="7">
      <alignment horizontal="centerContinuous"/>
    </xf>
    <xf numFmtId="0" fontId="16" fillId="0" borderId="7"/>
    <xf numFmtId="0" fontId="3" fillId="0" borderId="0"/>
    <xf numFmtId="0" fontId="3" fillId="0" borderId="0"/>
    <xf numFmtId="0" fontId="3" fillId="0" borderId="0" applyNumberFormat="0" applyFill="0" applyBorder="0" applyAlignment="0" applyProtection="0"/>
    <xf numFmtId="0" fontId="3" fillId="0" borderId="0">
      <alignment vertical="top"/>
    </xf>
    <xf numFmtId="43" fontId="3" fillId="0" borderId="0" applyFont="0" applyFill="0" applyBorder="0" applyAlignment="0" applyProtection="0"/>
    <xf numFmtId="0" fontId="3" fillId="0" borderId="0"/>
    <xf numFmtId="0" fontId="3" fillId="0" borderId="0"/>
    <xf numFmtId="0" fontId="22" fillId="0" borderId="0"/>
    <xf numFmtId="0" fontId="46" fillId="0" borderId="0"/>
    <xf numFmtId="9" fontId="3" fillId="0" borderId="0" applyFont="0" applyFill="0" applyBorder="0" applyAlignment="0" applyProtection="0"/>
    <xf numFmtId="195" fontId="3" fillId="0" borderId="0" applyFont="0" applyFill="0" applyBorder="0" applyAlignment="0" applyProtection="0"/>
    <xf numFmtId="9" fontId="47"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3" fillId="0" borderId="0"/>
    <xf numFmtId="0" fontId="81" fillId="0" borderId="0" applyNumberFormat="0" applyFill="0" applyBorder="0" applyAlignment="0" applyProtection="0">
      <alignment vertical="top"/>
      <protection locked="0"/>
    </xf>
    <xf numFmtId="9" fontId="22" fillId="0" borderId="0" applyFont="0" applyFill="0" applyBorder="0" applyAlignment="0" applyProtection="0"/>
    <xf numFmtId="0" fontId="83" fillId="0" borderId="0"/>
  </cellStyleXfs>
  <cellXfs count="1042">
    <xf numFmtId="0" fontId="0" fillId="0" borderId="0" xfId="0"/>
    <xf numFmtId="0" fontId="3" fillId="0" borderId="0" xfId="0" applyFont="1" applyFill="1" applyBorder="1"/>
    <xf numFmtId="9" fontId="3" fillId="0" borderId="0" xfId="0" applyNumberFormat="1" applyFont="1" applyFill="1" applyBorder="1"/>
    <xf numFmtId="164" fontId="3" fillId="0" borderId="0" xfId="0" applyNumberFormat="1" applyFont="1" applyFill="1" applyBorder="1"/>
    <xf numFmtId="43" fontId="3" fillId="0" borderId="0" xfId="11" applyFont="1" applyFill="1" applyBorder="1"/>
    <xf numFmtId="164" fontId="4" fillId="0" borderId="0" xfId="0" applyNumberFormat="1" applyFont="1" applyFill="1" applyBorder="1"/>
    <xf numFmtId="164" fontId="3" fillId="0" borderId="0" xfId="0" applyNumberFormat="1" applyFont="1" applyFill="1" applyBorder="1" applyAlignment="1">
      <alignment horizontal="right"/>
    </xf>
    <xf numFmtId="166" fontId="3" fillId="0" borderId="0" xfId="0" applyNumberFormat="1" applyFont="1" applyFill="1" applyBorder="1"/>
    <xf numFmtId="165" fontId="3" fillId="0" borderId="0" xfId="0" applyNumberFormat="1" applyFont="1" applyFill="1" applyBorder="1"/>
    <xf numFmtId="0" fontId="4" fillId="0" borderId="0" xfId="0" applyFont="1" applyFill="1" applyBorder="1"/>
    <xf numFmtId="0" fontId="3" fillId="0" borderId="4" xfId="0" applyFont="1" applyFill="1" applyBorder="1"/>
    <xf numFmtId="0" fontId="4" fillId="0" borderId="2" xfId="0" applyFont="1" applyFill="1" applyBorder="1"/>
    <xf numFmtId="37" fontId="3" fillId="0" borderId="0" xfId="0" applyNumberFormat="1" applyFont="1" applyFill="1" applyBorder="1"/>
    <xf numFmtId="37" fontId="4" fillId="0" borderId="0" xfId="0" applyNumberFormat="1" applyFont="1" applyFill="1" applyBorder="1"/>
    <xf numFmtId="165" fontId="4" fillId="0" borderId="0" xfId="0" applyNumberFormat="1" applyFont="1" applyFill="1" applyBorder="1"/>
    <xf numFmtId="7" fontId="4" fillId="0" borderId="0" xfId="0" applyNumberFormat="1" applyFont="1" applyFill="1" applyBorder="1"/>
    <xf numFmtId="7" fontId="3" fillId="0" borderId="0" xfId="0" applyNumberFormat="1" applyFont="1" applyFill="1" applyBorder="1"/>
    <xf numFmtId="9" fontId="3" fillId="0" borderId="0" xfId="26" applyFont="1" applyFill="1" applyBorder="1"/>
    <xf numFmtId="9" fontId="6" fillId="0" borderId="0" xfId="26" applyFont="1" applyFill="1" applyBorder="1"/>
    <xf numFmtId="0" fontId="4" fillId="0" borderId="0" xfId="0" applyFont="1" applyFill="1" applyBorder="1" applyAlignment="1">
      <alignment horizontal="left"/>
    </xf>
    <xf numFmtId="0" fontId="3" fillId="0" borderId="0" xfId="0" applyFont="1" applyFill="1" applyBorder="1" applyAlignment="1">
      <alignment horizontal="left"/>
    </xf>
    <xf numFmtId="0" fontId="3" fillId="0" borderId="0" xfId="0" applyFont="1" applyFill="1" applyBorder="1" applyAlignment="1">
      <alignment horizontal="left" indent="1"/>
    </xf>
    <xf numFmtId="0" fontId="3" fillId="0" borderId="0" xfId="0" applyFont="1" applyFill="1" applyBorder="1" applyAlignment="1">
      <alignment horizontal="left" indent="2"/>
    </xf>
    <xf numFmtId="0" fontId="5" fillId="0" borderId="0" xfId="0" applyFont="1" applyFill="1" applyBorder="1" applyAlignment="1">
      <alignment horizontal="left" indent="1"/>
    </xf>
    <xf numFmtId="0" fontId="4" fillId="0" borderId="0" xfId="0" applyFont="1" applyFill="1" applyBorder="1" applyAlignment="1">
      <alignment vertical="center"/>
    </xf>
    <xf numFmtId="165" fontId="4" fillId="0" borderId="0" xfId="0" applyNumberFormat="1" applyFont="1" applyFill="1" applyBorder="1" applyAlignment="1">
      <alignment vertical="center"/>
    </xf>
    <xf numFmtId="38" fontId="3" fillId="0" borderId="0" xfId="0" applyNumberFormat="1" applyFont="1" applyFill="1" applyBorder="1"/>
    <xf numFmtId="7" fontId="3" fillId="0" borderId="0" xfId="0" applyNumberFormat="1" applyFont="1" applyFill="1" applyBorder="1" applyAlignment="1">
      <alignment horizontal="right"/>
    </xf>
    <xf numFmtId="37" fontId="3" fillId="0" borderId="0" xfId="0" applyNumberFormat="1" applyFont="1" applyFill="1" applyBorder="1" applyAlignment="1">
      <alignment horizontal="right"/>
    </xf>
    <xf numFmtId="0" fontId="5" fillId="0" borderId="0" xfId="0" applyFont="1" applyFill="1" applyBorder="1" applyAlignment="1">
      <alignment horizontal="left" wrapText="1" indent="1"/>
    </xf>
    <xf numFmtId="37" fontId="5" fillId="0" borderId="0" xfId="0" applyNumberFormat="1" applyFont="1" applyFill="1" applyBorder="1"/>
    <xf numFmtId="9" fontId="5" fillId="0" borderId="0" xfId="26" applyFont="1" applyFill="1" applyBorder="1"/>
    <xf numFmtId="167" fontId="3" fillId="0" borderId="0" xfId="0" applyNumberFormat="1" applyFont="1" applyFill="1" applyBorder="1" applyAlignment="1">
      <alignment horizontal="right"/>
    </xf>
    <xf numFmtId="37" fontId="4" fillId="0" borderId="0" xfId="0" applyNumberFormat="1" applyFont="1" applyFill="1" applyBorder="1" applyAlignment="1">
      <alignment horizontal="right"/>
    </xf>
    <xf numFmtId="169" fontId="3" fillId="0" borderId="0" xfId="0" applyNumberFormat="1" applyFont="1" applyFill="1" applyBorder="1"/>
    <xf numFmtId="169" fontId="4" fillId="0" borderId="0" xfId="0" applyNumberFormat="1" applyFont="1" applyFill="1" applyBorder="1"/>
    <xf numFmtId="0" fontId="4" fillId="2" borderId="10" xfId="0" applyFont="1" applyFill="1" applyBorder="1"/>
    <xf numFmtId="9" fontId="3" fillId="0" borderId="0" xfId="26" applyFont="1" applyFill="1" applyBorder="1" applyAlignment="1">
      <alignment horizontal="right"/>
    </xf>
    <xf numFmtId="9" fontId="3" fillId="0" borderId="4" xfId="26" applyFont="1" applyFill="1" applyBorder="1" applyAlignment="1">
      <alignment horizontal="right"/>
    </xf>
    <xf numFmtId="7" fontId="3" fillId="0" borderId="4" xfId="0" applyNumberFormat="1" applyFont="1" applyFill="1" applyBorder="1"/>
    <xf numFmtId="0" fontId="3" fillId="0" borderId="0" xfId="26" applyNumberFormat="1" applyFont="1" applyFill="1" applyBorder="1" applyAlignment="1">
      <alignment horizontal="right"/>
    </xf>
    <xf numFmtId="7" fontId="3" fillId="0" borderId="4" xfId="0" applyNumberFormat="1" applyFont="1" applyFill="1" applyBorder="1" applyAlignment="1">
      <alignment horizontal="right"/>
    </xf>
    <xf numFmtId="9" fontId="3" fillId="0" borderId="4" xfId="26" applyFont="1" applyFill="1" applyBorder="1"/>
    <xf numFmtId="170" fontId="3" fillId="0" borderId="0" xfId="24" applyNumberFormat="1" applyFont="1" applyFill="1" applyBorder="1"/>
    <xf numFmtId="170" fontId="4" fillId="0" borderId="0" xfId="24" applyNumberFormat="1" applyFont="1" applyFill="1" applyBorder="1"/>
    <xf numFmtId="175" fontId="3" fillId="0" borderId="0" xfId="24" applyNumberFormat="1" applyFont="1" applyFill="1" applyBorder="1"/>
    <xf numFmtId="170" fontId="3" fillId="0" borderId="0" xfId="24" applyNumberFormat="1" applyFont="1" applyFill="1" applyBorder="1" applyAlignment="1">
      <alignment horizontal="center"/>
    </xf>
    <xf numFmtId="175" fontId="3" fillId="0" borderId="0" xfId="24" applyNumberFormat="1" applyFont="1" applyFill="1" applyBorder="1" applyAlignment="1">
      <alignment horizontal="center"/>
    </xf>
    <xf numFmtId="170" fontId="3" fillId="0" borderId="0" xfId="24" applyNumberFormat="1" applyFont="1" applyFill="1" applyBorder="1" applyAlignment="1">
      <alignment wrapText="1"/>
    </xf>
    <xf numFmtId="170" fontId="4" fillId="0" borderId="0" xfId="24" applyNumberFormat="1" applyFont="1" applyFill="1" applyBorder="1" applyAlignment="1">
      <alignment horizontal="center"/>
    </xf>
    <xf numFmtId="170" fontId="4" fillId="0" borderId="0" xfId="24" applyNumberFormat="1" applyFont="1" applyFill="1" applyBorder="1" applyAlignment="1">
      <alignment horizontal="right" wrapText="1"/>
    </xf>
    <xf numFmtId="170" fontId="4" fillId="0" borderId="0" xfId="24" applyNumberFormat="1" applyFont="1" applyFill="1" applyBorder="1" applyAlignment="1">
      <alignment horizontal="right"/>
    </xf>
    <xf numFmtId="170" fontId="4" fillId="0" borderId="0" xfId="24" applyNumberFormat="1" applyFont="1" applyFill="1" applyBorder="1" applyAlignment="1"/>
    <xf numFmtId="170" fontId="3" fillId="0" borderId="0" xfId="24" applyNumberFormat="1" applyFont="1" applyFill="1" applyBorder="1" applyAlignment="1">
      <alignment horizontal="right"/>
    </xf>
    <xf numFmtId="165" fontId="3" fillId="0" borderId="0" xfId="24" applyNumberFormat="1" applyFont="1" applyFill="1" applyBorder="1"/>
    <xf numFmtId="165" fontId="3" fillId="0" borderId="0" xfId="11" applyNumberFormat="1" applyFont="1" applyFill="1" applyBorder="1" applyAlignment="1">
      <alignment horizontal="right"/>
    </xf>
    <xf numFmtId="164" fontId="3" fillId="0" borderId="0" xfId="24" applyNumberFormat="1" applyFont="1" applyFill="1" applyBorder="1"/>
    <xf numFmtId="164" fontId="3" fillId="0" borderId="0" xfId="11" applyNumberFormat="1" applyFont="1" applyFill="1" applyBorder="1" applyAlignment="1">
      <alignment horizontal="right"/>
    </xf>
    <xf numFmtId="164" fontId="3" fillId="0" borderId="0" xfId="24" applyNumberFormat="1" applyFont="1" applyFill="1" applyBorder="1" applyAlignment="1">
      <alignment horizontal="right"/>
    </xf>
    <xf numFmtId="164" fontId="3" fillId="0" borderId="0" xfId="0" applyNumberFormat="1" applyFont="1" applyFill="1" applyBorder="1" applyAlignment="1">
      <alignment horizontal="left" indent="1"/>
    </xf>
    <xf numFmtId="173" fontId="3" fillId="0" borderId="0" xfId="11" applyNumberFormat="1" applyFont="1" applyFill="1" applyBorder="1" applyAlignment="1">
      <alignment horizontal="right"/>
    </xf>
    <xf numFmtId="38" fontId="3" fillId="0" borderId="0" xfId="11" applyNumberFormat="1" applyFont="1" applyFill="1" applyBorder="1" applyAlignment="1">
      <alignment horizontal="right"/>
    </xf>
    <xf numFmtId="164" fontId="3" fillId="0" borderId="0" xfId="0" applyNumberFormat="1" applyFont="1" applyFill="1" applyBorder="1" applyAlignment="1"/>
    <xf numFmtId="43" fontId="3" fillId="0" borderId="0" xfId="11" applyFont="1" applyFill="1" applyBorder="1" applyAlignment="1">
      <alignment horizontal="right"/>
    </xf>
    <xf numFmtId="164" fontId="3" fillId="0" borderId="0" xfId="24" applyNumberFormat="1" applyFont="1" applyFill="1" applyBorder="1" applyAlignment="1">
      <alignment horizontal="left" indent="1"/>
    </xf>
    <xf numFmtId="7" fontId="3" fillId="0" borderId="0" xfId="24" applyNumberFormat="1" applyFont="1" applyFill="1" applyBorder="1"/>
    <xf numFmtId="7" fontId="3" fillId="0" borderId="0" xfId="24" applyNumberFormat="1" applyFont="1" applyFill="1" applyBorder="1" applyAlignment="1">
      <alignment horizontal="right"/>
    </xf>
    <xf numFmtId="176" fontId="3" fillId="0" borderId="0" xfId="24" applyNumberFormat="1" applyFont="1" applyFill="1" applyBorder="1" applyAlignment="1">
      <alignment horizontal="center"/>
    </xf>
    <xf numFmtId="0" fontId="3" fillId="0" borderId="0" xfId="20" applyFont="1" applyFill="1" applyBorder="1"/>
    <xf numFmtId="0" fontId="4" fillId="0" borderId="0" xfId="20" applyNumberFormat="1" applyFont="1" applyFill="1" applyBorder="1"/>
    <xf numFmtId="7" fontId="3" fillId="0" borderId="0" xfId="20" applyNumberFormat="1" applyFont="1" applyFill="1" applyBorder="1"/>
    <xf numFmtId="7" fontId="3" fillId="0" borderId="0" xfId="20" applyNumberFormat="1" applyFont="1" applyFill="1" applyBorder="1" applyAlignment="1">
      <alignment horizontal="right"/>
    </xf>
    <xf numFmtId="9" fontId="3" fillId="0" borderId="0" xfId="26" applyNumberFormat="1" applyFont="1" applyFill="1" applyBorder="1"/>
    <xf numFmtId="164" fontId="3" fillId="0" borderId="0" xfId="20" applyNumberFormat="1" applyFont="1" applyFill="1" applyBorder="1"/>
    <xf numFmtId="164" fontId="3" fillId="0" borderId="0" xfId="20" applyNumberFormat="1" applyFont="1" applyFill="1" applyBorder="1" applyAlignment="1">
      <alignment horizontal="right"/>
    </xf>
    <xf numFmtId="174" fontId="3" fillId="0" borderId="0" xfId="20" applyNumberFormat="1" applyFont="1" applyFill="1" applyBorder="1"/>
    <xf numFmtId="174" fontId="3" fillId="0" borderId="0" xfId="26" applyNumberFormat="1" applyFont="1" applyFill="1" applyBorder="1" applyAlignment="1">
      <alignment horizontal="right"/>
    </xf>
    <xf numFmtId="174" fontId="3" fillId="0" borderId="0" xfId="0" applyNumberFormat="1" applyFont="1" applyFill="1" applyBorder="1"/>
    <xf numFmtId="7" fontId="3" fillId="0" borderId="0" xfId="12" applyNumberFormat="1" applyFont="1" applyFill="1" applyBorder="1" applyAlignment="1">
      <alignment horizontal="right"/>
    </xf>
    <xf numFmtId="174" fontId="3" fillId="0" borderId="0" xfId="29" applyNumberFormat="1" applyFont="1" applyFill="1" applyBorder="1" applyAlignment="1">
      <alignment horizontal="right"/>
    </xf>
    <xf numFmtId="164" fontId="3" fillId="0" borderId="0" xfId="29" applyNumberFormat="1" applyFont="1" applyFill="1" applyBorder="1" applyAlignment="1">
      <alignment horizontal="right"/>
    </xf>
    <xf numFmtId="39" fontId="3" fillId="0" borderId="0" xfId="11" applyNumberFormat="1" applyFont="1" applyFill="1" applyBorder="1" applyAlignment="1">
      <alignment horizontal="right"/>
    </xf>
    <xf numFmtId="171" fontId="3" fillId="0" borderId="0" xfId="11" applyNumberFormat="1" applyFont="1" applyFill="1" applyBorder="1" applyAlignment="1">
      <alignment horizontal="right"/>
    </xf>
    <xf numFmtId="0" fontId="3" fillId="0" borderId="0" xfId="24" applyFont="1" applyFill="1" applyBorder="1"/>
    <xf numFmtId="174" fontId="3" fillId="0" borderId="0" xfId="24" applyNumberFormat="1" applyFont="1" applyFill="1" applyBorder="1"/>
    <xf numFmtId="174" fontId="3" fillId="0" borderId="0" xfId="0" applyNumberFormat="1" applyFont="1" applyFill="1" applyBorder="1" applyAlignment="1">
      <alignment horizontal="right"/>
    </xf>
    <xf numFmtId="0" fontId="3" fillId="0" borderId="0" xfId="24" applyFont="1" applyFill="1" applyBorder="1" applyAlignment="1">
      <alignment wrapText="1"/>
    </xf>
    <xf numFmtId="177" fontId="3" fillId="0" borderId="0" xfId="11" applyNumberFormat="1" applyFont="1" applyFill="1" applyBorder="1" applyAlignment="1">
      <alignment horizontal="right"/>
    </xf>
    <xf numFmtId="178" fontId="3" fillId="0" borderId="0" xfId="26" applyNumberFormat="1" applyFont="1" applyFill="1" applyBorder="1" applyAlignment="1">
      <alignment horizontal="right"/>
    </xf>
    <xf numFmtId="38" fontId="4" fillId="0" borderId="0" xfId="21" applyFont="1" applyFill="1" applyBorder="1"/>
    <xf numFmtId="164" fontId="3" fillId="0" borderId="0" xfId="21" applyNumberFormat="1" applyFont="1" applyFill="1" applyBorder="1" applyAlignment="1">
      <alignment horizontal="left" indent="1"/>
    </xf>
    <xf numFmtId="164" fontId="3" fillId="0" borderId="0" xfId="21" applyNumberFormat="1" applyFont="1" applyFill="1" applyBorder="1" applyAlignment="1">
      <alignment horizontal="right"/>
    </xf>
    <xf numFmtId="174" fontId="3" fillId="0" borderId="0" xfId="21" applyNumberFormat="1" applyFont="1" applyFill="1" applyBorder="1" applyAlignment="1">
      <alignment horizontal="left" indent="2"/>
    </xf>
    <xf numFmtId="0" fontId="4" fillId="0" borderId="0" xfId="24" applyNumberFormat="1" applyFont="1" applyFill="1" applyBorder="1" applyAlignment="1">
      <alignment vertical="center" wrapText="1"/>
    </xf>
    <xf numFmtId="171" fontId="3" fillId="0" borderId="0" xfId="11" applyNumberFormat="1" applyFont="1" applyFill="1" applyBorder="1" applyAlignment="1">
      <alignment horizontal="right" vertical="center"/>
    </xf>
    <xf numFmtId="0" fontId="3" fillId="0" borderId="0" xfId="24" applyFont="1" applyFill="1" applyBorder="1" applyAlignment="1">
      <alignment horizontal="right" vertical="center"/>
    </xf>
    <xf numFmtId="170" fontId="3" fillId="0" borderId="0" xfId="24" applyNumberFormat="1" applyFont="1" applyFill="1" applyBorder="1" applyAlignment="1">
      <alignment horizontal="right" vertical="center"/>
    </xf>
    <xf numFmtId="7" fontId="3" fillId="0" borderId="0" xfId="24" applyNumberFormat="1" applyFont="1" applyFill="1" applyBorder="1" applyAlignment="1">
      <alignment horizontal="left" indent="2"/>
    </xf>
    <xf numFmtId="7" fontId="3" fillId="0" borderId="0" xfId="11" applyNumberFormat="1" applyFont="1" applyFill="1" applyBorder="1" applyAlignment="1">
      <alignment horizontal="right"/>
    </xf>
    <xf numFmtId="164" fontId="3" fillId="0" borderId="0" xfId="24" applyNumberFormat="1" applyFont="1" applyFill="1" applyBorder="1" applyAlignment="1">
      <alignment horizontal="left" indent="2"/>
    </xf>
    <xf numFmtId="7" fontId="3" fillId="0" borderId="0" xfId="24" applyNumberFormat="1" applyFont="1" applyFill="1" applyBorder="1" applyAlignment="1">
      <alignment horizontal="left" indent="1"/>
    </xf>
    <xf numFmtId="7" fontId="3" fillId="0" borderId="0" xfId="24" applyNumberFormat="1" applyFont="1" applyFill="1" applyBorder="1" applyAlignment="1">
      <alignment horizontal="center"/>
    </xf>
    <xf numFmtId="37" fontId="3" fillId="0" borderId="0" xfId="24" applyNumberFormat="1" applyFont="1" applyFill="1" applyBorder="1" applyAlignment="1">
      <alignment horizontal="right"/>
    </xf>
    <xf numFmtId="179" fontId="3" fillId="0" borderId="0" xfId="24" applyNumberFormat="1" applyFont="1" applyFill="1" applyBorder="1" applyAlignment="1">
      <alignment horizontal="right"/>
    </xf>
    <xf numFmtId="176" fontId="3" fillId="0" borderId="0" xfId="24" applyNumberFormat="1" applyFont="1" applyFill="1" applyBorder="1"/>
    <xf numFmtId="180" fontId="3" fillId="0" borderId="0" xfId="24" applyNumberFormat="1" applyFont="1" applyFill="1" applyBorder="1" applyAlignment="1">
      <alignment horizontal="right"/>
    </xf>
    <xf numFmtId="180" fontId="3" fillId="0" borderId="0" xfId="11" applyNumberFormat="1" applyFont="1" applyFill="1" applyBorder="1" applyAlignment="1">
      <alignment horizontal="right"/>
    </xf>
    <xf numFmtId="177" fontId="3" fillId="0" borderId="0" xfId="24" applyNumberFormat="1" applyFont="1" applyFill="1" applyBorder="1"/>
    <xf numFmtId="177" fontId="3" fillId="0" borderId="0" xfId="24" applyNumberFormat="1" applyFont="1" applyFill="1" applyBorder="1" applyAlignment="1">
      <alignment horizontal="right"/>
    </xf>
    <xf numFmtId="175" fontId="4" fillId="0" borderId="0" xfId="24" applyNumberFormat="1" applyFont="1" applyFill="1" applyBorder="1" applyAlignment="1">
      <alignment horizontal="right"/>
    </xf>
    <xf numFmtId="174" fontId="3" fillId="0" borderId="0" xfId="24" applyNumberFormat="1" applyFont="1" applyFill="1" applyBorder="1" applyAlignment="1">
      <alignment horizontal="right"/>
    </xf>
    <xf numFmtId="0" fontId="3" fillId="0" borderId="0" xfId="0" applyFont="1" applyFill="1" applyBorder="1" applyAlignment="1">
      <alignment horizontal="center"/>
    </xf>
    <xf numFmtId="0" fontId="3" fillId="0" borderId="0" xfId="0" applyFont="1" applyFill="1" applyBorder="1" applyAlignment="1"/>
    <xf numFmtId="38" fontId="3" fillId="0" borderId="0" xfId="0" applyNumberFormat="1" applyFont="1" applyFill="1" applyBorder="1" applyAlignment="1"/>
    <xf numFmtId="0" fontId="4" fillId="0" borderId="0" xfId="0" applyFont="1" applyFill="1" applyBorder="1" applyAlignment="1">
      <alignment horizontal="right"/>
    </xf>
    <xf numFmtId="172" fontId="3" fillId="0" borderId="0" xfId="0" applyNumberFormat="1" applyFont="1" applyFill="1" applyBorder="1"/>
    <xf numFmtId="3" fontId="3" fillId="0" borderId="0" xfId="0" applyNumberFormat="1" applyFont="1" applyFill="1" applyBorder="1"/>
    <xf numFmtId="173" fontId="3" fillId="0" borderId="0" xfId="0" applyNumberFormat="1" applyFont="1" applyFill="1" applyBorder="1"/>
    <xf numFmtId="174" fontId="4" fillId="0" borderId="0" xfId="0" applyNumberFormat="1" applyFont="1" applyFill="1" applyBorder="1"/>
    <xf numFmtId="174" fontId="3" fillId="0" borderId="0" xfId="26" applyNumberFormat="1" applyFont="1" applyFill="1" applyBorder="1"/>
    <xf numFmtId="5" fontId="3" fillId="0" borderId="0" xfId="0" applyNumberFormat="1" applyFont="1" applyFill="1" applyBorder="1"/>
    <xf numFmtId="5" fontId="4" fillId="0" borderId="0" xfId="0" applyNumberFormat="1" applyFont="1" applyFill="1" applyBorder="1"/>
    <xf numFmtId="0" fontId="11" fillId="0" borderId="0" xfId="0" applyFont="1" applyFill="1" applyBorder="1"/>
    <xf numFmtId="37" fontId="3" fillId="0" borderId="0" xfId="21" applyNumberFormat="1" applyFont="1" applyFill="1" applyBorder="1" applyAlignment="1">
      <alignment horizontal="right"/>
    </xf>
    <xf numFmtId="5" fontId="4" fillId="0" borderId="0" xfId="0" applyNumberFormat="1" applyFont="1" applyFill="1" applyBorder="1" applyAlignment="1">
      <alignment horizontal="right"/>
    </xf>
    <xf numFmtId="1" fontId="3" fillId="0" borderId="0" xfId="0" applyNumberFormat="1" applyFont="1" applyFill="1" applyBorder="1"/>
    <xf numFmtId="37" fontId="3" fillId="0" borderId="0" xfId="11" applyNumberFormat="1" applyFont="1" applyFill="1" applyBorder="1" applyAlignment="1">
      <alignment horizontal="right"/>
    </xf>
    <xf numFmtId="39" fontId="3" fillId="0" borderId="0" xfId="0" applyNumberFormat="1" applyFont="1" applyFill="1" applyBorder="1"/>
    <xf numFmtId="37" fontId="3" fillId="0" borderId="0" xfId="0" applyNumberFormat="1" applyFont="1" applyFill="1" applyBorder="1" applyAlignment="1"/>
    <xf numFmtId="168" fontId="3" fillId="0" borderId="0" xfId="26" applyNumberFormat="1" applyFont="1" applyFill="1" applyBorder="1"/>
    <xf numFmtId="37" fontId="3" fillId="0" borderId="0" xfId="26" applyNumberFormat="1" applyFont="1" applyFill="1" applyBorder="1"/>
    <xf numFmtId="41" fontId="3" fillId="0" borderId="0" xfId="0" applyNumberFormat="1" applyFont="1" applyFill="1" applyBorder="1"/>
    <xf numFmtId="0" fontId="4" fillId="0" borderId="0" xfId="0" applyFont="1" applyFill="1" applyBorder="1" applyAlignment="1">
      <alignment horizontal="center"/>
    </xf>
    <xf numFmtId="0" fontId="3" fillId="0" borderId="0" xfId="0" applyFont="1" applyFill="1" applyBorder="1" applyAlignment="1">
      <alignment horizontal="right"/>
    </xf>
    <xf numFmtId="49" fontId="4" fillId="0" borderId="0" xfId="22" applyNumberFormat="1" applyFont="1" applyFill="1" applyBorder="1" applyAlignment="1">
      <alignment horizontal="center" vertical="center"/>
    </xf>
    <xf numFmtId="9" fontId="4" fillId="0" borderId="0" xfId="0" applyNumberFormat="1" applyFont="1" applyFill="1" applyBorder="1"/>
    <xf numFmtId="177" fontId="3" fillId="0" borderId="0" xfId="11" applyNumberFormat="1" applyFont="1" applyFill="1" applyBorder="1" applyAlignment="1"/>
    <xf numFmtId="165" fontId="3" fillId="0" borderId="0" xfId="0" applyNumberFormat="1" applyFont="1" applyFill="1" applyBorder="1" applyAlignment="1"/>
    <xf numFmtId="10" fontId="3" fillId="0" borderId="0" xfId="26" applyNumberFormat="1" applyFont="1" applyFill="1" applyBorder="1"/>
    <xf numFmtId="5" fontId="3" fillId="0" borderId="0" xfId="11" applyNumberFormat="1" applyFont="1" applyFill="1" applyBorder="1" applyAlignment="1">
      <alignment horizontal="right"/>
    </xf>
    <xf numFmtId="164" fontId="4" fillId="0" borderId="0" xfId="0" applyNumberFormat="1" applyFont="1" applyFill="1" applyBorder="1" applyAlignment="1"/>
    <xf numFmtId="164" fontId="4" fillId="0" borderId="0" xfId="24" applyNumberFormat="1" applyFont="1" applyFill="1" applyBorder="1" applyAlignment="1">
      <alignment horizontal="left" indent="2"/>
    </xf>
    <xf numFmtId="165" fontId="3" fillId="0" borderId="0" xfId="24" applyNumberFormat="1" applyFont="1" applyFill="1" applyBorder="1" applyAlignment="1"/>
    <xf numFmtId="165" fontId="3" fillId="0" borderId="0" xfId="24" applyNumberFormat="1" applyFont="1" applyFill="1" applyBorder="1" applyAlignment="1">
      <alignment horizontal="right"/>
    </xf>
    <xf numFmtId="0" fontId="3" fillId="0" borderId="0" xfId="20" applyNumberFormat="1" applyFont="1" applyFill="1" applyBorder="1"/>
    <xf numFmtId="165" fontId="3" fillId="0" borderId="0" xfId="20" applyNumberFormat="1" applyFont="1" applyFill="1" applyBorder="1"/>
    <xf numFmtId="165" fontId="3" fillId="0" borderId="0" xfId="20" applyNumberFormat="1" applyFont="1" applyFill="1" applyBorder="1" applyAlignment="1">
      <alignment horizontal="right"/>
    </xf>
    <xf numFmtId="38" fontId="3" fillId="0" borderId="0" xfId="21" applyFont="1" applyFill="1" applyBorder="1"/>
    <xf numFmtId="38" fontId="3" fillId="0" borderId="0" xfId="21" applyNumberFormat="1" applyFont="1" applyFill="1" applyBorder="1" applyAlignment="1">
      <alignment horizontal="right"/>
    </xf>
    <xf numFmtId="38" fontId="3" fillId="0" borderId="0" xfId="21" applyFont="1" applyFill="1" applyBorder="1" applyAlignment="1">
      <alignment horizontal="right"/>
    </xf>
    <xf numFmtId="165" fontId="3" fillId="0" borderId="0" xfId="21" applyNumberFormat="1" applyFont="1" applyFill="1" applyBorder="1" applyAlignment="1">
      <alignment horizontal="left" indent="1"/>
    </xf>
    <xf numFmtId="165" fontId="3" fillId="0" borderId="0" xfId="21" applyNumberFormat="1" applyFont="1" applyFill="1" applyBorder="1" applyAlignment="1">
      <alignment horizontal="right"/>
    </xf>
    <xf numFmtId="38" fontId="3" fillId="0" borderId="0" xfId="21" applyFont="1" applyFill="1" applyBorder="1" applyAlignment="1">
      <alignment horizontal="left" indent="1"/>
    </xf>
    <xf numFmtId="173" fontId="3" fillId="0" borderId="0" xfId="0" applyNumberFormat="1" applyFont="1" applyFill="1" applyBorder="1" applyAlignment="1">
      <alignment horizontal="right"/>
    </xf>
    <xf numFmtId="169" fontId="3" fillId="0" borderId="0" xfId="11" applyNumberFormat="1" applyFont="1" applyFill="1" applyBorder="1"/>
    <xf numFmtId="169" fontId="3" fillId="0" borderId="0" xfId="11" applyNumberFormat="1" applyFont="1" applyFill="1" applyBorder="1" applyAlignment="1">
      <alignment horizontal="right"/>
    </xf>
    <xf numFmtId="5" fontId="3" fillId="0" borderId="0" xfId="0" applyNumberFormat="1" applyFont="1" applyFill="1" applyBorder="1" applyAlignment="1">
      <alignment horizontal="right"/>
    </xf>
    <xf numFmtId="165" fontId="3" fillId="0" borderId="0" xfId="0" applyNumberFormat="1" applyFont="1" applyFill="1" applyBorder="1" applyAlignment="1">
      <alignment horizontal="left" indent="1"/>
    </xf>
    <xf numFmtId="164" fontId="3" fillId="0" borderId="0" xfId="0" applyNumberFormat="1" applyFont="1" applyFill="1" applyBorder="1" applyAlignment="1">
      <alignment horizontal="left" indent="2"/>
    </xf>
    <xf numFmtId="165" fontId="3" fillId="0" borderId="0" xfId="24" applyNumberFormat="1" applyFont="1" applyFill="1" applyBorder="1" applyAlignment="1">
      <alignment horizontal="left" indent="1"/>
    </xf>
    <xf numFmtId="164" fontId="3" fillId="0" borderId="0" xfId="24" applyNumberFormat="1" applyFont="1" applyFill="1" applyBorder="1" applyAlignment="1">
      <alignment horizontal="left" wrapText="1" indent="1"/>
    </xf>
    <xf numFmtId="174" fontId="3" fillId="0" borderId="0" xfId="24" applyNumberFormat="1" applyFont="1" applyFill="1" applyBorder="1" applyAlignment="1">
      <alignment horizontal="left" indent="1"/>
    </xf>
    <xf numFmtId="0" fontId="3" fillId="0" borderId="0" xfId="24" applyFont="1" applyFill="1" applyBorder="1" applyAlignment="1">
      <alignment horizontal="left" wrapText="1" indent="1"/>
    </xf>
    <xf numFmtId="174" fontId="3" fillId="0" borderId="0" xfId="24" applyNumberFormat="1" applyFont="1" applyFill="1" applyBorder="1" applyAlignment="1">
      <alignment horizontal="left" wrapText="1" indent="1"/>
    </xf>
    <xf numFmtId="174" fontId="3" fillId="0" borderId="0" xfId="21" applyNumberFormat="1" applyFont="1" applyFill="1" applyBorder="1" applyAlignment="1">
      <alignment horizontal="left" indent="1"/>
    </xf>
    <xf numFmtId="7" fontId="3" fillId="0" borderId="0" xfId="24" applyNumberFormat="1" applyFont="1" applyFill="1" applyBorder="1" applyAlignment="1">
      <alignment horizontal="left" indent="3"/>
    </xf>
    <xf numFmtId="164" fontId="3" fillId="0" borderId="0" xfId="24" applyNumberFormat="1" applyFont="1" applyFill="1" applyBorder="1" applyAlignment="1">
      <alignment horizontal="left" indent="3"/>
    </xf>
    <xf numFmtId="170" fontId="3" fillId="0" borderId="0" xfId="24" applyNumberFormat="1" applyFont="1" applyFill="1" applyBorder="1" applyAlignment="1">
      <alignment horizontal="left" indent="2"/>
    </xf>
    <xf numFmtId="0" fontId="4" fillId="0" borderId="0" xfId="24" applyNumberFormat="1" applyFont="1" applyFill="1" applyBorder="1" applyAlignment="1">
      <alignment horizontal="left" vertical="center" wrapText="1" indent="2"/>
    </xf>
    <xf numFmtId="7" fontId="3" fillId="0" borderId="0" xfId="24" applyNumberFormat="1" applyFont="1" applyFill="1" applyBorder="1" applyAlignment="1">
      <alignment horizontal="left" indent="4"/>
    </xf>
    <xf numFmtId="164" fontId="3" fillId="0" borderId="0" xfId="24" applyNumberFormat="1" applyFont="1" applyFill="1" applyBorder="1" applyAlignment="1">
      <alignment horizontal="left" indent="4"/>
    </xf>
    <xf numFmtId="169" fontId="3" fillId="0" borderId="0" xfId="11" applyNumberFormat="1" applyFont="1" applyFill="1" applyBorder="1" applyAlignment="1">
      <alignment horizontal="left" indent="2"/>
    </xf>
    <xf numFmtId="170" fontId="4" fillId="0" borderId="0" xfId="24" applyNumberFormat="1" applyFont="1" applyFill="1" applyBorder="1" applyAlignment="1">
      <alignment horizontal="left" indent="2"/>
    </xf>
    <xf numFmtId="170" fontId="3" fillId="0" borderId="0" xfId="24" applyNumberFormat="1" applyFont="1" applyFill="1" applyBorder="1" applyAlignment="1">
      <alignment horizontal="left" indent="3"/>
    </xf>
    <xf numFmtId="7" fontId="3" fillId="0" borderId="0" xfId="20" applyNumberFormat="1" applyFont="1" applyFill="1" applyBorder="1" applyAlignment="1">
      <alignment horizontal="left" indent="1"/>
    </xf>
    <xf numFmtId="164" fontId="3" fillId="0" borderId="0" xfId="20" applyNumberFormat="1" applyFont="1" applyFill="1" applyBorder="1" applyAlignment="1">
      <alignment horizontal="left" indent="1"/>
    </xf>
    <xf numFmtId="174" fontId="3" fillId="0" borderId="0" xfId="20" applyNumberFormat="1" applyFont="1" applyFill="1" applyBorder="1" applyAlignment="1">
      <alignment horizontal="left" indent="1"/>
    </xf>
    <xf numFmtId="165" fontId="3" fillId="0" borderId="0" xfId="24" applyNumberFormat="1" applyFont="1" applyFill="1" applyBorder="1" applyAlignment="1">
      <alignment horizontal="left" wrapText="1" indent="1"/>
    </xf>
    <xf numFmtId="0" fontId="4" fillId="0" borderId="0" xfId="0" applyFont="1" applyFill="1" applyBorder="1" applyAlignment="1"/>
    <xf numFmtId="38" fontId="3" fillId="0" borderId="0" xfId="0" applyNumberFormat="1" applyFont="1" applyFill="1" applyBorder="1" applyAlignment="1">
      <alignment horizontal="right"/>
    </xf>
    <xf numFmtId="5" fontId="3" fillId="0" borderId="0" xfId="24" applyNumberFormat="1" applyFont="1" applyFill="1" applyBorder="1" applyAlignment="1">
      <alignment horizontal="right"/>
    </xf>
    <xf numFmtId="41" fontId="3" fillId="0" borderId="0" xfId="24" applyNumberFormat="1" applyFont="1" applyFill="1" applyBorder="1" applyAlignment="1">
      <alignment horizontal="right" wrapText="1"/>
    </xf>
    <xf numFmtId="174" fontId="3" fillId="0" borderId="0" xfId="0" applyNumberFormat="1" applyFont="1" applyFill="1" applyBorder="1" applyAlignment="1">
      <alignment horizontal="left" indent="1"/>
    </xf>
    <xf numFmtId="185" fontId="3" fillId="0" borderId="0" xfId="0" applyNumberFormat="1" applyFont="1" applyFill="1" applyBorder="1"/>
    <xf numFmtId="183" fontId="3" fillId="0" borderId="0" xfId="0" applyNumberFormat="1" applyFont="1" applyFill="1" applyBorder="1"/>
    <xf numFmtId="184" fontId="3" fillId="0" borderId="0" xfId="0" applyNumberFormat="1" applyFont="1" applyFill="1" applyBorder="1"/>
    <xf numFmtId="1" fontId="3" fillId="0" borderId="0" xfId="22" applyNumberFormat="1" applyFont="1" applyFill="1" applyBorder="1" applyAlignment="1">
      <alignment horizontal="center" vertical="center"/>
    </xf>
    <xf numFmtId="2" fontId="3" fillId="0" borderId="0" xfId="22" applyNumberFormat="1" applyFont="1" applyFill="1" applyBorder="1" applyAlignment="1">
      <alignment horizontal="left" vertical="center"/>
    </xf>
    <xf numFmtId="2" fontId="3" fillId="0" borderId="0" xfId="22" applyNumberFormat="1" applyFont="1" applyFill="1" applyBorder="1" applyAlignment="1">
      <alignment horizontal="center" vertical="center"/>
    </xf>
    <xf numFmtId="181" fontId="3" fillId="0" borderId="0" xfId="0" applyNumberFormat="1" applyFont="1" applyFill="1" applyBorder="1"/>
    <xf numFmtId="9" fontId="3" fillId="0" borderId="0" xfId="26" applyNumberFormat="1" applyFont="1" applyFill="1" applyBorder="1" applyAlignment="1">
      <alignment horizontal="center"/>
    </xf>
    <xf numFmtId="0" fontId="3" fillId="0" borderId="0" xfId="0" applyNumberFormat="1" applyFont="1" applyFill="1" applyBorder="1" applyAlignment="1">
      <alignment horizontal="center"/>
    </xf>
    <xf numFmtId="9" fontId="3" fillId="0" borderId="0" xfId="26" applyFont="1" applyFill="1" applyBorder="1" applyAlignment="1">
      <alignment horizontal="center"/>
    </xf>
    <xf numFmtId="165" fontId="4" fillId="0" borderId="0" xfId="0" applyNumberFormat="1" applyFont="1" applyFill="1" applyBorder="1" applyAlignment="1"/>
    <xf numFmtId="37" fontId="3" fillId="0" borderId="0" xfId="0" applyNumberFormat="1" applyFont="1" applyFill="1" applyBorder="1" applyAlignment="1">
      <alignment horizontal="left" indent="1"/>
    </xf>
    <xf numFmtId="174" fontId="3" fillId="0" borderId="0" xfId="0" applyNumberFormat="1" applyFont="1" applyFill="1" applyBorder="1" applyAlignment="1"/>
    <xf numFmtId="2" fontId="3" fillId="0" borderId="0" xfId="22" applyNumberFormat="1" applyFont="1" applyFill="1" applyBorder="1" applyAlignment="1">
      <alignment vertical="center"/>
    </xf>
    <xf numFmtId="2" fontId="4" fillId="0" borderId="0" xfId="22" applyNumberFormat="1" applyFont="1" applyFill="1" applyBorder="1" applyAlignment="1">
      <alignment vertical="center"/>
    </xf>
    <xf numFmtId="49" fontId="3" fillId="0" borderId="0" xfId="22" applyNumberFormat="1" applyFont="1" applyFill="1" applyBorder="1" applyAlignment="1">
      <alignment vertical="center"/>
    </xf>
    <xf numFmtId="49" fontId="4" fillId="0" borderId="0" xfId="22" applyNumberFormat="1" applyFont="1" applyFill="1" applyBorder="1" applyAlignment="1">
      <alignment vertical="center"/>
    </xf>
    <xf numFmtId="9" fontId="3" fillId="0" borderId="0" xfId="0" applyNumberFormat="1" applyFont="1" applyFill="1" applyBorder="1" applyAlignment="1">
      <alignment horizontal="left" indent="1"/>
    </xf>
    <xf numFmtId="9" fontId="4" fillId="0" borderId="0" xfId="0" applyNumberFormat="1" applyFont="1" applyFill="1" applyBorder="1" applyAlignment="1">
      <alignment horizontal="left"/>
    </xf>
    <xf numFmtId="0" fontId="3" fillId="0" borderId="0" xfId="15" applyFont="1" applyFill="1" applyBorder="1" applyAlignment="1">
      <alignment horizontal="center"/>
    </xf>
    <xf numFmtId="0" fontId="3" fillId="0" borderId="0" xfId="15" applyFont="1" applyAlignment="1">
      <alignment horizontal="center"/>
    </xf>
    <xf numFmtId="0" fontId="3" fillId="0" borderId="0" xfId="15" applyFont="1" applyFill="1" applyAlignment="1">
      <alignment horizontal="center"/>
    </xf>
    <xf numFmtId="186" fontId="3" fillId="0" borderId="0" xfId="15" applyNumberFormat="1" applyFont="1"/>
    <xf numFmtId="9" fontId="5" fillId="0" borderId="0" xfId="28" applyFont="1"/>
    <xf numFmtId="0" fontId="3" fillId="0" borderId="0" xfId="15" applyFont="1" applyFill="1" applyBorder="1" applyAlignment="1">
      <alignment vertical="center" wrapText="1"/>
    </xf>
    <xf numFmtId="37" fontId="18" fillId="0" borderId="0" xfId="0" applyNumberFormat="1" applyFont="1" applyFill="1" applyBorder="1" applyAlignment="1">
      <alignment horizontal="right"/>
    </xf>
    <xf numFmtId="174" fontId="3" fillId="0" borderId="0" xfId="26" applyNumberFormat="1" applyFont="1"/>
    <xf numFmtId="1" fontId="3" fillId="0" borderId="0" xfId="0" applyNumberFormat="1" applyFont="1"/>
    <xf numFmtId="0" fontId="3" fillId="0" borderId="0" xfId="17" applyFont="1"/>
    <xf numFmtId="9" fontId="5" fillId="0" borderId="0" xfId="0" applyNumberFormat="1" applyFont="1"/>
    <xf numFmtId="0" fontId="3" fillId="0" borderId="0" xfId="19"/>
    <xf numFmtId="0" fontId="3" fillId="0" borderId="0" xfId="19" applyAlignment="1">
      <alignment horizontal="center"/>
    </xf>
    <xf numFmtId="0" fontId="4" fillId="0" borderId="0" xfId="19" applyFont="1"/>
    <xf numFmtId="9" fontId="5" fillId="0" borderId="0" xfId="0" applyNumberFormat="1" applyFont="1" applyFill="1" applyBorder="1" applyAlignment="1">
      <alignment horizontal="left" indent="2"/>
    </xf>
    <xf numFmtId="174" fontId="5" fillId="0" borderId="0" xfId="0" applyNumberFormat="1" applyFont="1" applyFill="1" applyBorder="1"/>
    <xf numFmtId="174" fontId="3" fillId="0" borderId="0" xfId="0" applyNumberFormat="1" applyFont="1" applyFill="1" applyBorder="1" applyAlignment="1">
      <alignment horizontal="left" indent="2"/>
    </xf>
    <xf numFmtId="174" fontId="5" fillId="0" borderId="0" xfId="0" applyNumberFormat="1" applyFont="1" applyFill="1" applyBorder="1" applyAlignment="1">
      <alignment horizontal="left" indent="2"/>
    </xf>
    <xf numFmtId="174" fontId="5" fillId="0" borderId="0" xfId="0" applyNumberFormat="1" applyFont="1" applyFill="1" applyBorder="1" applyAlignment="1">
      <alignment horizontal="left" indent="1"/>
    </xf>
    <xf numFmtId="174" fontId="3" fillId="0" borderId="0" xfId="26" applyNumberFormat="1" applyFont="1" applyFill="1" applyBorder="1" applyAlignment="1">
      <alignment horizontal="left" indent="2"/>
    </xf>
    <xf numFmtId="9" fontId="5" fillId="0" borderId="0" xfId="0" applyNumberFormat="1" applyFont="1" applyFill="1" applyBorder="1"/>
    <xf numFmtId="9" fontId="4" fillId="0" borderId="0" xfId="26" applyFont="1" applyFill="1" applyBorder="1"/>
    <xf numFmtId="174" fontId="4" fillId="0" borderId="1" xfId="26" applyNumberFormat="1" applyFont="1" applyFill="1" applyBorder="1" applyAlignment="1">
      <alignment horizontal="left" indent="2"/>
    </xf>
    <xf numFmtId="174" fontId="4" fillId="0" borderId="1" xfId="26" applyNumberFormat="1" applyFont="1" applyFill="1" applyBorder="1"/>
    <xf numFmtId="0" fontId="4" fillId="0" borderId="0" xfId="0" applyFont="1" applyFill="1" applyBorder="1" applyAlignment="1">
      <alignment horizontal="left" indent="2"/>
    </xf>
    <xf numFmtId="0" fontId="4" fillId="0" borderId="1" xfId="0" applyFont="1" applyFill="1" applyBorder="1" applyAlignment="1">
      <alignment horizontal="left" indent="2"/>
    </xf>
    <xf numFmtId="3" fontId="4" fillId="0" borderId="4" xfId="0" applyNumberFormat="1" applyFont="1" applyFill="1" applyBorder="1"/>
    <xf numFmtId="3" fontId="4" fillId="0" borderId="4" xfId="0" applyNumberFormat="1" applyFont="1" applyFill="1" applyBorder="1" applyAlignment="1">
      <alignment horizontal="right"/>
    </xf>
    <xf numFmtId="3" fontId="4" fillId="0" borderId="0" xfId="0" applyNumberFormat="1" applyFont="1" applyFill="1" applyBorder="1"/>
    <xf numFmtId="3" fontId="3" fillId="0" borderId="0" xfId="0" applyNumberFormat="1" applyFont="1" applyFill="1" applyBorder="1" applyAlignment="1">
      <alignment horizontal="left" indent="1"/>
    </xf>
    <xf numFmtId="3" fontId="4" fillId="0" borderId="0" xfId="0" applyNumberFormat="1" applyFont="1" applyFill="1" applyBorder="1" applyAlignment="1">
      <alignment horizontal="left"/>
    </xf>
    <xf numFmtId="3" fontId="6" fillId="0" borderId="0" xfId="26" applyNumberFormat="1" applyFont="1" applyFill="1" applyBorder="1"/>
    <xf numFmtId="3" fontId="4" fillId="0" borderId="0" xfId="0" applyNumberFormat="1" applyFont="1" applyFill="1" applyBorder="1" applyAlignment="1">
      <alignment horizontal="left" indent="1"/>
    </xf>
    <xf numFmtId="3" fontId="3" fillId="0" borderId="0" xfId="11" applyNumberFormat="1" applyFont="1" applyFill="1" applyBorder="1"/>
    <xf numFmtId="9" fontId="3" fillId="0" borderId="0" xfId="26" applyFont="1" applyFill="1" applyBorder="1" applyAlignment="1">
      <alignment horizontal="left" indent="1"/>
    </xf>
    <xf numFmtId="3" fontId="3" fillId="0" borderId="0" xfId="26" applyNumberFormat="1" applyFont="1" applyFill="1" applyBorder="1"/>
    <xf numFmtId="4" fontId="3" fillId="0" borderId="0" xfId="0" applyNumberFormat="1" applyFont="1" applyFill="1" applyBorder="1"/>
    <xf numFmtId="3" fontId="3" fillId="0" borderId="0" xfId="0" applyNumberFormat="1" applyFont="1" applyFill="1" applyBorder="1" applyAlignment="1"/>
    <xf numFmtId="3" fontId="3" fillId="0" borderId="0" xfId="0" applyNumberFormat="1" applyFont="1" applyFill="1" applyBorder="1" applyAlignment="1">
      <alignment horizontal="center"/>
    </xf>
    <xf numFmtId="3" fontId="3" fillId="0" borderId="0" xfId="11" applyNumberFormat="1" applyFont="1" applyFill="1" applyBorder="1" applyAlignment="1"/>
    <xf numFmtId="4" fontId="3" fillId="0" borderId="0" xfId="26" applyNumberFormat="1" applyFont="1" applyFill="1" applyBorder="1"/>
    <xf numFmtId="3" fontId="4" fillId="0" borderId="2" xfId="0" applyNumberFormat="1" applyFont="1" applyFill="1" applyBorder="1" applyAlignment="1">
      <alignment horizontal="left" indent="1"/>
    </xf>
    <xf numFmtId="3" fontId="4" fillId="0" borderId="2" xfId="0" applyNumberFormat="1" applyFont="1" applyFill="1" applyBorder="1"/>
    <xf numFmtId="189" fontId="4" fillId="0" borderId="2" xfId="0" applyNumberFormat="1" applyFont="1" applyFill="1" applyBorder="1" applyAlignment="1">
      <alignment horizontal="left" indent="1"/>
    </xf>
    <xf numFmtId="189" fontId="4" fillId="0" borderId="2" xfId="0" applyNumberFormat="1" applyFont="1" applyFill="1" applyBorder="1"/>
    <xf numFmtId="3" fontId="3" fillId="0" borderId="0" xfId="0" applyNumberFormat="1" applyFont="1" applyFill="1" applyBorder="1" applyAlignment="1">
      <alignment horizontal="left" indent="2"/>
    </xf>
    <xf numFmtId="3" fontId="5" fillId="0" borderId="0" xfId="0" applyNumberFormat="1" applyFont="1" applyFill="1" applyBorder="1" applyAlignment="1">
      <alignment horizontal="left" indent="2"/>
    </xf>
    <xf numFmtId="3" fontId="5" fillId="0" borderId="0" xfId="0" applyNumberFormat="1" applyFont="1" applyFill="1" applyBorder="1"/>
    <xf numFmtId="3" fontId="5" fillId="0" borderId="0" xfId="11" applyNumberFormat="1" applyFont="1" applyFill="1" applyBorder="1"/>
    <xf numFmtId="166" fontId="5" fillId="0" borderId="0" xfId="0" applyNumberFormat="1" applyFont="1" applyFill="1" applyBorder="1"/>
    <xf numFmtId="0" fontId="5" fillId="0" borderId="0" xfId="0" applyFont="1" applyFill="1" applyBorder="1"/>
    <xf numFmtId="4" fontId="3" fillId="0" borderId="0" xfId="0" applyNumberFormat="1" applyFont="1" applyFill="1" applyBorder="1" applyAlignment="1">
      <alignment horizontal="left" indent="1"/>
    </xf>
    <xf numFmtId="4" fontId="3" fillId="0" borderId="0" xfId="11" applyNumberFormat="1" applyFont="1" applyFill="1" applyBorder="1" applyAlignment="1"/>
    <xf numFmtId="4" fontId="3" fillId="0" borderId="0" xfId="0" applyNumberFormat="1" applyFont="1" applyFill="1" applyBorder="1" applyAlignment="1">
      <alignment horizontal="center"/>
    </xf>
    <xf numFmtId="189" fontId="3" fillId="0" borderId="0" xfId="0" applyNumberFormat="1" applyFont="1" applyFill="1" applyBorder="1"/>
    <xf numFmtId="189" fontId="4" fillId="0" borderId="0" xfId="0" applyNumberFormat="1" applyFont="1" applyFill="1" applyBorder="1"/>
    <xf numFmtId="189" fontId="4" fillId="0" borderId="0" xfId="0" applyNumberFormat="1" applyFont="1" applyFill="1" applyBorder="1" applyAlignment="1">
      <alignment horizontal="center"/>
    </xf>
    <xf numFmtId="164" fontId="4" fillId="0" borderId="2" xfId="0" applyNumberFormat="1" applyFont="1" applyFill="1" applyBorder="1" applyAlignment="1">
      <alignment horizontal="left" indent="1"/>
    </xf>
    <xf numFmtId="164" fontId="4" fillId="0" borderId="2" xfId="0" applyNumberFormat="1" applyFont="1" applyFill="1" applyBorder="1"/>
    <xf numFmtId="164" fontId="5" fillId="0" borderId="0" xfId="0" applyNumberFormat="1" applyFont="1" applyFill="1" applyBorder="1"/>
    <xf numFmtId="172" fontId="3" fillId="0" borderId="0" xfId="11" applyNumberFormat="1" applyFont="1" applyFill="1" applyBorder="1"/>
    <xf numFmtId="174" fontId="5" fillId="0" borderId="0" xfId="26" applyNumberFormat="1" applyFont="1" applyFill="1" applyBorder="1"/>
    <xf numFmtId="174" fontId="4" fillId="0" borderId="1" xfId="0" applyNumberFormat="1" applyFont="1" applyFill="1" applyBorder="1" applyAlignment="1">
      <alignment horizontal="left" indent="3"/>
    </xf>
    <xf numFmtId="174" fontId="4" fillId="0" borderId="1" xfId="0" applyNumberFormat="1" applyFont="1" applyFill="1" applyBorder="1"/>
    <xf numFmtId="3" fontId="4" fillId="0" borderId="1" xfId="0" applyNumberFormat="1" applyFont="1" applyFill="1" applyBorder="1" applyAlignment="1">
      <alignment horizontal="left" indent="2"/>
    </xf>
    <xf numFmtId="3" fontId="4" fillId="0" borderId="1" xfId="0" applyNumberFormat="1" applyFont="1" applyFill="1" applyBorder="1"/>
    <xf numFmtId="3" fontId="4" fillId="0" borderId="8" xfId="0" applyNumberFormat="1" applyFont="1" applyFill="1" applyBorder="1" applyAlignment="1">
      <alignment horizontal="left" indent="1"/>
    </xf>
    <xf numFmtId="3" fontId="4" fillId="0" borderId="8" xfId="0" applyNumberFormat="1" applyFont="1" applyFill="1" applyBorder="1"/>
    <xf numFmtId="3" fontId="23" fillId="0" borderId="0" xfId="13" applyNumberFormat="1" applyFill="1" applyBorder="1"/>
    <xf numFmtId="9" fontId="4" fillId="0" borderId="1" xfId="0" applyNumberFormat="1" applyFont="1" applyFill="1" applyBorder="1"/>
    <xf numFmtId="9" fontId="5" fillId="0" borderId="0" xfId="26" applyNumberFormat="1" applyFont="1" applyFill="1" applyBorder="1" applyAlignment="1">
      <alignment horizontal="center"/>
    </xf>
    <xf numFmtId="0" fontId="4" fillId="0" borderId="2" xfId="0" applyFont="1" applyFill="1" applyBorder="1" applyAlignment="1"/>
    <xf numFmtId="0" fontId="5" fillId="0" borderId="0" xfId="0" applyFont="1" applyFill="1" applyBorder="1" applyAlignment="1">
      <alignment horizontal="left" indent="2"/>
    </xf>
    <xf numFmtId="3" fontId="3" fillId="0" borderId="1" xfId="0" applyNumberFormat="1" applyFont="1" applyFill="1" applyBorder="1"/>
    <xf numFmtId="165" fontId="4" fillId="0" borderId="2" xfId="0" applyNumberFormat="1" applyFont="1" applyFill="1" applyBorder="1" applyAlignment="1"/>
    <xf numFmtId="9" fontId="3" fillId="0" borderId="0" xfId="0" applyNumberFormat="1" applyFont="1" applyFill="1" applyBorder="1" applyAlignment="1">
      <alignment horizontal="left" indent="2"/>
    </xf>
    <xf numFmtId="3" fontId="3" fillId="0" borderId="0" xfId="0" applyNumberFormat="1" applyFont="1" applyFill="1" applyBorder="1" applyAlignment="1">
      <alignment horizontal="right"/>
    </xf>
    <xf numFmtId="3" fontId="4" fillId="0" borderId="8" xfId="0" applyNumberFormat="1" applyFont="1" applyFill="1" applyBorder="1" applyAlignment="1">
      <alignment vertical="center"/>
    </xf>
    <xf numFmtId="187" fontId="4" fillId="0" borderId="8" xfId="0" applyNumberFormat="1" applyFont="1" applyFill="1" applyBorder="1"/>
    <xf numFmtId="187" fontId="3" fillId="0" borderId="0" xfId="0" applyNumberFormat="1" applyFont="1" applyFill="1" applyBorder="1"/>
    <xf numFmtId="3" fontId="4" fillId="0" borderId="2" xfId="0" applyNumberFormat="1" applyFont="1" applyFill="1" applyBorder="1" applyAlignment="1">
      <alignment vertical="center"/>
    </xf>
    <xf numFmtId="0" fontId="4" fillId="0" borderId="0" xfId="0" applyFont="1" applyFill="1" applyBorder="1" applyAlignment="1">
      <alignment horizontal="left" indent="1"/>
    </xf>
    <xf numFmtId="182" fontId="3" fillId="0" borderId="0" xfId="0" applyNumberFormat="1" applyFont="1" applyFill="1" applyBorder="1"/>
    <xf numFmtId="171" fontId="3" fillId="0" borderId="0" xfId="11" applyNumberFormat="1" applyFont="1" applyFill="1" applyBorder="1"/>
    <xf numFmtId="171" fontId="3" fillId="0" borderId="0" xfId="0" applyNumberFormat="1" applyFont="1" applyFill="1" applyBorder="1"/>
    <xf numFmtId="49" fontId="0" fillId="0" borderId="0" xfId="0" applyNumberFormat="1"/>
    <xf numFmtId="0" fontId="4" fillId="0" borderId="4" xfId="0" applyFont="1" applyFill="1" applyBorder="1" applyAlignment="1">
      <alignment horizontal="right"/>
    </xf>
    <xf numFmtId="0" fontId="4" fillId="0" borderId="0" xfId="0" applyFont="1" applyFill="1" applyBorder="1" applyAlignment="1">
      <alignment horizontal="right"/>
    </xf>
    <xf numFmtId="0" fontId="4" fillId="5" borderId="0" xfId="0" applyFont="1" applyFill="1" applyBorder="1" applyAlignment="1">
      <alignment horizontal="right"/>
    </xf>
    <xf numFmtId="3" fontId="3" fillId="4" borderId="0" xfId="0" applyNumberFormat="1" applyFont="1" applyFill="1" applyBorder="1" applyAlignment="1">
      <alignment horizontal="right"/>
    </xf>
    <xf numFmtId="3" fontId="3" fillId="5" borderId="0" xfId="0" applyNumberFormat="1" applyFont="1" applyFill="1" applyBorder="1" applyAlignment="1">
      <alignment horizontal="right"/>
    </xf>
    <xf numFmtId="3" fontId="4" fillId="4" borderId="2" xfId="0" applyNumberFormat="1" applyFont="1" applyFill="1" applyBorder="1"/>
    <xf numFmtId="3" fontId="4" fillId="5" borderId="2" xfId="0" applyNumberFormat="1" applyFont="1" applyFill="1" applyBorder="1"/>
    <xf numFmtId="37" fontId="4" fillId="5" borderId="0" xfId="0" applyNumberFormat="1" applyFont="1" applyFill="1" applyBorder="1"/>
    <xf numFmtId="3" fontId="25" fillId="6" borderId="0" xfId="27" applyNumberFormat="1" applyFont="1" applyFill="1" applyBorder="1" applyAlignment="1">
      <alignment horizontal="right"/>
    </xf>
    <xf numFmtId="3" fontId="3" fillId="4" borderId="0" xfId="0" applyNumberFormat="1" applyFont="1" applyFill="1" applyBorder="1"/>
    <xf numFmtId="3" fontId="3" fillId="5" borderId="0" xfId="0" applyNumberFormat="1" applyFont="1" applyFill="1" applyBorder="1"/>
    <xf numFmtId="3" fontId="24" fillId="5" borderId="0" xfId="0" applyNumberFormat="1" applyFont="1" applyFill="1" applyBorder="1"/>
    <xf numFmtId="37" fontId="3" fillId="5" borderId="0" xfId="0" applyNumberFormat="1" applyFont="1" applyFill="1" applyBorder="1"/>
    <xf numFmtId="3" fontId="4" fillId="5" borderId="2" xfId="0" applyNumberFormat="1" applyFont="1" applyFill="1" applyBorder="1" applyAlignment="1">
      <alignment vertical="center"/>
    </xf>
    <xf numFmtId="165" fontId="4" fillId="5" borderId="0" xfId="0" applyNumberFormat="1" applyFont="1" applyFill="1" applyBorder="1" applyAlignment="1">
      <alignment vertical="center"/>
    </xf>
    <xf numFmtId="9" fontId="5" fillId="5" borderId="0" xfId="26" applyFont="1" applyFill="1" applyBorder="1"/>
    <xf numFmtId="3" fontId="4" fillId="5" borderId="8" xfId="0" applyNumberFormat="1" applyFont="1" applyFill="1" applyBorder="1" applyAlignment="1">
      <alignment vertical="center"/>
    </xf>
    <xf numFmtId="187" fontId="4" fillId="7" borderId="8" xfId="0" applyNumberFormat="1" applyFont="1" applyFill="1" applyBorder="1"/>
    <xf numFmtId="187" fontId="4" fillId="5" borderId="8" xfId="0" applyNumberFormat="1" applyFont="1" applyFill="1" applyBorder="1"/>
    <xf numFmtId="7" fontId="4" fillId="5" borderId="0" xfId="0" applyNumberFormat="1" applyFont="1" applyFill="1" applyBorder="1"/>
    <xf numFmtId="7" fontId="3" fillId="5" borderId="0" xfId="0" applyNumberFormat="1" applyFont="1" applyFill="1" applyBorder="1"/>
    <xf numFmtId="9" fontId="3" fillId="5" borderId="0" xfId="26" applyFont="1" applyFill="1" applyBorder="1"/>
    <xf numFmtId="168" fontId="3" fillId="5" borderId="0" xfId="26" applyNumberFormat="1" applyFont="1" applyFill="1" applyBorder="1"/>
    <xf numFmtId="167" fontId="3" fillId="0" borderId="0" xfId="0" applyNumberFormat="1" applyFont="1" applyFill="1" applyBorder="1"/>
    <xf numFmtId="37" fontId="3" fillId="5" borderId="0" xfId="0" applyNumberFormat="1" applyFont="1" applyFill="1" applyBorder="1" applyAlignment="1">
      <alignment horizontal="right"/>
    </xf>
    <xf numFmtId="167" fontId="3" fillId="5" borderId="0" xfId="0" applyNumberFormat="1" applyFont="1" applyFill="1" applyBorder="1" applyAlignment="1">
      <alignment horizontal="right"/>
    </xf>
    <xf numFmtId="0" fontId="26" fillId="0" borderId="0" xfId="0" applyFont="1" applyBorder="1" applyAlignment="1">
      <alignment horizontal="left" indent="1"/>
    </xf>
    <xf numFmtId="9" fontId="3" fillId="5" borderId="0" xfId="26" applyFont="1" applyFill="1" applyBorder="1" applyAlignment="1">
      <alignment horizontal="right"/>
    </xf>
    <xf numFmtId="0" fontId="26" fillId="0" borderId="0" xfId="0" applyFont="1" applyFill="1" applyBorder="1" applyAlignment="1">
      <alignment horizontal="left" indent="1"/>
    </xf>
    <xf numFmtId="0" fontId="26" fillId="0" borderId="4" xfId="0" applyFont="1" applyBorder="1" applyAlignment="1">
      <alignment horizontal="left" indent="1"/>
    </xf>
    <xf numFmtId="9" fontId="3" fillId="5" borderId="4" xfId="26" applyFont="1" applyFill="1" applyBorder="1" applyAlignment="1">
      <alignment horizontal="right"/>
    </xf>
    <xf numFmtId="0" fontId="26" fillId="0" borderId="0" xfId="0" applyFont="1"/>
    <xf numFmtId="9" fontId="3" fillId="4" borderId="0" xfId="26" applyFont="1" applyFill="1" applyBorder="1"/>
    <xf numFmtId="9" fontId="3" fillId="5" borderId="4" xfId="26" applyFont="1" applyFill="1" applyBorder="1"/>
    <xf numFmtId="37" fontId="4" fillId="5" borderId="0" xfId="0" applyNumberFormat="1" applyFont="1" applyFill="1" applyBorder="1" applyAlignment="1">
      <alignment horizontal="right"/>
    </xf>
    <xf numFmtId="164" fontId="3" fillId="5" borderId="0" xfId="0" applyNumberFormat="1" applyFont="1" applyFill="1" applyBorder="1" applyAlignment="1">
      <alignment horizontal="right"/>
    </xf>
    <xf numFmtId="164" fontId="3" fillId="5" borderId="0" xfId="0" applyNumberFormat="1" applyFont="1" applyFill="1" applyBorder="1"/>
    <xf numFmtId="166" fontId="3" fillId="5" borderId="0" xfId="0" applyNumberFormat="1" applyFont="1" applyFill="1" applyBorder="1"/>
    <xf numFmtId="165" fontId="4" fillId="5" borderId="0" xfId="0" applyNumberFormat="1" applyFont="1" applyFill="1" applyBorder="1"/>
    <xf numFmtId="0" fontId="3" fillId="5" borderId="0" xfId="0" applyFont="1" applyFill="1" applyBorder="1"/>
    <xf numFmtId="0" fontId="27" fillId="0" borderId="0" xfId="15" applyFont="1"/>
    <xf numFmtId="0" fontId="26" fillId="0" borderId="0" xfId="15" applyFont="1"/>
    <xf numFmtId="0" fontId="26" fillId="0" borderId="0" xfId="15" applyFont="1" applyFill="1" applyBorder="1" applyAlignment="1"/>
    <xf numFmtId="0" fontId="3" fillId="8" borderId="5" xfId="15" applyFont="1" applyFill="1" applyBorder="1" applyAlignment="1">
      <alignment horizontal="center"/>
    </xf>
    <xf numFmtId="0" fontId="26" fillId="0" borderId="0" xfId="15" applyFont="1" applyFill="1" applyBorder="1" applyAlignment="1">
      <alignment horizontal="center"/>
    </xf>
    <xf numFmtId="0" fontId="26" fillId="0" borderId="0" xfId="15" applyFont="1" applyAlignment="1">
      <alignment horizontal="center"/>
    </xf>
    <xf numFmtId="0" fontId="26" fillId="8" borderId="5" xfId="15" applyFont="1" applyFill="1" applyBorder="1" applyAlignment="1">
      <alignment horizontal="center"/>
    </xf>
    <xf numFmtId="0" fontId="26" fillId="0" borderId="0" xfId="15" applyFont="1" applyFill="1"/>
    <xf numFmtId="0" fontId="28" fillId="0" borderId="0" xfId="15" applyFont="1"/>
    <xf numFmtId="0" fontId="26" fillId="0" borderId="0" xfId="15" applyFont="1" applyAlignment="1">
      <alignment horizontal="left"/>
    </xf>
    <xf numFmtId="0" fontId="26" fillId="0" borderId="0" xfId="15" applyFont="1" applyAlignment="1">
      <alignment horizontal="right"/>
    </xf>
    <xf numFmtId="0" fontId="28" fillId="0" borderId="0" xfId="15" applyFont="1" applyFill="1" applyBorder="1" applyAlignment="1">
      <alignment horizontal="center"/>
    </xf>
    <xf numFmtId="186" fontId="26" fillId="0" borderId="0" xfId="15" applyNumberFormat="1" applyFont="1"/>
    <xf numFmtId="3" fontId="28" fillId="0" borderId="0" xfId="15" applyNumberFormat="1" applyFont="1"/>
    <xf numFmtId="3" fontId="26" fillId="0" borderId="0" xfId="15" applyNumberFormat="1" applyFont="1"/>
    <xf numFmtId="0" fontId="26" fillId="0" borderId="0" xfId="15" applyFont="1" applyFill="1" applyBorder="1"/>
    <xf numFmtId="186" fontId="28" fillId="0" borderId="0" xfId="15" applyNumberFormat="1" applyFont="1"/>
    <xf numFmtId="0" fontId="29" fillId="0" borderId="0" xfId="15" applyFont="1" applyFill="1" applyBorder="1"/>
    <xf numFmtId="9" fontId="26" fillId="0" borderId="0" xfId="15" applyNumberFormat="1" applyFont="1"/>
    <xf numFmtId="182" fontId="26" fillId="0" borderId="0" xfId="15" applyNumberFormat="1" applyFont="1"/>
    <xf numFmtId="187" fontId="26" fillId="0" borderId="0" xfId="15" applyNumberFormat="1" applyFont="1"/>
    <xf numFmtId="3" fontId="4" fillId="4" borderId="0" xfId="0" applyNumberFormat="1" applyFont="1" applyFill="1" applyBorder="1" applyAlignment="1">
      <alignment horizontal="right"/>
    </xf>
    <xf numFmtId="3" fontId="4" fillId="10" borderId="0" xfId="0" applyNumberFormat="1" applyFont="1" applyFill="1" applyBorder="1" applyAlignment="1">
      <alignment horizontal="right"/>
    </xf>
    <xf numFmtId="3" fontId="4" fillId="5" borderId="0" xfId="0" applyNumberFormat="1" applyFont="1" applyFill="1" applyBorder="1" applyAlignment="1">
      <alignment horizontal="right"/>
    </xf>
    <xf numFmtId="3" fontId="4" fillId="4" borderId="0" xfId="0" applyNumberFormat="1" applyFont="1" applyFill="1" applyBorder="1"/>
    <xf numFmtId="3" fontId="4" fillId="5" borderId="0" xfId="0" applyNumberFormat="1" applyFont="1" applyFill="1" applyBorder="1"/>
    <xf numFmtId="3" fontId="3" fillId="5" borderId="0" xfId="26" applyNumberFormat="1" applyFont="1" applyFill="1" applyBorder="1"/>
    <xf numFmtId="3" fontId="30" fillId="0" borderId="0" xfId="26" applyNumberFormat="1" applyFont="1" applyFill="1" applyBorder="1"/>
    <xf numFmtId="3" fontId="31" fillId="5" borderId="0" xfId="0" applyNumberFormat="1" applyFont="1" applyFill="1" applyBorder="1"/>
    <xf numFmtId="9" fontId="4" fillId="4" borderId="0" xfId="26" applyFont="1" applyFill="1" applyBorder="1"/>
    <xf numFmtId="9" fontId="4" fillId="5" borderId="0" xfId="26" applyFont="1" applyFill="1" applyBorder="1"/>
    <xf numFmtId="9" fontId="32" fillId="0" borderId="0" xfId="26" applyFont="1" applyFill="1" applyBorder="1"/>
    <xf numFmtId="9" fontId="33" fillId="0" borderId="0" xfId="26" applyFont="1" applyFill="1" applyBorder="1"/>
    <xf numFmtId="3" fontId="34" fillId="12" borderId="12" xfId="0" applyNumberFormat="1" applyFont="1" applyFill="1" applyBorder="1"/>
    <xf numFmtId="3" fontId="34" fillId="12" borderId="6" xfId="0" applyNumberFormat="1" applyFont="1" applyFill="1" applyBorder="1"/>
    <xf numFmtId="3" fontId="34" fillId="12" borderId="13" xfId="0" applyNumberFormat="1" applyFont="1" applyFill="1" applyBorder="1" applyAlignment="1">
      <alignment horizontal="right"/>
    </xf>
    <xf numFmtId="0" fontId="35" fillId="0" borderId="0" xfId="0" applyFont="1" applyFill="1" applyBorder="1"/>
    <xf numFmtId="0" fontId="3" fillId="8" borderId="0" xfId="0" applyFont="1" applyFill="1" applyBorder="1" applyAlignment="1">
      <alignment horizontal="center"/>
    </xf>
    <xf numFmtId="0" fontId="34" fillId="0" borderId="0" xfId="0" applyFont="1" applyFill="1" applyBorder="1"/>
    <xf numFmtId="165" fontId="4" fillId="11" borderId="0" xfId="23" applyNumberFormat="1" applyFont="1" applyFill="1" applyBorder="1" applyAlignment="1"/>
    <xf numFmtId="49" fontId="4" fillId="11" borderId="0" xfId="22" applyNumberFormat="1" applyFont="1" applyFill="1" applyBorder="1" applyAlignment="1">
      <alignment horizontal="center" vertical="center"/>
    </xf>
    <xf numFmtId="1" fontId="4" fillId="11" borderId="0" xfId="22" applyNumberFormat="1" applyFont="1" applyFill="1" applyBorder="1" applyAlignment="1">
      <alignment horizontal="center" vertical="center"/>
    </xf>
    <xf numFmtId="2" fontId="4" fillId="5" borderId="1" xfId="22" applyNumberFormat="1" applyFont="1" applyFill="1" applyBorder="1" applyAlignment="1">
      <alignment vertical="center"/>
    </xf>
    <xf numFmtId="1" fontId="3" fillId="5" borderId="1" xfId="22" applyNumberFormat="1" applyFont="1" applyFill="1" applyBorder="1" applyAlignment="1">
      <alignment horizontal="center" vertical="center"/>
    </xf>
    <xf numFmtId="3" fontId="35" fillId="0" borderId="0" xfId="0" applyNumberFormat="1" applyFont="1" applyFill="1" applyBorder="1"/>
    <xf numFmtId="174" fontId="37" fillId="0" borderId="0" xfId="0" applyNumberFormat="1" applyFont="1" applyFill="1" applyBorder="1"/>
    <xf numFmtId="37" fontId="35" fillId="0" borderId="0" xfId="0" applyNumberFormat="1" applyFont="1" applyFill="1" applyBorder="1"/>
    <xf numFmtId="37" fontId="35" fillId="14" borderId="0" xfId="0" applyNumberFormat="1" applyFont="1" applyFill="1" applyBorder="1"/>
    <xf numFmtId="37" fontId="3" fillId="14" borderId="0" xfId="0" applyNumberFormat="1" applyFont="1" applyFill="1" applyBorder="1" applyAlignment="1">
      <alignment horizontal="left" indent="1"/>
    </xf>
    <xf numFmtId="37" fontId="3" fillId="14" borderId="0" xfId="0" applyNumberFormat="1" applyFont="1" applyFill="1" applyBorder="1"/>
    <xf numFmtId="174" fontId="3" fillId="14" borderId="0" xfId="26" applyNumberFormat="1" applyFont="1" applyFill="1" applyBorder="1"/>
    <xf numFmtId="174" fontId="38" fillId="14" borderId="0" xfId="0" applyNumberFormat="1" applyFont="1" applyFill="1" applyBorder="1"/>
    <xf numFmtId="174" fontId="5" fillId="14" borderId="0" xfId="0" applyNumberFormat="1" applyFont="1" applyFill="1" applyBorder="1" applyAlignment="1">
      <alignment horizontal="left" indent="2"/>
    </xf>
    <xf numFmtId="174" fontId="5" fillId="14" borderId="0" xfId="0" applyNumberFormat="1" applyFont="1" applyFill="1" applyBorder="1"/>
    <xf numFmtId="174" fontId="33" fillId="14" borderId="0" xfId="0" applyNumberFormat="1" applyFont="1" applyFill="1" applyBorder="1"/>
    <xf numFmtId="174" fontId="39" fillId="14" borderId="0" xfId="0" applyNumberFormat="1" applyFont="1" applyFill="1" applyBorder="1"/>
    <xf numFmtId="174" fontId="35" fillId="0" borderId="0" xfId="0" applyNumberFormat="1" applyFont="1" applyFill="1" applyBorder="1"/>
    <xf numFmtId="3" fontId="24" fillId="0" borderId="0" xfId="0" applyNumberFormat="1" applyFont="1" applyFill="1" applyBorder="1"/>
    <xf numFmtId="9" fontId="35" fillId="0" borderId="0" xfId="0" applyNumberFormat="1" applyFont="1" applyFill="1" applyBorder="1"/>
    <xf numFmtId="2" fontId="3" fillId="5" borderId="1" xfId="22" applyNumberFormat="1" applyFont="1" applyFill="1" applyBorder="1" applyAlignment="1">
      <alignment horizontal="left" vertical="center"/>
    </xf>
    <xf numFmtId="9" fontId="37" fillId="0" borderId="0" xfId="0" applyNumberFormat="1" applyFont="1" applyFill="1" applyBorder="1"/>
    <xf numFmtId="9" fontId="4" fillId="9" borderId="0" xfId="0" applyNumberFormat="1" applyFont="1" applyFill="1" applyBorder="1" applyAlignment="1">
      <alignment horizontal="left" indent="1"/>
    </xf>
    <xf numFmtId="9" fontId="4" fillId="9" borderId="0" xfId="26" applyFont="1" applyFill="1" applyBorder="1"/>
    <xf numFmtId="174" fontId="3" fillId="15" borderId="0" xfId="0" applyNumberFormat="1" applyFont="1" applyFill="1" applyBorder="1"/>
    <xf numFmtId="174" fontId="35" fillId="14" borderId="0" xfId="0" applyNumberFormat="1" applyFont="1" applyFill="1" applyBorder="1"/>
    <xf numFmtId="174" fontId="3" fillId="14" borderId="0" xfId="0" applyNumberFormat="1" applyFont="1" applyFill="1" applyBorder="1" applyAlignment="1">
      <alignment horizontal="left" indent="3"/>
    </xf>
    <xf numFmtId="174" fontId="3" fillId="14" borderId="0" xfId="0" applyNumberFormat="1" applyFont="1" applyFill="1" applyBorder="1"/>
    <xf numFmtId="174" fontId="3" fillId="14" borderId="0" xfId="0" applyNumberFormat="1" applyFont="1" applyFill="1" applyBorder="1" applyAlignment="1">
      <alignment horizontal="left" indent="2"/>
    </xf>
    <xf numFmtId="174" fontId="36" fillId="14" borderId="0" xfId="0" applyNumberFormat="1" applyFont="1" applyFill="1" applyBorder="1"/>
    <xf numFmtId="174" fontId="24" fillId="14" borderId="0" xfId="0" applyNumberFormat="1" applyFont="1" applyFill="1" applyBorder="1"/>
    <xf numFmtId="174" fontId="38" fillId="0" borderId="0" xfId="0" applyNumberFormat="1" applyFont="1" applyFill="1" applyBorder="1"/>
    <xf numFmtId="174" fontId="35" fillId="0" borderId="0" xfId="26" applyNumberFormat="1" applyFont="1" applyFill="1" applyBorder="1"/>
    <xf numFmtId="174" fontId="4" fillId="9" borderId="0" xfId="26" applyNumberFormat="1" applyFont="1" applyFill="1" applyBorder="1" applyAlignment="1">
      <alignment horizontal="left" indent="1"/>
    </xf>
    <xf numFmtId="174" fontId="3" fillId="9" borderId="0" xfId="26" applyNumberFormat="1" applyFont="1" applyFill="1" applyBorder="1"/>
    <xf numFmtId="3" fontId="40" fillId="16" borderId="0" xfId="0" applyNumberFormat="1" applyFont="1" applyFill="1" applyBorder="1"/>
    <xf numFmtId="174" fontId="24" fillId="0" borderId="0" xfId="0" applyNumberFormat="1" applyFont="1" applyFill="1" applyBorder="1"/>
    <xf numFmtId="174" fontId="40" fillId="16" borderId="0" xfId="0" applyNumberFormat="1" applyFont="1" applyFill="1" applyBorder="1"/>
    <xf numFmtId="2" fontId="3" fillId="5" borderId="1" xfId="22" applyNumberFormat="1" applyFont="1" applyFill="1" applyBorder="1" applyAlignment="1">
      <alignment horizontal="center" vertical="center"/>
    </xf>
    <xf numFmtId="174" fontId="4" fillId="16" borderId="0" xfId="0" applyNumberFormat="1" applyFont="1" applyFill="1" applyBorder="1" applyAlignment="1"/>
    <xf numFmtId="174" fontId="3" fillId="16" borderId="0" xfId="0" applyNumberFormat="1" applyFont="1" applyFill="1" applyBorder="1"/>
    <xf numFmtId="3" fontId="3" fillId="16" borderId="0" xfId="0" applyNumberFormat="1" applyFont="1" applyFill="1" applyBorder="1"/>
    <xf numFmtId="3" fontId="37" fillId="0" borderId="0" xfId="0" applyNumberFormat="1" applyFont="1" applyFill="1" applyBorder="1"/>
    <xf numFmtId="0" fontId="4" fillId="16" borderId="0" xfId="0" applyFont="1" applyFill="1" applyBorder="1" applyAlignment="1"/>
    <xf numFmtId="0" fontId="3" fillId="16" borderId="0" xfId="0" applyFont="1" applyFill="1" applyBorder="1"/>
    <xf numFmtId="4" fontId="35" fillId="0" borderId="0" xfId="0" applyNumberFormat="1" applyFont="1" applyFill="1" applyBorder="1"/>
    <xf numFmtId="4" fontId="40" fillId="16" borderId="0" xfId="0" applyNumberFormat="1" applyFont="1" applyFill="1" applyBorder="1"/>
    <xf numFmtId="0" fontId="35" fillId="0" borderId="0" xfId="0" applyNumberFormat="1" applyFont="1" applyFill="1" applyBorder="1"/>
    <xf numFmtId="189" fontId="4" fillId="17" borderId="2" xfId="0" applyNumberFormat="1" applyFont="1" applyFill="1" applyBorder="1"/>
    <xf numFmtId="164" fontId="35" fillId="0" borderId="0" xfId="0" applyNumberFormat="1" applyFont="1" applyFill="1" applyBorder="1"/>
    <xf numFmtId="9" fontId="24" fillId="0" borderId="0" xfId="0" applyNumberFormat="1" applyFont="1" applyFill="1" applyBorder="1"/>
    <xf numFmtId="4" fontId="24" fillId="0" borderId="0" xfId="0" applyNumberFormat="1" applyFont="1" applyFill="1" applyBorder="1"/>
    <xf numFmtId="189" fontId="34" fillId="0" borderId="0" xfId="0" applyNumberFormat="1" applyFont="1" applyFill="1" applyBorder="1"/>
    <xf numFmtId="166" fontId="35" fillId="0" borderId="0" xfId="0" applyNumberFormat="1" applyFont="1" applyFill="1" applyBorder="1"/>
    <xf numFmtId="166" fontId="3" fillId="16" borderId="0" xfId="0" applyNumberFormat="1" applyFont="1" applyFill="1" applyBorder="1"/>
    <xf numFmtId="7" fontId="35" fillId="0" borderId="0" xfId="0" applyNumberFormat="1" applyFont="1" applyFill="1" applyBorder="1"/>
    <xf numFmtId="7" fontId="3" fillId="16" borderId="0" xfId="0" applyNumberFormat="1" applyFont="1" applyFill="1" applyBorder="1"/>
    <xf numFmtId="7" fontId="40" fillId="16" borderId="0" xfId="0" applyNumberFormat="1" applyFont="1" applyFill="1" applyBorder="1"/>
    <xf numFmtId="189" fontId="35" fillId="0" borderId="0" xfId="0" applyNumberFormat="1" applyFont="1" applyFill="1" applyBorder="1"/>
    <xf numFmtId="0" fontId="37" fillId="0" borderId="0" xfId="0" applyFont="1" applyFill="1" applyBorder="1"/>
    <xf numFmtId="3" fontId="35" fillId="14" borderId="0" xfId="0" applyNumberFormat="1" applyFont="1" applyFill="1" applyBorder="1"/>
    <xf numFmtId="3" fontId="3" fillId="14" borderId="0" xfId="0" applyNumberFormat="1" applyFont="1" applyFill="1" applyBorder="1" applyAlignment="1">
      <alignment horizontal="left" indent="3"/>
    </xf>
    <xf numFmtId="3" fontId="3" fillId="14" borderId="0" xfId="0" applyNumberFormat="1" applyFont="1" applyFill="1" applyBorder="1"/>
    <xf numFmtId="9" fontId="3" fillId="14" borderId="0" xfId="26" applyFont="1" applyFill="1" applyBorder="1"/>
    <xf numFmtId="9" fontId="5" fillId="14" borderId="0" xfId="0" applyNumberFormat="1" applyFont="1" applyFill="1" applyBorder="1"/>
    <xf numFmtId="9" fontId="5" fillId="14" borderId="0" xfId="0" applyNumberFormat="1" applyFont="1" applyFill="1" applyBorder="1" applyAlignment="1">
      <alignment horizontal="left" indent="2"/>
    </xf>
    <xf numFmtId="9" fontId="35" fillId="14" borderId="0" xfId="0" applyNumberFormat="1" applyFont="1" applyFill="1" applyBorder="1"/>
    <xf numFmtId="174" fontId="3" fillId="14" borderId="0" xfId="0" applyNumberFormat="1" applyFont="1" applyFill="1" applyBorder="1" applyAlignment="1">
      <alignment horizontal="left" indent="4"/>
    </xf>
    <xf numFmtId="174" fontId="36" fillId="15" borderId="0" xfId="0" applyNumberFormat="1" applyFont="1" applyFill="1" applyBorder="1"/>
    <xf numFmtId="174" fontId="40" fillId="14" borderId="0" xfId="0" applyNumberFormat="1" applyFont="1" applyFill="1" applyBorder="1"/>
    <xf numFmtId="37" fontId="34" fillId="0" borderId="0" xfId="0" applyNumberFormat="1" applyFont="1" applyFill="1" applyBorder="1"/>
    <xf numFmtId="37" fontId="37" fillId="0" borderId="0" xfId="0" applyNumberFormat="1" applyFont="1" applyFill="1" applyBorder="1"/>
    <xf numFmtId="49" fontId="4" fillId="5" borderId="1" xfId="22" applyNumberFormat="1" applyFont="1" applyFill="1" applyBorder="1" applyAlignment="1">
      <alignment vertical="center"/>
    </xf>
    <xf numFmtId="9" fontId="33" fillId="0" borderId="0" xfId="0" applyNumberFormat="1" applyFont="1" applyFill="1" applyBorder="1"/>
    <xf numFmtId="165" fontId="35" fillId="0" borderId="0" xfId="0" applyNumberFormat="1" applyFont="1" applyFill="1" applyBorder="1"/>
    <xf numFmtId="9" fontId="34" fillId="0" borderId="0" xfId="0" applyNumberFormat="1" applyFont="1" applyFill="1" applyBorder="1"/>
    <xf numFmtId="165" fontId="34" fillId="0" borderId="0" xfId="0" applyNumberFormat="1" applyFont="1" applyFill="1" applyBorder="1"/>
    <xf numFmtId="164" fontId="34" fillId="0" borderId="0" xfId="0" applyNumberFormat="1" applyFont="1" applyFill="1" applyBorder="1"/>
    <xf numFmtId="3" fontId="4" fillId="8" borderId="0" xfId="0" applyNumberFormat="1" applyFont="1" applyFill="1" applyBorder="1"/>
    <xf numFmtId="3" fontId="3" fillId="8" borderId="0" xfId="0" applyNumberFormat="1" applyFont="1" applyFill="1" applyBorder="1"/>
    <xf numFmtId="1" fontId="3" fillId="8" borderId="0" xfId="0" applyNumberFormat="1" applyFont="1" applyFill="1" applyBorder="1"/>
    <xf numFmtId="9" fontId="33" fillId="8" borderId="0" xfId="0" applyNumberFormat="1" applyFont="1" applyFill="1" applyBorder="1"/>
    <xf numFmtId="3" fontId="4" fillId="8" borderId="2" xfId="0" applyNumberFormat="1" applyFont="1" applyFill="1" applyBorder="1"/>
    <xf numFmtId="9" fontId="3" fillId="8" borderId="0" xfId="26" applyNumberFormat="1" applyFont="1" applyFill="1" applyBorder="1"/>
    <xf numFmtId="0" fontId="35" fillId="0" borderId="0" xfId="0" applyFont="1" applyAlignment="1">
      <alignment horizontal="center"/>
    </xf>
    <xf numFmtId="0" fontId="4" fillId="18" borderId="0" xfId="16" applyFont="1" applyFill="1"/>
    <xf numFmtId="0" fontId="4" fillId="5" borderId="11" xfId="16" applyFont="1" applyFill="1" applyBorder="1"/>
    <xf numFmtId="0" fontId="26" fillId="0" borderId="0" xfId="0" applyFont="1" applyAlignment="1">
      <alignment horizontal="center"/>
    </xf>
    <xf numFmtId="3" fontId="26" fillId="0" borderId="0" xfId="0" applyNumberFormat="1" applyFont="1"/>
    <xf numFmtId="0" fontId="41" fillId="0" borderId="0" xfId="0" applyFont="1" applyAlignment="1">
      <alignment horizontal="center"/>
    </xf>
    <xf numFmtId="0" fontId="41" fillId="0" borderId="0" xfId="0" applyFont="1" applyAlignment="1">
      <alignment horizontal="left" indent="1"/>
    </xf>
    <xf numFmtId="0" fontId="41" fillId="0" borderId="0" xfId="0" applyFont="1"/>
    <xf numFmtId="9" fontId="33" fillId="0" borderId="0" xfId="0" applyNumberFormat="1" applyFont="1" applyFill="1"/>
    <xf numFmtId="9" fontId="41" fillId="0" borderId="0" xfId="0" applyNumberFormat="1" applyFont="1"/>
    <xf numFmtId="0" fontId="4" fillId="19" borderId="1" xfId="17" applyFont="1" applyFill="1" applyBorder="1"/>
    <xf numFmtId="0" fontId="4" fillId="19" borderId="1" xfId="17" applyFont="1" applyFill="1" applyBorder="1" applyAlignment="1">
      <alignment horizontal="center"/>
    </xf>
    <xf numFmtId="174" fontId="26" fillId="0" borderId="0" xfId="26" applyNumberFormat="1" applyFont="1"/>
    <xf numFmtId="3" fontId="24" fillId="0" borderId="0" xfId="0" applyNumberFormat="1" applyFont="1"/>
    <xf numFmtId="0" fontId="26" fillId="0" borderId="0" xfId="0" applyFont="1" applyAlignment="1">
      <alignment horizontal="left" indent="1"/>
    </xf>
    <xf numFmtId="1" fontId="26" fillId="0" borderId="0" xfId="0" applyNumberFormat="1" applyFont="1"/>
    <xf numFmtId="1" fontId="24" fillId="0" borderId="0" xfId="0" applyNumberFormat="1" applyFont="1"/>
    <xf numFmtId="0" fontId="24" fillId="0" borderId="0" xfId="0" applyFont="1"/>
    <xf numFmtId="9" fontId="26" fillId="0" borderId="0" xfId="0" applyNumberFormat="1" applyFont="1"/>
    <xf numFmtId="9" fontId="26" fillId="0" borderId="0" xfId="26" applyFont="1"/>
    <xf numFmtId="0" fontId="4" fillId="20" borderId="1" xfId="17" applyFont="1" applyFill="1" applyBorder="1"/>
    <xf numFmtId="0" fontId="4" fillId="20" borderId="1" xfId="17" applyFont="1" applyFill="1" applyBorder="1" applyAlignment="1">
      <alignment horizontal="center"/>
    </xf>
    <xf numFmtId="0" fontId="26" fillId="0" borderId="0" xfId="0" applyFont="1" applyFill="1" applyAlignment="1">
      <alignment horizontal="center"/>
    </xf>
    <xf numFmtId="0" fontId="3" fillId="14" borderId="0" xfId="17" applyFont="1" applyFill="1" applyBorder="1"/>
    <xf numFmtId="0" fontId="3" fillId="14" borderId="0" xfId="17" applyFont="1" applyFill="1" applyBorder="1" applyAlignment="1">
      <alignment horizontal="center"/>
    </xf>
    <xf numFmtId="2" fontId="24" fillId="14" borderId="0" xfId="17" applyNumberFormat="1" applyFont="1" applyFill="1" applyBorder="1"/>
    <xf numFmtId="0" fontId="24" fillId="14" borderId="0" xfId="17" applyFont="1" applyFill="1" applyBorder="1"/>
    <xf numFmtId="182" fontId="24" fillId="14" borderId="0" xfId="17" applyNumberFormat="1" applyFont="1" applyFill="1" applyBorder="1"/>
    <xf numFmtId="182" fontId="3" fillId="14" borderId="0" xfId="17" applyNumberFormat="1" applyFont="1" applyFill="1" applyBorder="1"/>
    <xf numFmtId="0" fontId="26" fillId="0" borderId="0" xfId="0" applyFont="1" applyFill="1"/>
    <xf numFmtId="2" fontId="3" fillId="14" borderId="0" xfId="17" applyNumberFormat="1" applyFont="1" applyFill="1" applyBorder="1" applyAlignment="1">
      <alignment horizontal="right"/>
    </xf>
    <xf numFmtId="2" fontId="24" fillId="14" borderId="0" xfId="0" applyNumberFormat="1" applyFont="1" applyFill="1"/>
    <xf numFmtId="2" fontId="26" fillId="14" borderId="0" xfId="0" applyNumberFormat="1" applyFont="1" applyFill="1"/>
    <xf numFmtId="0" fontId="38" fillId="14" borderId="0" xfId="0" applyFont="1" applyFill="1" applyAlignment="1">
      <alignment horizontal="center"/>
    </xf>
    <xf numFmtId="0" fontId="26" fillId="14" borderId="0" xfId="0" applyFont="1" applyFill="1"/>
    <xf numFmtId="1" fontId="26" fillId="14" borderId="0" xfId="0" applyNumberFormat="1" applyFont="1" applyFill="1"/>
    <xf numFmtId="1" fontId="36" fillId="14" borderId="0" xfId="0" applyNumberFormat="1" applyFont="1" applyFill="1"/>
    <xf numFmtId="174" fontId="41" fillId="0" borderId="0" xfId="26" applyNumberFormat="1" applyFont="1"/>
    <xf numFmtId="1" fontId="26" fillId="0" borderId="0" xfId="0" applyNumberFormat="1" applyFont="1" applyFill="1"/>
    <xf numFmtId="1" fontId="26" fillId="21" borderId="0" xfId="0" applyNumberFormat="1" applyFont="1" applyFill="1"/>
    <xf numFmtId="1" fontId="24" fillId="21" borderId="0" xfId="0" applyNumberFormat="1" applyFont="1" applyFill="1"/>
    <xf numFmtId="9" fontId="33" fillId="0" borderId="0" xfId="0" applyNumberFormat="1" applyFont="1"/>
    <xf numFmtId="0" fontId="28" fillId="16" borderId="0" xfId="0" applyFont="1" applyFill="1"/>
    <xf numFmtId="0" fontId="4" fillId="17" borderId="1" xfId="17" applyFont="1" applyFill="1" applyBorder="1"/>
    <xf numFmtId="0" fontId="4" fillId="17" borderId="1" xfId="17" applyFont="1" applyFill="1" applyBorder="1" applyAlignment="1">
      <alignment horizontal="center"/>
    </xf>
    <xf numFmtId="182" fontId="24" fillId="14" borderId="0" xfId="17" applyNumberFormat="1" applyFont="1" applyFill="1" applyBorder="1" applyAlignment="1">
      <alignment horizontal="left"/>
    </xf>
    <xf numFmtId="9" fontId="24" fillId="14" borderId="0" xfId="26" applyFont="1" applyFill="1" applyBorder="1"/>
    <xf numFmtId="9" fontId="24" fillId="14" borderId="0" xfId="17" applyNumberFormat="1" applyFont="1" applyFill="1" applyBorder="1"/>
    <xf numFmtId="9" fontId="3" fillId="14" borderId="0" xfId="17" applyNumberFormat="1" applyFont="1" applyFill="1" applyBorder="1"/>
    <xf numFmtId="9" fontId="24" fillId="14" borderId="0" xfId="0" applyNumberFormat="1" applyFont="1" applyFill="1"/>
    <xf numFmtId="9" fontId="26" fillId="14" borderId="0" xfId="0" applyNumberFormat="1" applyFont="1" applyFill="1"/>
    <xf numFmtId="9" fontId="24" fillId="14" borderId="0" xfId="26" applyNumberFormat="1" applyFont="1" applyFill="1" applyBorder="1"/>
    <xf numFmtId="9" fontId="36" fillId="14" borderId="0" xfId="0" applyNumberFormat="1" applyFont="1" applyFill="1"/>
    <xf numFmtId="9" fontId="3" fillId="14" borderId="0" xfId="0" applyNumberFormat="1" applyFont="1" applyFill="1"/>
    <xf numFmtId="182" fontId="26" fillId="0" borderId="0" xfId="0" applyNumberFormat="1" applyFont="1"/>
    <xf numFmtId="9" fontId="31" fillId="14" borderId="0" xfId="0" applyNumberFormat="1" applyFont="1" applyFill="1"/>
    <xf numFmtId="0" fontId="4" fillId="16" borderId="1" xfId="18" applyFont="1" applyFill="1" applyBorder="1"/>
    <xf numFmtId="0" fontId="4" fillId="16" borderId="1" xfId="18" applyFont="1" applyFill="1" applyBorder="1" applyAlignment="1">
      <alignment horizontal="center"/>
    </xf>
    <xf numFmtId="174" fontId="24" fillId="0" borderId="0" xfId="0" applyNumberFormat="1" applyFont="1"/>
    <xf numFmtId="174" fontId="26" fillId="0" borderId="0" xfId="0" applyNumberFormat="1" applyFont="1"/>
    <xf numFmtId="0" fontId="26" fillId="0" borderId="0" xfId="0" applyFont="1" applyAlignment="1">
      <alignment horizontal="left"/>
    </xf>
    <xf numFmtId="186" fontId="26" fillId="0" borderId="0" xfId="0" applyNumberFormat="1" applyFont="1"/>
    <xf numFmtId="0" fontId="26" fillId="14" borderId="0" xfId="0" applyFont="1" applyFill="1" applyAlignment="1">
      <alignment horizontal="left" indent="1"/>
    </xf>
    <xf numFmtId="186" fontId="36" fillId="14" borderId="0" xfId="0" applyNumberFormat="1" applyFont="1" applyFill="1"/>
    <xf numFmtId="0" fontId="28" fillId="0" borderId="0" xfId="0" applyFont="1"/>
    <xf numFmtId="3" fontId="28" fillId="0" borderId="0" xfId="0" applyNumberFormat="1" applyFont="1"/>
    <xf numFmtId="174" fontId="24" fillId="0" borderId="0" xfId="26" applyNumberFormat="1" applyFont="1"/>
    <xf numFmtId="0" fontId="41" fillId="0" borderId="0" xfId="0" applyFont="1" applyAlignment="1">
      <alignment horizontal="left" indent="2"/>
    </xf>
    <xf numFmtId="9" fontId="24" fillId="0" borderId="0" xfId="0" applyNumberFormat="1" applyFont="1"/>
    <xf numFmtId="0" fontId="38" fillId="19" borderId="0" xfId="0" applyFont="1" applyFill="1" applyAlignment="1">
      <alignment horizontal="center"/>
    </xf>
    <xf numFmtId="0" fontId="4" fillId="5" borderId="0" xfId="0" applyFont="1" applyFill="1" applyBorder="1"/>
    <xf numFmtId="169" fontId="3" fillId="5" borderId="0" xfId="0" applyNumberFormat="1" applyFont="1" applyFill="1" applyBorder="1"/>
    <xf numFmtId="169" fontId="4" fillId="5" borderId="0" xfId="0" applyNumberFormat="1" applyFont="1" applyFill="1" applyBorder="1"/>
    <xf numFmtId="3" fontId="3" fillId="0" borderId="0" xfId="24" applyNumberFormat="1" applyFont="1" applyFill="1" applyBorder="1" applyAlignment="1">
      <alignment horizontal="right" wrapText="1"/>
    </xf>
    <xf numFmtId="0" fontId="3" fillId="0" borderId="1" xfId="0" applyFont="1" applyFill="1" applyBorder="1"/>
    <xf numFmtId="5" fontId="3" fillId="0" borderId="1" xfId="0" applyNumberFormat="1" applyFont="1" applyFill="1" applyBorder="1"/>
    <xf numFmtId="5" fontId="4" fillId="0" borderId="2" xfId="0" applyNumberFormat="1" applyFont="1" applyFill="1" applyBorder="1"/>
    <xf numFmtId="0" fontId="4" fillId="0" borderId="9" xfId="0" applyFont="1" applyFill="1" applyBorder="1"/>
    <xf numFmtId="5" fontId="4" fillId="0" borderId="9" xfId="0" applyNumberFormat="1" applyFont="1" applyFill="1" applyBorder="1"/>
    <xf numFmtId="3" fontId="4" fillId="0" borderId="9" xfId="0" applyNumberFormat="1" applyFont="1" applyFill="1" applyBorder="1"/>
    <xf numFmtId="3" fontId="3" fillId="0" borderId="0" xfId="11" applyNumberFormat="1" applyFont="1" applyFill="1" applyBorder="1" applyAlignment="1">
      <alignment horizontal="right"/>
    </xf>
    <xf numFmtId="3" fontId="3" fillId="0" borderId="0" xfId="24" applyNumberFormat="1" applyFont="1" applyFill="1" applyBorder="1" applyAlignment="1">
      <alignment horizontal="right"/>
    </xf>
    <xf numFmtId="1" fontId="4" fillId="0" borderId="0" xfId="24" applyNumberFormat="1" applyFont="1" applyFill="1" applyBorder="1" applyAlignment="1">
      <alignment horizontal="right"/>
    </xf>
    <xf numFmtId="3" fontId="24" fillId="0" borderId="0" xfId="11" applyNumberFormat="1" applyFont="1" applyFill="1" applyBorder="1" applyAlignment="1">
      <alignment horizontal="right"/>
    </xf>
    <xf numFmtId="3" fontId="24" fillId="0" borderId="0" xfId="24" applyNumberFormat="1" applyFont="1" applyFill="1" applyBorder="1" applyAlignment="1">
      <alignment horizontal="right"/>
    </xf>
    <xf numFmtId="164" fontId="3" fillId="0" borderId="0" xfId="0" applyNumberFormat="1" applyFont="1" applyFill="1" applyBorder="1" applyAlignment="1">
      <alignment horizontal="left" indent="3"/>
    </xf>
    <xf numFmtId="3" fontId="3" fillId="0" borderId="0" xfId="24" applyNumberFormat="1" applyFont="1" applyFill="1" applyBorder="1"/>
    <xf numFmtId="3" fontId="3" fillId="0" borderId="0" xfId="24" applyNumberFormat="1" applyFont="1" applyFill="1" applyBorder="1" applyAlignment="1">
      <alignment horizontal="left" indent="1"/>
    </xf>
    <xf numFmtId="3" fontId="3" fillId="0" borderId="0" xfId="24" applyNumberFormat="1" applyFont="1" applyFill="1" applyBorder="1" applyAlignment="1">
      <alignment horizontal="left" wrapText="1" indent="1"/>
    </xf>
    <xf numFmtId="3" fontId="3" fillId="0" borderId="0" xfId="24" applyNumberFormat="1" applyFont="1" applyFill="1" applyBorder="1" applyAlignment="1">
      <alignment wrapText="1"/>
    </xf>
    <xf numFmtId="3" fontId="3" fillId="0" borderId="2" xfId="11" applyNumberFormat="1" applyFont="1" applyFill="1" applyBorder="1" applyAlignment="1">
      <alignment horizontal="right"/>
    </xf>
    <xf numFmtId="165" fontId="4" fillId="0" borderId="0" xfId="24" applyNumberFormat="1" applyFont="1" applyFill="1" applyBorder="1"/>
    <xf numFmtId="165" fontId="4" fillId="0" borderId="2" xfId="24" applyNumberFormat="1" applyFont="1" applyFill="1" applyBorder="1" applyAlignment="1">
      <alignment horizontal="left" indent="1"/>
    </xf>
    <xf numFmtId="3" fontId="4" fillId="0" borderId="2" xfId="11" applyNumberFormat="1" applyFont="1" applyFill="1" applyBorder="1" applyAlignment="1">
      <alignment horizontal="right"/>
    </xf>
    <xf numFmtId="164" fontId="42" fillId="0" borderId="0" xfId="0" applyNumberFormat="1" applyFont="1" applyFill="1" applyBorder="1" applyAlignment="1">
      <alignment horizontal="left" indent="1"/>
    </xf>
    <xf numFmtId="3" fontId="3" fillId="0" borderId="2" xfId="0" applyNumberFormat="1" applyFont="1" applyFill="1" applyBorder="1" applyAlignment="1">
      <alignment horizontal="left" indent="1"/>
    </xf>
    <xf numFmtId="3" fontId="4" fillId="0" borderId="9" xfId="24" applyNumberFormat="1" applyFont="1" applyFill="1" applyBorder="1" applyAlignment="1">
      <alignment horizontal="left" wrapText="1" indent="1"/>
    </xf>
    <xf numFmtId="3" fontId="4" fillId="0" borderId="9" xfId="11" applyNumberFormat="1" applyFont="1" applyFill="1" applyBorder="1" applyAlignment="1">
      <alignment horizontal="right"/>
    </xf>
    <xf numFmtId="3" fontId="4" fillId="0" borderId="9" xfId="24" applyNumberFormat="1" applyFont="1" applyFill="1" applyBorder="1" applyAlignment="1">
      <alignment horizontal="right" wrapText="1"/>
    </xf>
    <xf numFmtId="3" fontId="4" fillId="0" borderId="2" xfId="24" applyNumberFormat="1" applyFont="1" applyFill="1" applyBorder="1" applyAlignment="1">
      <alignment horizontal="left" indent="1"/>
    </xf>
    <xf numFmtId="164" fontId="24" fillId="0" borderId="0" xfId="20" applyNumberFormat="1" applyFont="1" applyFill="1" applyBorder="1" applyAlignment="1">
      <alignment horizontal="right"/>
    </xf>
    <xf numFmtId="7" fontId="24" fillId="0" borderId="0" xfId="12" applyNumberFormat="1" applyFont="1" applyFill="1" applyBorder="1" applyAlignment="1">
      <alignment horizontal="right"/>
    </xf>
    <xf numFmtId="7" fontId="24" fillId="0" borderId="0" xfId="20" applyNumberFormat="1" applyFont="1" applyFill="1" applyBorder="1" applyAlignment="1">
      <alignment horizontal="right"/>
    </xf>
    <xf numFmtId="164" fontId="24" fillId="0" borderId="0" xfId="11" applyNumberFormat="1" applyFont="1" applyFill="1" applyBorder="1" applyAlignment="1">
      <alignment horizontal="right"/>
    </xf>
    <xf numFmtId="165" fontId="43" fillId="0" borderId="0" xfId="0" applyNumberFormat="1" applyFont="1" applyFill="1" applyBorder="1"/>
    <xf numFmtId="164" fontId="43" fillId="0" borderId="0" xfId="0" applyNumberFormat="1" applyFont="1" applyFill="1" applyBorder="1"/>
    <xf numFmtId="174" fontId="43" fillId="0" borderId="0" xfId="0" applyNumberFormat="1" applyFont="1" applyFill="1" applyBorder="1"/>
    <xf numFmtId="188" fontId="3" fillId="0" borderId="0" xfId="11" applyNumberFormat="1" applyFont="1" applyFill="1" applyBorder="1" applyAlignment="1">
      <alignment horizontal="right"/>
    </xf>
    <xf numFmtId="174" fontId="24" fillId="14" borderId="0" xfId="0" applyNumberFormat="1" applyFont="1" applyFill="1"/>
    <xf numFmtId="0" fontId="26" fillId="5" borderId="3" xfId="15" applyFont="1" applyFill="1" applyBorder="1"/>
    <xf numFmtId="0" fontId="4" fillId="5" borderId="3" xfId="15" applyFont="1" applyFill="1" applyBorder="1" applyAlignment="1">
      <alignment horizontal="center"/>
    </xf>
    <xf numFmtId="0" fontId="28" fillId="5" borderId="3" xfId="15" applyFont="1" applyFill="1" applyBorder="1"/>
    <xf numFmtId="0" fontId="28" fillId="5" borderId="0" xfId="15" applyFont="1" applyFill="1" applyAlignment="1">
      <alignment horizontal="center"/>
    </xf>
    <xf numFmtId="3" fontId="26" fillId="5" borderId="0" xfId="0" applyNumberFormat="1" applyFont="1" applyFill="1"/>
    <xf numFmtId="0" fontId="3" fillId="0" borderId="0" xfId="33"/>
    <xf numFmtId="0" fontId="3" fillId="15" borderId="11" xfId="33" applyFill="1" applyBorder="1" applyAlignment="1">
      <alignment horizontal="center"/>
    </xf>
    <xf numFmtId="0" fontId="44" fillId="0" borderId="0" xfId="15" applyFont="1"/>
    <xf numFmtId="0" fontId="44" fillId="16" borderId="16" xfId="15" applyFont="1" applyFill="1" applyBorder="1"/>
    <xf numFmtId="0" fontId="10" fillId="16" borderId="17" xfId="15" applyFont="1" applyFill="1" applyBorder="1"/>
    <xf numFmtId="0" fontId="10" fillId="16" borderId="19" xfId="15" applyFont="1" applyFill="1" applyBorder="1"/>
    <xf numFmtId="0" fontId="10" fillId="16" borderId="0" xfId="15" applyFont="1" applyFill="1" applyBorder="1"/>
    <xf numFmtId="0" fontId="10" fillId="16" borderId="4" xfId="15" applyFont="1" applyFill="1" applyBorder="1"/>
    <xf numFmtId="165" fontId="3" fillId="5" borderId="0" xfId="0" applyNumberFormat="1" applyFont="1" applyFill="1" applyBorder="1"/>
    <xf numFmtId="7" fontId="3" fillId="5" borderId="4" xfId="0" applyNumberFormat="1" applyFont="1" applyFill="1" applyBorder="1"/>
    <xf numFmtId="37" fontId="5" fillId="5" borderId="0" xfId="0" applyNumberFormat="1" applyFont="1" applyFill="1" applyBorder="1"/>
    <xf numFmtId="167" fontId="3" fillId="5" borderId="0" xfId="0" applyNumberFormat="1" applyFont="1" applyFill="1" applyBorder="1"/>
    <xf numFmtId="9" fontId="24" fillId="0" borderId="0" xfId="26" applyFont="1" applyFill="1" applyBorder="1"/>
    <xf numFmtId="9" fontId="40" fillId="16" borderId="0" xfId="26" applyFont="1" applyFill="1" applyBorder="1"/>
    <xf numFmtId="174" fontId="3" fillId="6" borderId="0" xfId="26" applyNumberFormat="1" applyFont="1" applyFill="1" applyBorder="1"/>
    <xf numFmtId="174" fontId="24" fillId="0" borderId="0" xfId="26" applyNumberFormat="1" applyFont="1" applyFill="1" applyBorder="1"/>
    <xf numFmtId="172" fontId="40" fillId="16" borderId="0" xfId="0" applyNumberFormat="1" applyFont="1" applyFill="1" applyBorder="1"/>
    <xf numFmtId="3" fontId="26" fillId="0" borderId="0" xfId="0" applyNumberFormat="1" applyFont="1" applyFill="1"/>
    <xf numFmtId="3" fontId="3" fillId="0" borderId="0" xfId="0" applyNumberFormat="1" applyFont="1" applyFill="1" applyBorder="1" applyAlignment="1">
      <alignment horizontal="left"/>
    </xf>
    <xf numFmtId="3" fontId="4" fillId="0" borderId="8" xfId="0" applyNumberFormat="1" applyFont="1" applyFill="1" applyBorder="1" applyAlignment="1">
      <alignment horizontal="right"/>
    </xf>
    <xf numFmtId="3" fontId="4" fillId="5" borderId="8" xfId="0" applyNumberFormat="1" applyFont="1" applyFill="1" applyBorder="1" applyAlignment="1">
      <alignment horizontal="right"/>
    </xf>
    <xf numFmtId="187" fontId="3" fillId="5" borderId="0" xfId="0" applyNumberFormat="1" applyFont="1" applyFill="1" applyBorder="1"/>
    <xf numFmtId="9" fontId="5" fillId="5" borderId="0" xfId="26" applyNumberFormat="1" applyFont="1" applyFill="1" applyBorder="1"/>
    <xf numFmtId="9" fontId="5" fillId="0" borderId="0" xfId="26" applyNumberFormat="1" applyFont="1" applyFill="1" applyBorder="1"/>
    <xf numFmtId="165" fontId="40" fillId="16" borderId="0" xfId="21" applyNumberFormat="1" applyFont="1" applyFill="1" applyBorder="1" applyAlignment="1">
      <alignment horizontal="right"/>
    </xf>
    <xf numFmtId="164" fontId="40" fillId="16" borderId="0" xfId="29" applyNumberFormat="1" applyFont="1" applyFill="1" applyBorder="1" applyAlignment="1">
      <alignment horizontal="right"/>
    </xf>
    <xf numFmtId="165" fontId="40" fillId="16" borderId="0" xfId="0" applyNumberFormat="1" applyFont="1" applyFill="1" applyBorder="1"/>
    <xf numFmtId="0" fontId="25" fillId="6" borderId="0" xfId="0" applyFont="1" applyFill="1" applyAlignment="1">
      <alignment horizontal="left" indent="1"/>
    </xf>
    <xf numFmtId="8" fontId="45" fillId="6" borderId="0" xfId="0" applyNumberFormat="1" applyFont="1" applyFill="1"/>
    <xf numFmtId="0" fontId="45" fillId="6" borderId="0" xfId="0" applyFont="1" applyFill="1"/>
    <xf numFmtId="4" fontId="25" fillId="6" borderId="0" xfId="0" applyNumberFormat="1" applyFont="1" applyFill="1" applyAlignment="1">
      <alignment horizontal="right"/>
    </xf>
    <xf numFmtId="4" fontId="45" fillId="6" borderId="0" xfId="0" applyNumberFormat="1" applyFont="1" applyFill="1"/>
    <xf numFmtId="0" fontId="0" fillId="6" borderId="0" xfId="0" applyFill="1"/>
    <xf numFmtId="37" fontId="4" fillId="6" borderId="0" xfId="0" applyNumberFormat="1" applyFont="1" applyFill="1" applyBorder="1"/>
    <xf numFmtId="189" fontId="4" fillId="0" borderId="0" xfId="0" applyNumberFormat="1" applyFont="1" applyFill="1" applyBorder="1" applyAlignment="1">
      <alignment horizontal="left" indent="1"/>
    </xf>
    <xf numFmtId="164" fontId="4" fillId="0" borderId="0" xfId="0" applyNumberFormat="1" applyFont="1" applyFill="1" applyBorder="1" applyAlignment="1">
      <alignment horizontal="left" indent="1"/>
    </xf>
    <xf numFmtId="0" fontId="38" fillId="0" borderId="0" xfId="0" applyFont="1" applyFill="1" applyBorder="1"/>
    <xf numFmtId="37" fontId="38" fillId="0" borderId="0" xfId="21" applyNumberFormat="1" applyFont="1" applyFill="1" applyBorder="1" applyAlignment="1">
      <alignment horizontal="right"/>
    </xf>
    <xf numFmtId="7" fontId="3" fillId="21" borderId="0" xfId="24" applyNumberFormat="1" applyFont="1" applyFill="1" applyBorder="1" applyAlignment="1">
      <alignment horizontal="right"/>
    </xf>
    <xf numFmtId="7" fontId="3" fillId="21" borderId="0" xfId="24" applyNumberFormat="1" applyFont="1" applyFill="1" applyBorder="1"/>
    <xf numFmtId="0" fontId="3" fillId="0" borderId="0" xfId="38"/>
    <xf numFmtId="164" fontId="4" fillId="16" borderId="0" xfId="0" applyNumberFormat="1" applyFont="1" applyFill="1" applyBorder="1" applyAlignment="1"/>
    <xf numFmtId="0" fontId="3" fillId="0" borderId="0" xfId="0" applyNumberFormat="1" applyFont="1" applyFill="1" applyBorder="1"/>
    <xf numFmtId="182" fontId="3" fillId="5" borderId="0" xfId="26" applyNumberFormat="1" applyFont="1" applyFill="1" applyBorder="1"/>
    <xf numFmtId="197" fontId="3" fillId="5" borderId="0" xfId="0" applyNumberFormat="1" applyFont="1" applyFill="1" applyBorder="1"/>
    <xf numFmtId="0" fontId="4" fillId="0" borderId="0" xfId="0" applyFont="1" applyFill="1" applyBorder="1" applyAlignment="1">
      <alignment horizontal="right"/>
    </xf>
    <xf numFmtId="3" fontId="31" fillId="0" borderId="0" xfId="0" applyNumberFormat="1" applyFont="1" applyFill="1" applyBorder="1"/>
    <xf numFmtId="170" fontId="34" fillId="0" borderId="0" xfId="24" applyNumberFormat="1" applyFont="1" applyFill="1" applyBorder="1" applyAlignment="1">
      <alignment horizontal="right"/>
    </xf>
    <xf numFmtId="165" fontId="35" fillId="0" borderId="0" xfId="11" applyNumberFormat="1" applyFont="1" applyFill="1" applyBorder="1" applyAlignment="1"/>
    <xf numFmtId="164" fontId="35" fillId="0" borderId="0" xfId="11" applyNumberFormat="1" applyFont="1" applyFill="1" applyBorder="1" applyAlignment="1"/>
    <xf numFmtId="164" fontId="35" fillId="0" borderId="0" xfId="24" applyNumberFormat="1" applyFont="1" applyFill="1" applyBorder="1" applyAlignment="1"/>
    <xf numFmtId="165" fontId="34" fillId="0" borderId="0" xfId="11" applyNumberFormat="1" applyFont="1" applyFill="1" applyBorder="1" applyAlignment="1"/>
    <xf numFmtId="38" fontId="35" fillId="0" borderId="0" xfId="11" applyNumberFormat="1" applyFont="1" applyFill="1" applyBorder="1" applyAlignment="1"/>
    <xf numFmtId="173" fontId="35" fillId="0" borderId="0" xfId="11" applyNumberFormat="1" applyFont="1" applyFill="1" applyBorder="1" applyAlignment="1"/>
    <xf numFmtId="3" fontId="35" fillId="0" borderId="0" xfId="11" applyNumberFormat="1" applyFont="1" applyFill="1" applyBorder="1" applyAlignment="1"/>
    <xf numFmtId="3" fontId="35" fillId="0" borderId="0" xfId="24" applyNumberFormat="1" applyFont="1" applyFill="1" applyBorder="1" applyAlignment="1">
      <alignment wrapText="1"/>
    </xf>
    <xf numFmtId="170" fontId="35" fillId="0" borderId="0" xfId="11" applyNumberFormat="1" applyFont="1" applyFill="1" applyBorder="1" applyAlignment="1"/>
    <xf numFmtId="165" fontId="35" fillId="0" borderId="0" xfId="24" applyNumberFormat="1" applyFont="1" applyFill="1" applyBorder="1" applyAlignment="1"/>
    <xf numFmtId="164" fontId="35" fillId="0" borderId="0" xfId="24" applyNumberFormat="1" applyFont="1" applyFill="1" applyBorder="1"/>
    <xf numFmtId="165" fontId="35" fillId="0" borderId="0" xfId="24" applyNumberFormat="1" applyFont="1" applyFill="1" applyBorder="1"/>
    <xf numFmtId="174" fontId="35" fillId="0" borderId="0" xfId="24" applyNumberFormat="1" applyFont="1" applyFill="1" applyBorder="1"/>
    <xf numFmtId="170" fontId="35" fillId="0" borderId="0" xfId="24" applyNumberFormat="1" applyFont="1" applyFill="1" applyBorder="1"/>
    <xf numFmtId="0" fontId="35" fillId="0" borderId="0" xfId="20" applyFont="1" applyFill="1" applyBorder="1"/>
    <xf numFmtId="9" fontId="35" fillId="0" borderId="0" xfId="26" applyNumberFormat="1" applyFont="1" applyFill="1" applyBorder="1"/>
    <xf numFmtId="164" fontId="35" fillId="0" borderId="0" xfId="20" applyNumberFormat="1" applyFont="1" applyFill="1" applyBorder="1" applyAlignment="1">
      <alignment horizontal="right"/>
    </xf>
    <xf numFmtId="164" fontId="35" fillId="0" borderId="0" xfId="12" applyNumberFormat="1" applyFont="1" applyFill="1" applyBorder="1"/>
    <xf numFmtId="174" fontId="35" fillId="0" borderId="0" xfId="20" applyNumberFormat="1" applyFont="1" applyFill="1" applyBorder="1"/>
    <xf numFmtId="7" fontId="35" fillId="0" borderId="0" xfId="20" applyNumberFormat="1" applyFont="1" applyFill="1" applyBorder="1"/>
    <xf numFmtId="164" fontId="35" fillId="0" borderId="0" xfId="20" applyNumberFormat="1" applyFont="1" applyFill="1" applyBorder="1"/>
    <xf numFmtId="7" fontId="35" fillId="0" borderId="0" xfId="26" applyNumberFormat="1" applyFont="1" applyFill="1" applyBorder="1"/>
    <xf numFmtId="0" fontId="35" fillId="0" borderId="0" xfId="24" applyFont="1" applyFill="1" applyBorder="1"/>
    <xf numFmtId="165" fontId="35" fillId="0" borderId="0" xfId="20" applyNumberFormat="1" applyFont="1" applyFill="1" applyBorder="1"/>
    <xf numFmtId="7" fontId="35" fillId="0" borderId="0" xfId="24" applyNumberFormat="1" applyFont="1" applyFill="1" applyBorder="1"/>
    <xf numFmtId="169" fontId="35" fillId="0" borderId="0" xfId="11" applyNumberFormat="1" applyFont="1" applyFill="1" applyBorder="1"/>
    <xf numFmtId="170" fontId="34" fillId="0" borderId="0" xfId="24" applyNumberFormat="1" applyFont="1" applyFill="1" applyBorder="1"/>
    <xf numFmtId="174" fontId="24" fillId="0" borderId="0" xfId="29" applyNumberFormat="1" applyFont="1" applyFill="1" applyBorder="1" applyAlignment="1">
      <alignment horizontal="right"/>
    </xf>
    <xf numFmtId="174" fontId="24" fillId="0" borderId="0" xfId="26" applyNumberFormat="1" applyFont="1" applyFill="1" applyBorder="1" applyAlignment="1">
      <alignment horizontal="right"/>
    </xf>
    <xf numFmtId="10" fontId="24" fillId="14" borderId="0" xfId="0" applyNumberFormat="1" applyFont="1" applyFill="1" applyBorder="1"/>
    <xf numFmtId="174" fontId="24" fillId="13" borderId="0" xfId="0" applyNumberFormat="1" applyFont="1" applyFill="1" applyBorder="1"/>
    <xf numFmtId="173" fontId="24" fillId="0" borderId="0" xfId="0" applyNumberFormat="1" applyFont="1" applyFill="1" applyBorder="1"/>
    <xf numFmtId="164" fontId="24" fillId="0" borderId="0" xfId="24" applyNumberFormat="1" applyFont="1" applyFill="1" applyBorder="1" applyAlignment="1">
      <alignment horizontal="right"/>
    </xf>
    <xf numFmtId="182" fontId="24" fillId="0" borderId="0" xfId="0" applyNumberFormat="1" applyFont="1" applyFill="1" applyBorder="1"/>
    <xf numFmtId="10" fontId="24" fillId="0" borderId="0" xfId="26" applyNumberFormat="1" applyFont="1" applyFill="1" applyBorder="1"/>
    <xf numFmtId="186" fontId="3" fillId="0" borderId="0" xfId="15" applyNumberFormat="1" applyFont="1"/>
    <xf numFmtId="2" fontId="3" fillId="14" borderId="0" xfId="17" applyNumberFormat="1" applyFont="1" applyFill="1" applyBorder="1"/>
    <xf numFmtId="174" fontId="3" fillId="14" borderId="0" xfId="0" applyNumberFormat="1" applyFont="1" applyFill="1"/>
    <xf numFmtId="9" fontId="4" fillId="5" borderId="0" xfId="48" applyFont="1" applyFill="1" applyBorder="1"/>
    <xf numFmtId="172" fontId="3" fillId="5" borderId="0" xfId="0" applyNumberFormat="1" applyFont="1" applyFill="1" applyBorder="1"/>
    <xf numFmtId="164" fontId="4" fillId="17" borderId="2" xfId="0" applyNumberFormat="1" applyFont="1" applyFill="1" applyBorder="1"/>
    <xf numFmtId="0" fontId="41" fillId="0" borderId="0" xfId="15" applyFont="1" applyAlignment="1">
      <alignment horizontal="left" indent="1"/>
    </xf>
    <xf numFmtId="0" fontId="26" fillId="0" borderId="4" xfId="15" applyFont="1" applyBorder="1"/>
    <xf numFmtId="186" fontId="26" fillId="0" borderId="4" xfId="15" applyNumberFormat="1" applyFont="1" applyBorder="1"/>
    <xf numFmtId="197" fontId="3" fillId="0" borderId="0" xfId="0" applyNumberFormat="1" applyFont="1" applyFill="1" applyBorder="1"/>
    <xf numFmtId="8" fontId="3" fillId="6" borderId="0" xfId="0" applyNumberFormat="1" applyFont="1" applyFill="1"/>
    <xf numFmtId="37" fontId="26" fillId="0" borderId="0" xfId="0" applyNumberFormat="1" applyFont="1"/>
    <xf numFmtId="37" fontId="3" fillId="5" borderId="3" xfId="0" applyNumberFormat="1" applyFont="1" applyFill="1" applyBorder="1"/>
    <xf numFmtId="3" fontId="4" fillId="5" borderId="3" xfId="0" applyNumberFormat="1" applyFont="1" applyFill="1" applyBorder="1" applyAlignment="1">
      <alignment vertical="center"/>
    </xf>
    <xf numFmtId="3" fontId="4" fillId="0" borderId="3" xfId="0" applyNumberFormat="1" applyFont="1" applyFill="1" applyBorder="1" applyAlignment="1">
      <alignment vertical="center"/>
    </xf>
    <xf numFmtId="3" fontId="3" fillId="5" borderId="3" xfId="0" applyNumberFormat="1" applyFont="1" applyFill="1" applyBorder="1"/>
    <xf numFmtId="3" fontId="3" fillId="0" borderId="3" xfId="0" applyNumberFormat="1" applyFont="1" applyFill="1" applyBorder="1" applyAlignment="1">
      <alignment horizontal="right"/>
    </xf>
    <xf numFmtId="3" fontId="24" fillId="5" borderId="0" xfId="26" applyNumberFormat="1" applyFont="1" applyFill="1" applyBorder="1"/>
    <xf numFmtId="174" fontId="26" fillId="14" borderId="0" xfId="0" applyNumberFormat="1" applyFont="1" applyFill="1"/>
    <xf numFmtId="174" fontId="36" fillId="14" borderId="0" xfId="0" applyNumberFormat="1" applyFont="1" applyFill="1"/>
    <xf numFmtId="174" fontId="24" fillId="14" borderId="0" xfId="26" applyNumberFormat="1" applyFont="1" applyFill="1" applyBorder="1"/>
    <xf numFmtId="9" fontId="3" fillId="14" borderId="0" xfId="26" applyNumberFormat="1" applyFont="1" applyFill="1" applyBorder="1"/>
    <xf numFmtId="0" fontId="38" fillId="0" borderId="0" xfId="0" applyFont="1"/>
    <xf numFmtId="0" fontId="38" fillId="0" borderId="0" xfId="0" applyFont="1" applyAlignment="1">
      <alignment horizontal="left" indent="1"/>
    </xf>
    <xf numFmtId="0" fontId="38" fillId="0" borderId="0" xfId="0" applyFont="1" applyAlignment="1">
      <alignment horizontal="center"/>
    </xf>
    <xf numFmtId="3" fontId="38" fillId="0" borderId="0" xfId="0" applyNumberFormat="1" applyFont="1"/>
    <xf numFmtId="1" fontId="24" fillId="14" borderId="0" xfId="0" applyNumberFormat="1" applyFont="1" applyFill="1"/>
    <xf numFmtId="164" fontId="4" fillId="0" borderId="0" xfId="20" applyNumberFormat="1" applyFont="1" applyFill="1" applyBorder="1"/>
    <xf numFmtId="39" fontId="3" fillId="5" borderId="0" xfId="0" applyNumberFormat="1" applyFont="1" applyFill="1" applyBorder="1"/>
    <xf numFmtId="39" fontId="24" fillId="5" borderId="0" xfId="0" applyNumberFormat="1" applyFont="1" applyFill="1" applyBorder="1"/>
    <xf numFmtId="7" fontId="24" fillId="0" borderId="0" xfId="24" applyNumberFormat="1" applyFont="1" applyFill="1" applyBorder="1" applyAlignment="1">
      <alignment horizontal="right"/>
    </xf>
    <xf numFmtId="37" fontId="24" fillId="0" borderId="0" xfId="21" applyNumberFormat="1" applyFont="1" applyFill="1" applyBorder="1" applyAlignment="1">
      <alignment horizontal="right"/>
    </xf>
    <xf numFmtId="9" fontId="31" fillId="5" borderId="0" xfId="26" applyFont="1" applyFill="1" applyBorder="1"/>
    <xf numFmtId="37" fontId="24" fillId="5" borderId="0" xfId="0" applyNumberFormat="1" applyFont="1" applyFill="1" applyBorder="1"/>
    <xf numFmtId="172" fontId="4" fillId="0" borderId="0" xfId="0" applyNumberFormat="1" applyFont="1" applyFill="1" applyBorder="1"/>
    <xf numFmtId="5" fontId="4" fillId="5" borderId="0" xfId="0" applyNumberFormat="1" applyFont="1" applyFill="1" applyBorder="1" applyAlignment="1">
      <alignment vertical="center"/>
    </xf>
    <xf numFmtId="1" fontId="5" fillId="5" borderId="0" xfId="26" applyNumberFormat="1" applyFont="1" applyFill="1" applyBorder="1"/>
    <xf numFmtId="4" fontId="25" fillId="6" borderId="0" xfId="0" applyNumberFormat="1" applyFont="1" applyFill="1"/>
    <xf numFmtId="3" fontId="3" fillId="21" borderId="0" xfId="0" applyNumberFormat="1" applyFont="1" applyFill="1" applyBorder="1" applyAlignment="1">
      <alignment horizontal="left" indent="1"/>
    </xf>
    <xf numFmtId="189" fontId="4" fillId="0" borderId="0" xfId="0" quotePrefix="1" applyNumberFormat="1" applyFont="1" applyFill="1" applyBorder="1" applyAlignment="1">
      <alignment horizontal="left" indent="1"/>
    </xf>
    <xf numFmtId="187" fontId="4" fillId="0" borderId="0" xfId="0" applyNumberFormat="1" applyFont="1" applyFill="1" applyBorder="1"/>
    <xf numFmtId="0" fontId="3" fillId="0" borderId="0" xfId="0" applyFont="1" applyFill="1" applyBorder="1"/>
    <xf numFmtId="9" fontId="3" fillId="0" borderId="0" xfId="0" applyNumberFormat="1" applyFont="1" applyFill="1" applyBorder="1"/>
    <xf numFmtId="164" fontId="3" fillId="0" borderId="0" xfId="0" applyNumberFormat="1" applyFont="1" applyFill="1" applyBorder="1"/>
    <xf numFmtId="37" fontId="3" fillId="0" borderId="0" xfId="0" applyNumberFormat="1" applyFont="1" applyFill="1" applyBorder="1"/>
    <xf numFmtId="7" fontId="3" fillId="0" borderId="0" xfId="0" applyNumberFormat="1" applyFont="1" applyFill="1" applyBorder="1"/>
    <xf numFmtId="174" fontId="3" fillId="0" borderId="0" xfId="0" applyNumberFormat="1" applyFont="1" applyFill="1" applyBorder="1"/>
    <xf numFmtId="172" fontId="3" fillId="0" borderId="0" xfId="0" applyNumberFormat="1" applyFont="1" applyFill="1" applyBorder="1"/>
    <xf numFmtId="3" fontId="3" fillId="0" borderId="0" xfId="0" applyNumberFormat="1" applyFont="1" applyFill="1" applyBorder="1"/>
    <xf numFmtId="174" fontId="3" fillId="0" borderId="0" xfId="0" applyNumberFormat="1" applyFont="1" applyFill="1" applyBorder="1" applyAlignment="1">
      <alignment horizontal="left" indent="2"/>
    </xf>
    <xf numFmtId="3" fontId="4" fillId="0" borderId="0" xfId="0" applyNumberFormat="1" applyFont="1" applyFill="1" applyBorder="1"/>
    <xf numFmtId="3" fontId="3" fillId="0" borderId="0" xfId="0" applyNumberFormat="1" applyFont="1" applyFill="1" applyBorder="1" applyAlignment="1">
      <alignment horizontal="left" indent="1"/>
    </xf>
    <xf numFmtId="4" fontId="3" fillId="0" borderId="0" xfId="0" applyNumberFormat="1" applyFont="1" applyFill="1" applyBorder="1"/>
    <xf numFmtId="189" fontId="4" fillId="0" borderId="2" xfId="0" applyNumberFormat="1" applyFont="1" applyFill="1" applyBorder="1" applyAlignment="1">
      <alignment horizontal="left" indent="1"/>
    </xf>
    <xf numFmtId="189" fontId="4" fillId="0" borderId="2" xfId="0" applyNumberFormat="1" applyFont="1" applyFill="1" applyBorder="1"/>
    <xf numFmtId="3" fontId="5" fillId="0" borderId="0" xfId="0" applyNumberFormat="1" applyFont="1" applyFill="1" applyBorder="1" applyAlignment="1">
      <alignment horizontal="left" indent="2"/>
    </xf>
    <xf numFmtId="3" fontId="5" fillId="0" borderId="0" xfId="0" applyNumberFormat="1" applyFont="1" applyFill="1" applyBorder="1"/>
    <xf numFmtId="4" fontId="3" fillId="0" borderId="0" xfId="0" applyNumberFormat="1" applyFont="1" applyFill="1" applyBorder="1" applyAlignment="1">
      <alignment horizontal="left" indent="1"/>
    </xf>
    <xf numFmtId="189" fontId="3" fillId="0" borderId="0" xfId="0" applyNumberFormat="1" applyFont="1" applyFill="1" applyBorder="1"/>
    <xf numFmtId="189" fontId="4" fillId="0" borderId="0" xfId="0" applyNumberFormat="1" applyFont="1" applyFill="1" applyBorder="1"/>
    <xf numFmtId="164" fontId="4" fillId="0" borderId="2" xfId="0" applyNumberFormat="1" applyFont="1" applyFill="1" applyBorder="1"/>
    <xf numFmtId="3" fontId="4" fillId="0" borderId="1" xfId="0" applyNumberFormat="1" applyFont="1" applyFill="1" applyBorder="1"/>
    <xf numFmtId="3" fontId="4" fillId="0" borderId="8" xfId="0" applyNumberFormat="1" applyFont="1" applyFill="1" applyBorder="1"/>
    <xf numFmtId="3" fontId="3" fillId="5" borderId="0" xfId="0" applyNumberFormat="1" applyFont="1" applyFill="1" applyBorder="1"/>
    <xf numFmtId="3" fontId="4" fillId="5" borderId="0" xfId="0" applyNumberFormat="1" applyFont="1" applyFill="1" applyBorder="1"/>
    <xf numFmtId="3" fontId="35" fillId="0" borderId="0" xfId="0" applyNumberFormat="1" applyFont="1" applyFill="1" applyBorder="1"/>
    <xf numFmtId="37" fontId="35" fillId="0" borderId="0" xfId="0" applyNumberFormat="1" applyFont="1" applyFill="1" applyBorder="1"/>
    <xf numFmtId="174" fontId="5" fillId="14" borderId="0" xfId="0" applyNumberFormat="1" applyFont="1" applyFill="1" applyBorder="1"/>
    <xf numFmtId="174" fontId="3" fillId="14" borderId="0" xfId="0" applyNumberFormat="1" applyFont="1" applyFill="1" applyBorder="1"/>
    <xf numFmtId="174" fontId="3" fillId="14" borderId="0" xfId="0" applyNumberFormat="1" applyFont="1" applyFill="1" applyBorder="1" applyAlignment="1">
      <alignment horizontal="left" indent="2"/>
    </xf>
    <xf numFmtId="174" fontId="24" fillId="14" borderId="0" xfId="0" applyNumberFormat="1" applyFont="1" applyFill="1" applyBorder="1"/>
    <xf numFmtId="174" fontId="24" fillId="0" borderId="0" xfId="0" applyNumberFormat="1" applyFont="1" applyFill="1" applyBorder="1"/>
    <xf numFmtId="174" fontId="40" fillId="16" borderId="0" xfId="0" applyNumberFormat="1" applyFont="1" applyFill="1" applyBorder="1"/>
    <xf numFmtId="0" fontId="3" fillId="16" borderId="0" xfId="0" applyFont="1" applyFill="1" applyBorder="1"/>
    <xf numFmtId="4" fontId="35" fillId="0" borderId="0" xfId="0" applyNumberFormat="1" applyFont="1" applyFill="1" applyBorder="1"/>
    <xf numFmtId="4" fontId="40" fillId="16" borderId="0" xfId="0" applyNumberFormat="1" applyFont="1" applyFill="1" applyBorder="1"/>
    <xf numFmtId="0" fontId="35" fillId="0" borderId="0" xfId="0" applyNumberFormat="1" applyFont="1" applyFill="1" applyBorder="1"/>
    <xf numFmtId="189" fontId="4" fillId="17" borderId="2" xfId="0" applyNumberFormat="1" applyFont="1" applyFill="1" applyBorder="1"/>
    <xf numFmtId="9" fontId="24" fillId="0" borderId="0" xfId="0" applyNumberFormat="1" applyFont="1" applyFill="1" applyBorder="1"/>
    <xf numFmtId="4" fontId="24" fillId="0" borderId="0" xfId="0" applyNumberFormat="1" applyFont="1" applyFill="1" applyBorder="1"/>
    <xf numFmtId="189" fontId="34" fillId="0" borderId="0" xfId="0" applyNumberFormat="1" applyFont="1" applyFill="1" applyBorder="1"/>
    <xf numFmtId="7" fontId="40" fillId="16" borderId="0" xfId="0" applyNumberFormat="1" applyFont="1" applyFill="1" applyBorder="1"/>
    <xf numFmtId="189" fontId="35" fillId="0" borderId="0" xfId="0" applyNumberFormat="1" applyFont="1" applyFill="1" applyBorder="1"/>
    <xf numFmtId="189" fontId="4" fillId="0" borderId="0" xfId="0" applyNumberFormat="1" applyFont="1" applyFill="1" applyBorder="1" applyAlignment="1">
      <alignment horizontal="left" indent="1"/>
    </xf>
    <xf numFmtId="164" fontId="4" fillId="16" borderId="0" xfId="0" applyNumberFormat="1" applyFont="1" applyFill="1" applyBorder="1" applyAlignment="1"/>
    <xf numFmtId="10" fontId="24" fillId="14" borderId="0" xfId="0" applyNumberFormat="1" applyFont="1" applyFill="1" applyBorder="1"/>
    <xf numFmtId="164" fontId="3" fillId="0" borderId="2" xfId="0" applyNumberFormat="1" applyFont="1" applyFill="1" applyBorder="1"/>
    <xf numFmtId="174" fontId="4" fillId="0" borderId="1" xfId="0" applyNumberFormat="1" applyFont="1" applyFill="1" applyBorder="1" applyAlignment="1">
      <alignment horizontal="left" indent="2"/>
    </xf>
    <xf numFmtId="174" fontId="48" fillId="14" borderId="0" xfId="0" applyNumberFormat="1" applyFont="1" applyFill="1" applyBorder="1"/>
    <xf numFmtId="174" fontId="49" fillId="14" borderId="0" xfId="0" applyNumberFormat="1" applyFont="1" applyFill="1" applyBorder="1"/>
    <xf numFmtId="0" fontId="49" fillId="0" borderId="0" xfId="0" applyFont="1" applyAlignment="1">
      <alignment horizontal="left" indent="2"/>
    </xf>
    <xf numFmtId="3" fontId="3" fillId="0" borderId="0" xfId="0" applyNumberFormat="1" applyFont="1"/>
    <xf numFmtId="9" fontId="3" fillId="0" borderId="0" xfId="0" applyNumberFormat="1" applyFont="1"/>
    <xf numFmtId="9" fontId="49" fillId="0" borderId="0" xfId="26" applyFont="1"/>
    <xf numFmtId="9" fontId="24" fillId="5" borderId="0" xfId="26" applyFont="1" applyFill="1" applyBorder="1"/>
    <xf numFmtId="9" fontId="4" fillId="20" borderId="1" xfId="26" applyFont="1" applyFill="1" applyBorder="1"/>
    <xf numFmtId="174" fontId="4" fillId="0" borderId="0" xfId="26" applyNumberFormat="1" applyFont="1" applyFill="1" applyBorder="1" applyAlignment="1">
      <alignment vertical="center"/>
    </xf>
    <xf numFmtId="174" fontId="5" fillId="5" borderId="0" xfId="26" applyNumberFormat="1" applyFont="1" applyFill="1" applyBorder="1"/>
    <xf numFmtId="3" fontId="24" fillId="0" borderId="2" xfId="11" applyNumberFormat="1" applyFont="1" applyFill="1" applyBorder="1" applyAlignment="1">
      <alignment horizontal="right"/>
    </xf>
    <xf numFmtId="174" fontId="43" fillId="13" borderId="0" xfId="26" applyNumberFormat="1" applyFont="1" applyFill="1" applyBorder="1" applyAlignment="1">
      <alignment horizontal="right"/>
    </xf>
    <xf numFmtId="174" fontId="43" fillId="13" borderId="0" xfId="29" applyNumberFormat="1" applyFont="1" applyFill="1" applyBorder="1" applyAlignment="1">
      <alignment horizontal="right"/>
    </xf>
    <xf numFmtId="37" fontId="38" fillId="0" borderId="0" xfId="0" applyNumberFormat="1" applyFont="1" applyFill="1" applyBorder="1"/>
    <xf numFmtId="0" fontId="0" fillId="0" borderId="0" xfId="0" applyAlignment="1">
      <alignment horizontal="center"/>
    </xf>
    <xf numFmtId="0" fontId="0" fillId="0" borderId="0" xfId="0" applyBorder="1"/>
    <xf numFmtId="0" fontId="0" fillId="0" borderId="3" xfId="0" applyBorder="1"/>
    <xf numFmtId="3" fontId="0" fillId="0" borderId="0" xfId="0" applyNumberFormat="1" applyBorder="1"/>
    <xf numFmtId="9" fontId="0" fillId="0" borderId="0" xfId="0" applyNumberFormat="1"/>
    <xf numFmtId="1" fontId="0" fillId="0" borderId="0" xfId="0" applyNumberFormat="1" applyBorder="1"/>
    <xf numFmtId="0" fontId="51" fillId="22" borderId="0" xfId="14" applyFont="1" applyFill="1"/>
    <xf numFmtId="0" fontId="52" fillId="18" borderId="0" xfId="14" applyFont="1" applyFill="1"/>
    <xf numFmtId="0" fontId="52" fillId="5" borderId="1" xfId="14" applyFont="1" applyFill="1" applyBorder="1"/>
    <xf numFmtId="0" fontId="51" fillId="5" borderId="1" xfId="14" applyFont="1" applyFill="1" applyBorder="1"/>
    <xf numFmtId="0" fontId="51" fillId="5" borderId="0" xfId="14" applyFont="1" applyFill="1" applyBorder="1"/>
    <xf numFmtId="3" fontId="51" fillId="22" borderId="0" xfId="14" applyNumberFormat="1" applyFont="1" applyFill="1"/>
    <xf numFmtId="3" fontId="53" fillId="22" borderId="0" xfId="14" applyNumberFormat="1" applyFont="1" applyFill="1"/>
    <xf numFmtId="3" fontId="54" fillId="22" borderId="0" xfId="14" applyNumberFormat="1" applyFont="1" applyFill="1"/>
    <xf numFmtId="0" fontId="51" fillId="22" borderId="0" xfId="14" applyFont="1" applyFill="1" applyAlignment="1">
      <alignment horizontal="left" indent="2"/>
    </xf>
    <xf numFmtId="9" fontId="51" fillId="22" borderId="0" xfId="14" applyNumberFormat="1" applyFont="1" applyFill="1"/>
    <xf numFmtId="9" fontId="51" fillId="22" borderId="0" xfId="27" applyFont="1" applyFill="1"/>
    <xf numFmtId="3" fontId="55" fillId="22" borderId="0" xfId="14" applyNumberFormat="1" applyFont="1" applyFill="1"/>
    <xf numFmtId="0" fontId="51" fillId="22" borderId="0" xfId="14" applyFont="1" applyFill="1" applyAlignment="1">
      <alignment horizontal="left" indent="1"/>
    </xf>
    <xf numFmtId="0" fontId="51" fillId="13" borderId="0" xfId="14" applyFont="1" applyFill="1" applyAlignment="1">
      <alignment horizontal="left" indent="2"/>
    </xf>
    <xf numFmtId="9" fontId="51" fillId="13" borderId="0" xfId="14" applyNumberFormat="1" applyFont="1" applyFill="1"/>
    <xf numFmtId="1" fontId="51" fillId="13" borderId="0" xfId="14" applyNumberFormat="1" applyFont="1" applyFill="1"/>
    <xf numFmtId="0" fontId="51" fillId="13" borderId="0" xfId="14" applyFont="1" applyFill="1" applyAlignment="1">
      <alignment horizontal="left"/>
    </xf>
    <xf numFmtId="3" fontId="56" fillId="13" borderId="0" xfId="14" applyNumberFormat="1" applyFont="1" applyFill="1"/>
    <xf numFmtId="9" fontId="53" fillId="22" borderId="0" xfId="14" applyNumberFormat="1" applyFont="1" applyFill="1"/>
    <xf numFmtId="9" fontId="54" fillId="22" borderId="0" xfId="14" applyNumberFormat="1" applyFont="1" applyFill="1"/>
    <xf numFmtId="0" fontId="51" fillId="13" borderId="0" xfId="14" applyFont="1" applyFill="1" applyAlignment="1">
      <alignment horizontal="left" indent="3"/>
    </xf>
    <xf numFmtId="0" fontId="51" fillId="13" borderId="0" xfId="14" applyFont="1" applyFill="1"/>
    <xf numFmtId="9" fontId="51" fillId="13" borderId="0" xfId="27" applyFont="1" applyFill="1"/>
    <xf numFmtId="0" fontId="53" fillId="22" borderId="0" xfId="14" applyFont="1" applyFill="1"/>
    <xf numFmtId="0" fontId="22" fillId="22" borderId="0" xfId="15" applyFill="1" applyAlignment="1">
      <alignment horizontal="left" indent="1"/>
    </xf>
    <xf numFmtId="186" fontId="53" fillId="22" borderId="0" xfId="14" applyNumberFormat="1" applyFont="1" applyFill="1"/>
    <xf numFmtId="186" fontId="54" fillId="22" borderId="0" xfId="14" applyNumberFormat="1" applyFont="1" applyFill="1"/>
    <xf numFmtId="0" fontId="57" fillId="22" borderId="0" xfId="14" applyFont="1" applyFill="1" applyAlignment="1">
      <alignment horizontal="left" indent="2"/>
    </xf>
    <xf numFmtId="0" fontId="57" fillId="22" borderId="0" xfId="14" applyFont="1" applyFill="1"/>
    <xf numFmtId="9" fontId="58" fillId="22" borderId="0" xfId="14" applyNumberFormat="1" applyFont="1" applyFill="1"/>
    <xf numFmtId="9" fontId="57" fillId="22" borderId="0" xfId="14" applyNumberFormat="1" applyFont="1" applyFill="1"/>
    <xf numFmtId="174" fontId="57" fillId="22" borderId="0" xfId="14" applyNumberFormat="1" applyFont="1" applyFill="1"/>
    <xf numFmtId="0" fontId="52" fillId="22" borderId="20" xfId="14" applyFont="1" applyFill="1" applyBorder="1" applyAlignment="1">
      <alignment horizontal="left" indent="1"/>
    </xf>
    <xf numFmtId="0" fontId="52" fillId="22" borderId="20" xfId="14" applyFont="1" applyFill="1" applyBorder="1"/>
    <xf numFmtId="189" fontId="52" fillId="22" borderId="20" xfId="14" applyNumberFormat="1" applyFont="1" applyFill="1" applyBorder="1"/>
    <xf numFmtId="186" fontId="52" fillId="22" borderId="20" xfId="14" applyNumberFormat="1" applyFont="1" applyFill="1" applyBorder="1"/>
    <xf numFmtId="9" fontId="51" fillId="22" borderId="0" xfId="26" applyFont="1" applyFill="1"/>
    <xf numFmtId="0" fontId="59" fillId="13" borderId="0" xfId="14" applyFont="1" applyFill="1"/>
    <xf numFmtId="0" fontId="54" fillId="22" borderId="0" xfId="14" applyFont="1" applyFill="1"/>
    <xf numFmtId="9" fontId="60" fillId="22" borderId="0" xfId="14" applyNumberFormat="1" applyFont="1" applyFill="1"/>
    <xf numFmtId="43" fontId="51" fillId="22" borderId="0" xfId="11" applyFont="1" applyFill="1"/>
    <xf numFmtId="0" fontId="59" fillId="13" borderId="0" xfId="14" applyFont="1" applyFill="1" applyAlignment="1">
      <alignment horizontal="center"/>
    </xf>
    <xf numFmtId="3" fontId="51" fillId="13" borderId="0" xfId="14" applyNumberFormat="1" applyFont="1" applyFill="1"/>
    <xf numFmtId="186" fontId="51" fillId="22" borderId="0" xfId="14" applyNumberFormat="1" applyFont="1" applyFill="1"/>
    <xf numFmtId="0" fontId="52" fillId="18" borderId="16" xfId="14" applyFont="1" applyFill="1" applyBorder="1"/>
    <xf numFmtId="6" fontId="61" fillId="18" borderId="15" xfId="14" applyNumberFormat="1" applyFont="1" applyFill="1" applyBorder="1"/>
    <xf numFmtId="6" fontId="62" fillId="7" borderId="17" xfId="14" applyNumberFormat="1" applyFont="1" applyFill="1" applyBorder="1"/>
    <xf numFmtId="0" fontId="52" fillId="18" borderId="17" xfId="14" applyFont="1" applyFill="1" applyBorder="1"/>
    <xf numFmtId="174" fontId="61" fillId="18" borderId="18" xfId="14" applyNumberFormat="1" applyFont="1" applyFill="1" applyBorder="1"/>
    <xf numFmtId="0" fontId="63" fillId="7" borderId="17" xfId="14" applyFont="1" applyFill="1" applyBorder="1"/>
    <xf numFmtId="9" fontId="61" fillId="18" borderId="18" xfId="14" applyNumberFormat="1" applyFont="1" applyFill="1" applyBorder="1"/>
    <xf numFmtId="0" fontId="52" fillId="18" borderId="19" xfId="14" applyFont="1" applyFill="1" applyBorder="1"/>
    <xf numFmtId="0" fontId="61" fillId="18" borderId="14" xfId="14" applyFont="1" applyFill="1" applyBorder="1"/>
    <xf numFmtId="0" fontId="62" fillId="7" borderId="17" xfId="14" applyFont="1" applyFill="1" applyBorder="1"/>
    <xf numFmtId="0" fontId="63" fillId="7" borderId="0" xfId="14" applyFont="1" applyFill="1"/>
    <xf numFmtId="0" fontId="62" fillId="25" borderId="0" xfId="14" applyFont="1" applyFill="1" applyAlignment="1">
      <alignment horizontal="center"/>
    </xf>
    <xf numFmtId="0" fontId="52" fillId="20" borderId="0" xfId="14" applyFont="1" applyFill="1" applyAlignment="1">
      <alignment horizontal="center"/>
    </xf>
    <xf numFmtId="3" fontId="63" fillId="22" borderId="0" xfId="14" applyNumberFormat="1" applyFont="1" applyFill="1"/>
    <xf numFmtId="0" fontId="52" fillId="24" borderId="0" xfId="14" applyFont="1" applyFill="1"/>
    <xf numFmtId="0" fontId="51" fillId="22" borderId="0" xfId="14" applyFont="1" applyFill="1" applyAlignment="1">
      <alignment horizontal="left"/>
    </xf>
    <xf numFmtId="0" fontId="54" fillId="22" borderId="0" xfId="14" applyFont="1" applyFill="1" applyAlignment="1">
      <alignment horizontal="center"/>
    </xf>
    <xf numFmtId="0" fontId="54" fillId="22" borderId="0" xfId="14" applyFont="1" applyFill="1" applyAlignment="1">
      <alignment horizontal="left" indent="2"/>
    </xf>
    <xf numFmtId="9" fontId="54" fillId="22" borderId="0" xfId="27" applyFont="1" applyFill="1"/>
    <xf numFmtId="0" fontId="57" fillId="22" borderId="0" xfId="14" applyFont="1" applyFill="1" applyAlignment="1">
      <alignment horizontal="left" indent="1"/>
    </xf>
    <xf numFmtId="0" fontId="64" fillId="0" borderId="0" xfId="38" applyFont="1"/>
    <xf numFmtId="0" fontId="65" fillId="0" borderId="5" xfId="38" applyFont="1" applyBorder="1" applyAlignment="1">
      <alignment horizontal="center"/>
    </xf>
    <xf numFmtId="0" fontId="65" fillId="0" borderId="0" xfId="38" applyFont="1"/>
    <xf numFmtId="0" fontId="66" fillId="23" borderId="0" xfId="38" applyFont="1" applyFill="1"/>
    <xf numFmtId="199" fontId="66" fillId="23" borderId="0" xfId="38" applyNumberFormat="1" applyFont="1" applyFill="1" applyAlignment="1">
      <alignment horizontal="right"/>
    </xf>
    <xf numFmtId="200" fontId="66" fillId="23" borderId="0" xfId="38" applyNumberFormat="1" applyFont="1" applyFill="1" applyAlignment="1">
      <alignment horizontal="right"/>
    </xf>
    <xf numFmtId="0" fontId="65" fillId="0" borderId="0" xfId="38" applyNumberFormat="1" applyFont="1" applyAlignment="1">
      <alignment horizontal="left" indent="1"/>
    </xf>
    <xf numFmtId="9" fontId="64" fillId="0" borderId="0" xfId="38" applyNumberFormat="1" applyFont="1"/>
    <xf numFmtId="0" fontId="64" fillId="0" borderId="0" xfId="38" applyNumberFormat="1" applyFont="1" applyAlignment="1">
      <alignment horizontal="left" indent="2"/>
    </xf>
    <xf numFmtId="9" fontId="67" fillId="0" borderId="0" xfId="38" applyNumberFormat="1" applyFont="1"/>
    <xf numFmtId="9" fontId="68" fillId="0" borderId="0" xfId="38" applyNumberFormat="1" applyFont="1"/>
    <xf numFmtId="0" fontId="64" fillId="0" borderId="0" xfId="38" applyFont="1" applyBorder="1"/>
    <xf numFmtId="3" fontId="64" fillId="0" borderId="0" xfId="38" applyNumberFormat="1" applyFont="1" applyBorder="1"/>
    <xf numFmtId="0" fontId="64" fillId="0" borderId="0" xfId="38" applyFont="1" applyBorder="1" applyAlignment="1">
      <alignment horizontal="left" indent="1"/>
    </xf>
    <xf numFmtId="9" fontId="64" fillId="0" borderId="0" xfId="38" applyNumberFormat="1" applyFont="1" applyBorder="1"/>
    <xf numFmtId="9" fontId="64" fillId="0" borderId="0" xfId="27" applyFont="1" applyBorder="1"/>
    <xf numFmtId="186" fontId="68" fillId="0" borderId="0" xfId="38" applyNumberFormat="1" applyFont="1"/>
    <xf numFmtId="186" fontId="67" fillId="0" borderId="0" xfId="38" applyNumberFormat="1" applyFont="1"/>
    <xf numFmtId="0" fontId="64" fillId="0" borderId="0" xfId="38" applyFont="1" applyAlignment="1">
      <alignment horizontal="left" indent="1"/>
    </xf>
    <xf numFmtId="9" fontId="67" fillId="0" borderId="0" xfId="38" applyNumberFormat="1" applyFont="1" applyAlignment="1">
      <alignment horizontal="right"/>
    </xf>
    <xf numFmtId="9" fontId="69" fillId="0" borderId="0" xfId="38" applyNumberFormat="1" applyFont="1"/>
    <xf numFmtId="0" fontId="64" fillId="0" borderId="3" xfId="38" applyFont="1" applyBorder="1"/>
    <xf numFmtId="186" fontId="64" fillId="0" borderId="3" xfId="38" applyNumberFormat="1" applyFont="1" applyBorder="1"/>
    <xf numFmtId="0" fontId="65" fillId="16" borderId="6" xfId="38" applyFont="1" applyFill="1" applyBorder="1"/>
    <xf numFmtId="186" fontId="65" fillId="16" borderId="6" xfId="38" applyNumberFormat="1" applyFont="1" applyFill="1" applyBorder="1"/>
    <xf numFmtId="0" fontId="3" fillId="0" borderId="5" xfId="38" applyBorder="1" applyAlignment="1">
      <alignment horizontal="center"/>
    </xf>
    <xf numFmtId="0" fontId="51" fillId="4" borderId="0" xfId="14" applyFont="1" applyFill="1" applyAlignment="1">
      <alignment horizontal="left" indent="1"/>
    </xf>
    <xf numFmtId="0" fontId="64" fillId="4" borderId="0" xfId="38" applyFont="1" applyFill="1" applyBorder="1"/>
    <xf numFmtId="9" fontId="64" fillId="4" borderId="0" xfId="27" applyFont="1" applyFill="1" applyBorder="1"/>
    <xf numFmtId="0" fontId="64" fillId="0" borderId="0" xfId="38" applyFont="1" applyBorder="1" applyAlignment="1">
      <alignment horizontal="left"/>
    </xf>
    <xf numFmtId="0" fontId="64" fillId="4" borderId="0" xfId="38" applyFont="1" applyFill="1" applyBorder="1" applyAlignment="1">
      <alignment horizontal="left"/>
    </xf>
    <xf numFmtId="9" fontId="51" fillId="4" borderId="0" xfId="14" applyNumberFormat="1" applyFont="1" applyFill="1" applyAlignment="1">
      <alignment horizontal="left" indent="1"/>
    </xf>
    <xf numFmtId="9" fontId="51" fillId="4" borderId="0" xfId="14" applyNumberFormat="1" applyFont="1" applyFill="1" applyAlignment="1">
      <alignment horizontal="right" indent="1"/>
    </xf>
    <xf numFmtId="9" fontId="54" fillId="22" borderId="0" xfId="14" applyNumberFormat="1" applyFont="1" applyFill="1" applyAlignment="1">
      <alignment horizontal="right"/>
    </xf>
    <xf numFmtId="9" fontId="51" fillId="22" borderId="0" xfId="27" applyFont="1" applyFill="1" applyAlignment="1">
      <alignment horizontal="right"/>
    </xf>
    <xf numFmtId="0" fontId="51" fillId="4" borderId="0" xfId="14" applyFont="1" applyFill="1" applyAlignment="1">
      <alignment horizontal="left" indent="3"/>
    </xf>
    <xf numFmtId="0" fontId="51" fillId="4" borderId="0" xfId="14" applyFont="1" applyFill="1"/>
    <xf numFmtId="9" fontId="51" fillId="4" borderId="0" xfId="27" applyFont="1" applyFill="1"/>
    <xf numFmtId="0" fontId="0" fillId="0" borderId="2" xfId="0" applyBorder="1"/>
    <xf numFmtId="0" fontId="0" fillId="0" borderId="0" xfId="0"/>
    <xf numFmtId="0" fontId="0" fillId="0" borderId="21" xfId="0" applyBorder="1"/>
    <xf numFmtId="0" fontId="0" fillId="0" borderId="22" xfId="0" applyBorder="1"/>
    <xf numFmtId="0" fontId="0" fillId="0" borderId="23" xfId="0" applyBorder="1"/>
    <xf numFmtId="0" fontId="0" fillId="0" borderId="1" xfId="0" applyBorder="1"/>
    <xf numFmtId="9" fontId="0" fillId="0" borderId="3" xfId="0" applyNumberFormat="1" applyBorder="1"/>
    <xf numFmtId="0" fontId="70" fillId="0" borderId="0" xfId="0" applyFont="1"/>
    <xf numFmtId="3" fontId="0" fillId="0" borderId="0" xfId="0" applyNumberFormat="1"/>
    <xf numFmtId="186" fontId="70" fillId="0" borderId="0" xfId="0" applyNumberFormat="1" applyFont="1" applyBorder="1"/>
    <xf numFmtId="0" fontId="4" fillId="22" borderId="0" xfId="0" applyFont="1" applyFill="1"/>
    <xf numFmtId="0" fontId="0" fillId="22" borderId="0" xfId="0" applyFill="1"/>
    <xf numFmtId="0" fontId="0" fillId="18" borderId="4" xfId="0" applyFill="1" applyBorder="1" applyAlignment="1">
      <alignment horizontal="right"/>
    </xf>
    <xf numFmtId="0" fontId="4" fillId="18" borderId="4" xfId="0" applyFont="1" applyFill="1" applyBorder="1" applyAlignment="1">
      <alignment horizontal="right"/>
    </xf>
    <xf numFmtId="0" fontId="4" fillId="28" borderId="0" xfId="0" applyFont="1" applyFill="1"/>
    <xf numFmtId="0" fontId="3" fillId="22" borderId="0" xfId="0" applyFont="1" applyFill="1"/>
    <xf numFmtId="3" fontId="0" fillId="22" borderId="0" xfId="0" applyNumberFormat="1" applyFill="1"/>
    <xf numFmtId="174" fontId="71" fillId="22" borderId="0" xfId="0" applyNumberFormat="1" applyFont="1" applyFill="1"/>
    <xf numFmtId="3" fontId="3" fillId="22" borderId="0" xfId="0" applyNumberFormat="1" applyFont="1" applyFill="1"/>
    <xf numFmtId="9" fontId="0" fillId="22" borderId="0" xfId="0" applyNumberFormat="1" applyFill="1"/>
    <xf numFmtId="0" fontId="4" fillId="28" borderId="1" xfId="0" applyFont="1" applyFill="1" applyBorder="1"/>
    <xf numFmtId="0" fontId="0" fillId="28" borderId="1" xfId="0" applyFill="1" applyBorder="1"/>
    <xf numFmtId="9" fontId="0" fillId="29" borderId="0" xfId="0" applyNumberFormat="1" applyFill="1"/>
    <xf numFmtId="0" fontId="72" fillId="29" borderId="0" xfId="0" applyFont="1" applyFill="1" applyAlignment="1">
      <alignment horizontal="center"/>
    </xf>
    <xf numFmtId="9" fontId="72" fillId="29" borderId="0" xfId="0" applyNumberFormat="1" applyFont="1" applyFill="1"/>
    <xf numFmtId="186" fontId="3" fillId="22" borderId="0" xfId="0" applyNumberFormat="1" applyFont="1" applyFill="1"/>
    <xf numFmtId="186" fontId="0" fillId="22" borderId="0" xfId="0" applyNumberFormat="1" applyFill="1"/>
    <xf numFmtId="186" fontId="24" fillId="22" borderId="0" xfId="0" applyNumberFormat="1" applyFont="1" applyFill="1"/>
    <xf numFmtId="0" fontId="5" fillId="22" borderId="0" xfId="0" applyFont="1" applyFill="1"/>
    <xf numFmtId="9" fontId="5" fillId="22" borderId="0" xfId="0" applyNumberFormat="1" applyFont="1" applyFill="1"/>
    <xf numFmtId="9" fontId="33" fillId="22" borderId="0" xfId="0" applyNumberFormat="1" applyFont="1" applyFill="1"/>
    <xf numFmtId="9" fontId="73" fillId="22" borderId="0" xfId="0" applyNumberFormat="1" applyFont="1" applyFill="1"/>
    <xf numFmtId="0" fontId="4" fillId="30" borderId="9" xfId="0" applyFont="1" applyFill="1" applyBorder="1"/>
    <xf numFmtId="165" fontId="4" fillId="30" borderId="9" xfId="0" applyNumberFormat="1" applyFont="1" applyFill="1" applyBorder="1"/>
    <xf numFmtId="7" fontId="0" fillId="22" borderId="0" xfId="0" applyNumberFormat="1" applyFill="1"/>
    <xf numFmtId="9" fontId="3" fillId="22" borderId="0" xfId="0" applyNumberFormat="1" applyFont="1" applyFill="1"/>
    <xf numFmtId="201" fontId="50" fillId="11" borderId="24" xfId="0" applyNumberFormat="1" applyFont="1" applyFill="1" applyBorder="1"/>
    <xf numFmtId="201" fontId="50" fillId="11" borderId="2" xfId="0" applyNumberFormat="1" applyFont="1" applyFill="1" applyBorder="1"/>
    <xf numFmtId="0" fontId="50" fillId="22" borderId="8" xfId="0" applyFont="1" applyFill="1" applyBorder="1"/>
    <xf numFmtId="186" fontId="50" fillId="22" borderId="8" xfId="0" applyNumberFormat="1" applyFont="1" applyFill="1" applyBorder="1"/>
    <xf numFmtId="0" fontId="50" fillId="0" borderId="0" xfId="0" applyFont="1" applyAlignment="1">
      <alignment horizontal="right"/>
    </xf>
    <xf numFmtId="0" fontId="50" fillId="11" borderId="5" xfId="0" applyFont="1" applyFill="1" applyBorder="1" applyAlignment="1">
      <alignment horizontal="center"/>
    </xf>
    <xf numFmtId="5" fontId="74" fillId="0" borderId="0" xfId="12" applyNumberFormat="1" applyFont="1"/>
    <xf numFmtId="0" fontId="35" fillId="31" borderId="2" xfId="38" applyFont="1" applyFill="1" applyBorder="1"/>
    <xf numFmtId="0" fontId="75" fillId="31" borderId="2" xfId="49" applyFont="1" applyFill="1" applyBorder="1" applyAlignment="1">
      <alignment horizontal="center"/>
    </xf>
    <xf numFmtId="0" fontId="75" fillId="31" borderId="2" xfId="49" applyFont="1" applyFill="1" applyBorder="1"/>
    <xf numFmtId="0" fontId="76" fillId="31" borderId="2" xfId="49" applyFont="1" applyFill="1" applyBorder="1" applyAlignment="1">
      <alignment horizontal="center"/>
    </xf>
    <xf numFmtId="0" fontId="4" fillId="0" borderId="1" xfId="38" applyFont="1" applyBorder="1"/>
    <xf numFmtId="0" fontId="0" fillId="0" borderId="0" xfId="0" applyAlignment="1">
      <alignment horizontal="right"/>
    </xf>
    <xf numFmtId="0" fontId="4" fillId="0" borderId="0" xfId="38" applyFont="1" applyBorder="1" applyAlignment="1">
      <alignment horizontal="left" indent="1"/>
    </xf>
    <xf numFmtId="0" fontId="3" fillId="0" borderId="0" xfId="38" applyFont="1" applyFill="1" applyBorder="1" applyAlignment="1">
      <alignment horizontal="left" indent="2"/>
    </xf>
    <xf numFmtId="174" fontId="0" fillId="0" borderId="0" xfId="0" applyNumberFormat="1"/>
    <xf numFmtId="0" fontId="3" fillId="0" borderId="0" xfId="38" applyFont="1" applyBorder="1" applyAlignment="1">
      <alignment horizontal="left" indent="2"/>
    </xf>
    <xf numFmtId="9" fontId="70" fillId="0" borderId="0" xfId="0" applyNumberFormat="1" applyFont="1"/>
    <xf numFmtId="174" fontId="70" fillId="0" borderId="0" xfId="0" applyNumberFormat="1" applyFont="1"/>
    <xf numFmtId="0" fontId="3" fillId="0" borderId="3" xfId="38" applyFont="1" applyFill="1" applyBorder="1" applyAlignment="1">
      <alignment horizontal="left" indent="2"/>
    </xf>
    <xf numFmtId="0" fontId="0" fillId="0" borderId="3" xfId="0" applyBorder="1" applyAlignment="1">
      <alignment horizontal="right"/>
    </xf>
    <xf numFmtId="174" fontId="0" fillId="0" borderId="3" xfId="0" applyNumberFormat="1" applyBorder="1"/>
    <xf numFmtId="0" fontId="3" fillId="0" borderId="2" xfId="38" applyFont="1" applyFill="1" applyBorder="1" applyAlignment="1">
      <alignment horizontal="left" indent="2"/>
    </xf>
    <xf numFmtId="0" fontId="0" fillId="0" borderId="2" xfId="0" applyBorder="1" applyAlignment="1">
      <alignment horizontal="right"/>
    </xf>
    <xf numFmtId="9" fontId="0" fillId="0" borderId="2" xfId="0" applyNumberFormat="1" applyBorder="1"/>
    <xf numFmtId="174" fontId="0" fillId="0" borderId="2" xfId="0" applyNumberFormat="1" applyBorder="1"/>
    <xf numFmtId="0" fontId="4" fillId="0" borderId="0" xfId="38" applyFont="1" applyBorder="1"/>
    <xf numFmtId="0" fontId="0" fillId="0" borderId="0" xfId="0" applyAlignment="1">
      <alignment horizontal="left"/>
    </xf>
    <xf numFmtId="182" fontId="0" fillId="0" borderId="0" xfId="0" applyNumberFormat="1"/>
    <xf numFmtId="174" fontId="77" fillId="0" borderId="0" xfId="26" applyNumberFormat="1" applyFont="1"/>
    <xf numFmtId="174" fontId="77" fillId="0" borderId="0" xfId="26" applyNumberFormat="1" applyFont="1" applyAlignment="1">
      <alignment horizontal="left"/>
    </xf>
    <xf numFmtId="174" fontId="78" fillId="0" borderId="0" xfId="26" applyNumberFormat="1" applyFont="1"/>
    <xf numFmtId="1" fontId="0" fillId="0" borderId="0" xfId="0" applyNumberFormat="1" applyAlignment="1">
      <alignment horizontal="right"/>
    </xf>
    <xf numFmtId="1" fontId="0" fillId="0" borderId="0" xfId="0" applyNumberFormat="1"/>
    <xf numFmtId="0" fontId="0" fillId="0" borderId="3" xfId="0" applyBorder="1" applyAlignment="1">
      <alignment horizontal="left"/>
    </xf>
    <xf numFmtId="1" fontId="0" fillId="0" borderId="3" xfId="0" applyNumberFormat="1" applyBorder="1"/>
    <xf numFmtId="0" fontId="79" fillId="0" borderId="0" xfId="0" applyFont="1" applyFill="1" applyBorder="1" applyAlignment="1">
      <alignment horizontal="left"/>
    </xf>
    <xf numFmtId="1" fontId="0" fillId="0" borderId="1" xfId="0" applyNumberFormat="1" applyBorder="1"/>
    <xf numFmtId="0" fontId="50" fillId="0" borderId="3" xfId="0" applyFont="1" applyBorder="1"/>
    <xf numFmtId="1" fontId="50" fillId="0" borderId="3" xfId="0" applyNumberFormat="1" applyFont="1" applyBorder="1"/>
    <xf numFmtId="9" fontId="22" fillId="0" borderId="0" xfId="26" applyFont="1"/>
    <xf numFmtId="0" fontId="3" fillId="0" borderId="1" xfId="38" applyFont="1" applyFill="1" applyBorder="1"/>
    <xf numFmtId="186" fontId="70" fillId="0" borderId="1" xfId="0" applyNumberFormat="1" applyFont="1" applyBorder="1"/>
    <xf numFmtId="186" fontId="0" fillId="0" borderId="1" xfId="0" applyNumberFormat="1" applyBorder="1"/>
    <xf numFmtId="0" fontId="5" fillId="0" borderId="0" xfId="38" applyFont="1" applyFill="1" applyBorder="1" applyAlignment="1">
      <alignment horizontal="left" indent="1"/>
    </xf>
    <xf numFmtId="0" fontId="77" fillId="0" borderId="0" xfId="0" applyFont="1" applyBorder="1"/>
    <xf numFmtId="9" fontId="78" fillId="0" borderId="0" xfId="0" applyNumberFormat="1" applyFont="1" applyBorder="1"/>
    <xf numFmtId="9" fontId="77" fillId="0" borderId="0" xfId="0" applyNumberFormat="1" applyFont="1" applyBorder="1"/>
    <xf numFmtId="0" fontId="3" fillId="0" borderId="3" xfId="38" applyFont="1" applyFill="1" applyBorder="1"/>
    <xf numFmtId="186" fontId="0" fillId="0" borderId="3" xfId="0" applyNumberFormat="1" applyBorder="1"/>
    <xf numFmtId="0" fontId="79" fillId="0" borderId="3" xfId="0" applyFont="1" applyBorder="1"/>
    <xf numFmtId="186" fontId="0" fillId="0" borderId="0" xfId="0" applyNumberFormat="1"/>
    <xf numFmtId="0" fontId="4" fillId="11" borderId="24" xfId="38" applyFont="1" applyFill="1" applyBorder="1"/>
    <xf numFmtId="0" fontId="4" fillId="11" borderId="2" xfId="38" applyFont="1" applyFill="1" applyBorder="1"/>
    <xf numFmtId="186" fontId="4" fillId="11" borderId="2" xfId="38" applyNumberFormat="1" applyFont="1" applyFill="1" applyBorder="1"/>
    <xf numFmtId="186" fontId="4" fillId="11" borderId="25" xfId="38" applyNumberFormat="1" applyFont="1" applyFill="1" applyBorder="1"/>
    <xf numFmtId="182" fontId="70" fillId="0" borderId="0" xfId="0" applyNumberFormat="1" applyFont="1"/>
    <xf numFmtId="3" fontId="0" fillId="0" borderId="1" xfId="0" applyNumberFormat="1" applyBorder="1"/>
    <xf numFmtId="3" fontId="50" fillId="0" borderId="3" xfId="0" applyNumberFormat="1" applyFont="1" applyBorder="1"/>
    <xf numFmtId="189" fontId="70" fillId="0" borderId="1" xfId="0" applyNumberFormat="1" applyFont="1" applyBorder="1"/>
    <xf numFmtId="0" fontId="0" fillId="0" borderId="24" xfId="0" applyBorder="1"/>
    <xf numFmtId="10" fontId="0" fillId="0" borderId="2" xfId="0" applyNumberFormat="1" applyBorder="1"/>
    <xf numFmtId="186" fontId="0" fillId="0" borderId="2" xfId="0" applyNumberFormat="1" applyBorder="1"/>
    <xf numFmtId="186" fontId="0" fillId="0" borderId="25" xfId="0" applyNumberFormat="1" applyBorder="1"/>
    <xf numFmtId="0" fontId="0" fillId="0" borderId="0" xfId="0" applyFill="1" applyBorder="1"/>
    <xf numFmtId="10" fontId="0" fillId="0" borderId="0" xfId="0" applyNumberFormat="1" applyBorder="1"/>
    <xf numFmtId="9" fontId="78" fillId="0" borderId="0" xfId="26" applyFont="1" applyBorder="1"/>
    <xf numFmtId="9" fontId="77" fillId="0" borderId="0" xfId="26" applyFont="1" applyBorder="1"/>
    <xf numFmtId="9" fontId="77" fillId="0" borderId="0" xfId="26" applyNumberFormat="1" applyFont="1" applyBorder="1"/>
    <xf numFmtId="10" fontId="0" fillId="0" borderId="0" xfId="0" applyNumberFormat="1"/>
    <xf numFmtId="10" fontId="22" fillId="0" borderId="0" xfId="26" applyNumberFormat="1" applyFont="1"/>
    <xf numFmtId="201" fontId="0" fillId="0" borderId="0" xfId="0" applyNumberFormat="1"/>
    <xf numFmtId="201" fontId="50" fillId="11" borderId="25" xfId="0" applyNumberFormat="1" applyFont="1" applyFill="1" applyBorder="1"/>
    <xf numFmtId="0" fontId="50" fillId="0" borderId="0" xfId="0" applyFont="1"/>
    <xf numFmtId="6" fontId="70" fillId="0" borderId="1" xfId="0" applyNumberFormat="1" applyFont="1" applyBorder="1"/>
    <xf numFmtId="5" fontId="70" fillId="0" borderId="1" xfId="0" applyNumberFormat="1" applyFont="1" applyBorder="1"/>
    <xf numFmtId="10" fontId="70" fillId="0" borderId="1" xfId="26" applyNumberFormat="1" applyFont="1" applyBorder="1"/>
    <xf numFmtId="186" fontId="70" fillId="0" borderId="26" xfId="0" applyNumberFormat="1" applyFont="1" applyBorder="1"/>
    <xf numFmtId="6" fontId="70" fillId="0" borderId="0" xfId="0" applyNumberFormat="1" applyFont="1" applyBorder="1"/>
    <xf numFmtId="5" fontId="70" fillId="0" borderId="0" xfId="0" applyNumberFormat="1" applyFont="1" applyBorder="1"/>
    <xf numFmtId="10" fontId="70" fillId="0" borderId="0" xfId="26" applyNumberFormat="1" applyFont="1" applyBorder="1"/>
    <xf numFmtId="186" fontId="70" fillId="0" borderId="27" xfId="0" applyNumberFormat="1" applyFont="1" applyBorder="1"/>
    <xf numFmtId="6" fontId="70" fillId="0" borderId="3" xfId="0" applyNumberFormat="1" applyFont="1" applyBorder="1"/>
    <xf numFmtId="5" fontId="70" fillId="0" borderId="3" xfId="0" applyNumberFormat="1" applyFont="1" applyBorder="1"/>
    <xf numFmtId="10" fontId="70" fillId="0" borderId="3" xfId="26" applyNumberFormat="1" applyFont="1" applyBorder="1"/>
    <xf numFmtId="0" fontId="70" fillId="0" borderId="3" xfId="0" applyFont="1" applyBorder="1"/>
    <xf numFmtId="6" fontId="70" fillId="0" borderId="28" xfId="0" applyNumberFormat="1" applyFont="1" applyBorder="1"/>
    <xf numFmtId="2" fontId="0" fillId="0" borderId="0" xfId="0" applyNumberFormat="1"/>
    <xf numFmtId="0" fontId="50" fillId="22" borderId="0" xfId="0" applyFont="1" applyFill="1" applyBorder="1"/>
    <xf numFmtId="9" fontId="38" fillId="0" borderId="0" xfId="0" applyNumberFormat="1" applyFont="1"/>
    <xf numFmtId="9" fontId="51" fillId="4" borderId="0" xfId="26" applyNumberFormat="1" applyFont="1" applyFill="1" applyAlignment="1">
      <alignment horizontal="right" vertical="center" indent="1"/>
    </xf>
    <xf numFmtId="9" fontId="51" fillId="4" borderId="0" xfId="14" applyNumberFormat="1" applyFont="1" applyFill="1" applyAlignment="1">
      <alignment horizontal="right" vertical="center" indent="1"/>
    </xf>
    <xf numFmtId="9" fontId="51" fillId="13" borderId="0" xfId="14" applyNumberFormat="1" applyFont="1" applyFill="1" applyAlignment="1">
      <alignment horizontal="left" indent="3"/>
    </xf>
    <xf numFmtId="9" fontId="51" fillId="4" borderId="0" xfId="14" applyNumberFormat="1" applyFont="1" applyFill="1"/>
    <xf numFmtId="9" fontId="0" fillId="0" borderId="0" xfId="26" applyFont="1"/>
    <xf numFmtId="174" fontId="67" fillId="0" borderId="0" xfId="38" applyNumberFormat="1" applyFont="1"/>
    <xf numFmtId="0" fontId="80" fillId="0" borderId="0" xfId="0" applyFont="1" applyFill="1" applyBorder="1"/>
    <xf numFmtId="5" fontId="3" fillId="5" borderId="0" xfId="0" applyNumberFormat="1" applyFont="1" applyFill="1" applyBorder="1"/>
    <xf numFmtId="1" fontId="31" fillId="14" borderId="0" xfId="0" applyNumberFormat="1" applyFont="1" applyFill="1"/>
    <xf numFmtId="9" fontId="33" fillId="0" borderId="0" xfId="26" applyNumberFormat="1" applyFont="1" applyFill="1" applyBorder="1"/>
    <xf numFmtId="0" fontId="3" fillId="21" borderId="0" xfId="0" applyFont="1" applyFill="1" applyBorder="1" applyAlignment="1">
      <alignment horizontal="left" indent="1"/>
    </xf>
    <xf numFmtId="0" fontId="0" fillId="32" borderId="0" xfId="0" applyFill="1"/>
    <xf numFmtId="3" fontId="49" fillId="5" borderId="0" xfId="0" applyNumberFormat="1" applyFont="1" applyFill="1" applyBorder="1"/>
    <xf numFmtId="3" fontId="82" fillId="5" borderId="0" xfId="0" applyNumberFormat="1" applyFont="1" applyFill="1" applyBorder="1"/>
    <xf numFmtId="37" fontId="49" fillId="5" borderId="0" xfId="0" applyNumberFormat="1" applyFont="1" applyFill="1" applyBorder="1"/>
    <xf numFmtId="0" fontId="3" fillId="6" borderId="0" xfId="0" applyFont="1" applyFill="1" applyBorder="1" applyAlignment="1">
      <alignment horizontal="left" indent="1"/>
    </xf>
    <xf numFmtId="37" fontId="49" fillId="0" borderId="0" xfId="21" applyNumberFormat="1" applyFont="1" applyFill="1" applyBorder="1" applyAlignment="1">
      <alignment horizontal="right"/>
    </xf>
    <xf numFmtId="0" fontId="10" fillId="16" borderId="4" xfId="15" applyFont="1" applyFill="1" applyBorder="1" applyAlignment="1">
      <alignment horizontal="center"/>
    </xf>
    <xf numFmtId="0" fontId="10" fillId="16" borderId="14" xfId="15" applyFont="1" applyFill="1" applyBorder="1" applyAlignment="1">
      <alignment horizontal="center"/>
    </xf>
    <xf numFmtId="0" fontId="3" fillId="16" borderId="11" xfId="33" applyFill="1" applyBorder="1" applyAlignment="1">
      <alignment horizontal="center"/>
    </xf>
    <xf numFmtId="0" fontId="3" fillId="16" borderId="15" xfId="33" applyFill="1" applyBorder="1" applyAlignment="1">
      <alignment horizontal="center"/>
    </xf>
    <xf numFmtId="0" fontId="10" fillId="16" borderId="0" xfId="15" applyFont="1" applyFill="1" applyBorder="1" applyAlignment="1">
      <alignment horizontal="center"/>
    </xf>
    <xf numFmtId="0" fontId="10" fillId="16" borderId="18" xfId="15" applyFont="1" applyFill="1" applyBorder="1" applyAlignment="1">
      <alignment horizontal="center"/>
    </xf>
    <xf numFmtId="0" fontId="4" fillId="0" borderId="4" xfId="0" applyFont="1" applyFill="1" applyBorder="1" applyAlignment="1">
      <alignment horizontal="right"/>
    </xf>
    <xf numFmtId="3" fontId="4" fillId="0" borderId="4" xfId="0" applyNumberFormat="1" applyFont="1" applyFill="1" applyBorder="1" applyAlignment="1">
      <alignment horizontal="center"/>
    </xf>
    <xf numFmtId="1" fontId="4" fillId="0" borderId="4" xfId="0" applyNumberFormat="1" applyFont="1" applyFill="1" applyBorder="1" applyAlignment="1">
      <alignment horizontal="center"/>
    </xf>
    <xf numFmtId="0" fontId="36" fillId="13" borderId="0" xfId="19" applyFont="1" applyFill="1" applyAlignment="1">
      <alignment horizontal="center"/>
    </xf>
    <xf numFmtId="0" fontId="3" fillId="15" borderId="0" xfId="19" applyFill="1" applyAlignment="1">
      <alignment horizontal="center"/>
    </xf>
    <xf numFmtId="0" fontId="24" fillId="14" borderId="0" xfId="17" applyFont="1" applyFill="1" applyBorder="1" applyAlignment="1">
      <alignment horizontal="center"/>
    </xf>
    <xf numFmtId="0" fontId="24" fillId="14" borderId="0" xfId="17" applyFont="1" applyFill="1" applyBorder="1" applyAlignment="1">
      <alignment horizontal="right"/>
    </xf>
    <xf numFmtId="0" fontId="0" fillId="26" borderId="0" xfId="0" applyFill="1" applyAlignment="1">
      <alignment horizontal="center"/>
    </xf>
    <xf numFmtId="0" fontId="36" fillId="27" borderId="0" xfId="0" applyFont="1" applyFill="1" applyAlignment="1">
      <alignment horizontal="center"/>
    </xf>
    <xf numFmtId="0" fontId="3" fillId="22" borderId="0" xfId="52" applyFont="1" applyFill="1" applyAlignment="1">
      <alignment vertical="top"/>
    </xf>
    <xf numFmtId="0" fontId="3" fillId="22" borderId="0" xfId="38" applyFill="1" applyAlignment="1">
      <alignment vertical="top"/>
    </xf>
    <xf numFmtId="0" fontId="3" fillId="22" borderId="0" xfId="38" applyFill="1"/>
    <xf numFmtId="0" fontId="84" fillId="22" borderId="0" xfId="52" applyFont="1" applyFill="1" applyAlignment="1">
      <alignment horizontal="left" vertical="top"/>
    </xf>
    <xf numFmtId="0" fontId="3" fillId="22" borderId="0" xfId="38" applyFont="1" applyFill="1" applyAlignment="1">
      <alignment vertical="top"/>
    </xf>
    <xf numFmtId="0" fontId="5" fillId="22" borderId="0" xfId="52" applyFont="1" applyFill="1" applyAlignment="1">
      <alignment vertical="top"/>
    </xf>
    <xf numFmtId="0" fontId="0" fillId="22" borderId="0" xfId="0" applyFill="1" applyAlignment="1">
      <alignment vertical="top"/>
    </xf>
    <xf numFmtId="0" fontId="85" fillId="22" borderId="0" xfId="0" applyFont="1" applyFill="1" applyAlignment="1">
      <alignment vertical="top"/>
    </xf>
    <xf numFmtId="0" fontId="86" fillId="22" borderId="0" xfId="0" applyFont="1" applyFill="1" applyAlignment="1">
      <alignment vertical="top"/>
    </xf>
    <xf numFmtId="0" fontId="86" fillId="22" borderId="0" xfId="0" applyFont="1" applyFill="1" applyAlignment="1">
      <alignment vertical="top"/>
    </xf>
    <xf numFmtId="0" fontId="85" fillId="22" borderId="0" xfId="0" applyFont="1" applyFill="1" applyAlignment="1">
      <alignment vertical="top"/>
    </xf>
    <xf numFmtId="0" fontId="0" fillId="22" borderId="0" xfId="0" applyFill="1" applyAlignment="1">
      <alignment vertical="top"/>
    </xf>
    <xf numFmtId="0" fontId="0" fillId="22" borderId="33" xfId="0" applyFill="1" applyBorder="1" applyAlignment="1">
      <alignment vertical="top"/>
    </xf>
    <xf numFmtId="0" fontId="85" fillId="22" borderId="29" xfId="0" applyFont="1" applyFill="1" applyBorder="1" applyAlignment="1">
      <alignment vertical="top"/>
    </xf>
    <xf numFmtId="0" fontId="85" fillId="22" borderId="30" xfId="0" applyFont="1" applyFill="1" applyBorder="1" applyAlignment="1">
      <alignment vertical="top"/>
    </xf>
    <xf numFmtId="0" fontId="85" fillId="22" borderId="31" xfId="0" applyFont="1" applyFill="1" applyBorder="1" applyAlignment="1">
      <alignment vertical="top"/>
    </xf>
    <xf numFmtId="0" fontId="85" fillId="22" borderId="32" xfId="0" applyFont="1" applyFill="1" applyBorder="1" applyAlignment="1">
      <alignment vertical="top"/>
    </xf>
    <xf numFmtId="9" fontId="85" fillId="22" borderId="29" xfId="0" applyNumberFormat="1" applyFont="1" applyFill="1" applyBorder="1" applyAlignment="1">
      <alignment vertical="top"/>
    </xf>
    <xf numFmtId="3" fontId="85" fillId="22" borderId="29" xfId="0" applyNumberFormat="1" applyFont="1" applyFill="1" applyBorder="1" applyAlignment="1">
      <alignment vertical="top"/>
    </xf>
    <xf numFmtId="0" fontId="0" fillId="22" borderId="34" xfId="0" applyFill="1" applyBorder="1" applyAlignment="1">
      <alignment vertical="top"/>
    </xf>
    <xf numFmtId="2" fontId="3" fillId="0" borderId="0" xfId="38" applyNumberFormat="1" applyAlignment="1">
      <alignment horizontal="left"/>
    </xf>
    <xf numFmtId="0" fontId="3" fillId="0" borderId="0" xfId="38" applyNumberFormat="1" applyAlignment="1">
      <alignment horizontal="left"/>
    </xf>
    <xf numFmtId="1" fontId="3" fillId="0" borderId="0" xfId="38" applyNumberFormat="1" applyAlignment="1">
      <alignment horizontal="left"/>
    </xf>
    <xf numFmtId="0" fontId="3" fillId="0" borderId="0" xfId="38" applyFont="1"/>
    <xf numFmtId="213" fontId="3" fillId="0" borderId="0" xfId="38" applyNumberFormat="1" applyAlignment="1">
      <alignment horizontal="left"/>
    </xf>
    <xf numFmtId="49" fontId="3" fillId="0" borderId="0" xfId="38" applyNumberFormat="1"/>
  </cellXfs>
  <cellStyles count="53">
    <cellStyle name=" 1" xfId="1"/>
    <cellStyle name=" 1 2" xfId="34"/>
    <cellStyle name=" 1 3" xfId="35"/>
    <cellStyle name=" 2" xfId="36"/>
    <cellStyle name="_Balance Sheet " xfId="3"/>
    <cellStyle name="_SUMMARY " xfId="4"/>
    <cellStyle name="0_Capex &amp; Depreciation " xfId="6"/>
    <cellStyle name="0_P&amp;L-adj " xfId="7"/>
    <cellStyle name="0_Quarterly " xfId="8"/>
    <cellStyle name="0_Valuing BP " xfId="9"/>
    <cellStyle name="c_HardInc " xfId="10"/>
    <cellStyle name="Comma" xfId="11" builtinId="3"/>
    <cellStyle name="Comma 2" xfId="37"/>
    <cellStyle name="Comma 3" xfId="45"/>
    <cellStyle name="Currency" xfId="12" builtinId="4"/>
    <cellStyle name="Currency 2" xfId="5"/>
    <cellStyle name="Currency 3" xfId="46"/>
    <cellStyle name="Hyperlink" xfId="13" builtinId="8"/>
    <cellStyle name="Hyperlink 2" xfId="50"/>
    <cellStyle name="Normal" xfId="0" builtinId="0"/>
    <cellStyle name="Normal 2" xfId="38"/>
    <cellStyle name="Normal 2 2" xfId="39"/>
    <cellStyle name="Normal 3" xfId="14"/>
    <cellStyle name="Normal 3 2" xfId="15"/>
    <cellStyle name="Normal 3 5" xfId="40"/>
    <cellStyle name="Normal 4" xfId="16"/>
    <cellStyle name="Normal 5" xfId="17"/>
    <cellStyle name="Normal 6" xfId="18"/>
    <cellStyle name="Normal 7" xfId="19"/>
    <cellStyle name="Normal 8" xfId="33"/>
    <cellStyle name="Normal 9" xfId="41"/>
    <cellStyle name="Normal_AMGN" xfId="20"/>
    <cellStyle name="Normal_Cvtx" xfId="21"/>
    <cellStyle name="Normal_DisclaimerSheet Samples" xfId="52"/>
    <cellStyle name="Normal_Gild SH" xfId="22"/>
    <cellStyle name="Normal_GILD07232009" xfId="23"/>
    <cellStyle name="Normal_HepatitisCmarketmodel" xfId="49"/>
    <cellStyle name="Normal_NBIX" xfId="24"/>
    <cellStyle name="p " xfId="25"/>
    <cellStyle name="Percent" xfId="26" builtinId="5"/>
    <cellStyle name="Percent 2" xfId="27"/>
    <cellStyle name="Percent 2 2" xfId="42"/>
    <cellStyle name="Percent 2 3" xfId="28"/>
    <cellStyle name="Percent 2 3 2" xfId="48"/>
    <cellStyle name="Percent 3" xfId="43"/>
    <cellStyle name="Percent 4" xfId="44"/>
    <cellStyle name="Percent 5" xfId="47"/>
    <cellStyle name="Percent 6" xfId="51"/>
    <cellStyle name="Percent_AMGN" xfId="29"/>
    <cellStyle name="RRSInstruction" xfId="2"/>
    <cellStyle name="s_HardInc " xfId="30"/>
    <cellStyle name="s_Valuation " xfId="31"/>
    <cellStyle name="ssp " xfId="32"/>
  </cellStyles>
  <dxfs count="0"/>
  <tableStyles count="0" defaultTableStyle="TableStyleMedium2" defaultPivotStyle="PivotStyleLight16"/>
  <colors>
    <mruColors>
      <color rgb="FF0000FF"/>
      <color rgb="FF0033CC"/>
      <color rgb="FFF7964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externalLinks/externalLink1.xml" Type="http://schemas.openxmlformats.org/officeDocument/2006/relationships/externalLink"/>
<Relationship Id="rId23" Target="externalLinks/externalLink2.xml" Type="http://schemas.openxmlformats.org/officeDocument/2006/relationships/externalLink"/>
<Relationship Id="rId24" Target="externalLinks/externalLink3.xml" Type="http://schemas.openxmlformats.org/officeDocument/2006/relationships/externalLink"/>
<Relationship Id="rId25" Target="externalLinks/externalLink4.xml" Type="http://schemas.openxmlformats.org/officeDocument/2006/relationships/externalLink"/>
<Relationship Id="rId26" Target="externalLinks/externalLink5.xml" Type="http://schemas.openxmlformats.org/officeDocument/2006/relationships/externalLink"/>
<Relationship Id="rId27" Target="externalLinks/externalLink6.xml" Type="http://schemas.openxmlformats.org/officeDocument/2006/relationships/externalLink"/>
<Relationship Id="rId28" Target="externalLinks/externalLink7.xml" Type="http://schemas.openxmlformats.org/officeDocument/2006/relationships/externalLink"/>
<Relationship Id="rId29" Target="externalLinks/externalLink8.xml" Type="http://schemas.openxmlformats.org/officeDocument/2006/relationships/externalLink"/>
<Relationship Id="rId3" Target="worksheets/sheet3.xml" Type="http://schemas.openxmlformats.org/officeDocument/2006/relationships/worksheet"/>
<Relationship Id="rId30" Target="externalLinks/externalLink9.xml" Type="http://schemas.openxmlformats.org/officeDocument/2006/relationships/externalLink"/>
<Relationship Id="rId31" Target="externalLinks/externalLink10.xml" Type="http://schemas.openxmlformats.org/officeDocument/2006/relationships/externalLink"/>
<Relationship Id="rId32" Target="theme/theme1.xml" Type="http://schemas.openxmlformats.org/officeDocument/2006/relationships/theme"/>
<Relationship Id="rId33" Target="styles.xml" Type="http://schemas.openxmlformats.org/officeDocument/2006/relationships/styles"/>
<Relationship Id="rId34" Target="sharedStrings.xml" Type="http://schemas.openxmlformats.org/officeDocument/2006/relationships/sharedStrings"/>
<Relationship Id="rId35" Target="calcChain.xml" Type="http://schemas.openxmlformats.org/officeDocument/2006/relationships/calcChain"/>
<Relationship Id="rId36" Target="../customXml/item1.xml" Type="http://schemas.openxmlformats.org/officeDocument/2006/relationships/customXml"/>
<Relationship Id="rId37" Target="../customXml/item2.xml" Type="http://schemas.openxmlformats.org/officeDocument/2006/relationships/customXml"/>
<Relationship Id="rId38"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200</xdr:row>
      <xdr:rowOff>19050</xdr:rowOff>
    </xdr:to>
    <xdr:pic>
      <xdr:nvPicPr>
        <xdr:cNvPr id="202753" name="Picture 1" descr="C:\Users\purohvik\AppData\Local\Temp\MercuryPriceRatingHistoryChart\GILD.O_2018_04_13_01_20_4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91465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EALTH/Pharma/Risinger/models/LLY/LLYwk.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HEALTH/Pharma/Risinger/models/WYE/WYE_Charts.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Pharma/Risinger/models/PFE/PFE_Charts.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HEALTH/Sapna/Companies/CELG/Miscellaneous/Revlimid%20Pricing.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HEALTH/Pharma/Risinger/models/LLY/LLY_Charts.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HEALTH/Pharma/Risinger/models/BMY/BMY_Charts.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health/RubinJ/Company/WLA/WLAwork1.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Cash Flow"/>
      <sheetName val="upside_downside"/>
      <sheetName val="Income Statement"/>
      <sheetName val="Balance Sheet"/>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rev change analysis"/>
      <sheetName val="rev contribution analysis"/>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ummary"/>
      <sheetName val="consensus"/>
      <sheetName val="Gaap Adj"/>
      <sheetName val="COVER SHEET"/>
      <sheetName val="MW-Cache"/>
      <sheetName val="__FDSCACHE__"/>
      <sheetName val="IS-ANNUAL"/>
      <sheetName val="IS-QTRLY"/>
      <sheetName val="REV-ANNUAL"/>
      <sheetName val="REV-QTRLY"/>
      <sheetName val="SEL_FRANCHISES"/>
      <sheetName val="CFBS"/>
      <sheetName val="FOOTNOTES"/>
      <sheetName val="AGREEMENTS"/>
      <sheetName val="MGMT PROJECTIONS"/>
      <sheetName val="PIPELINE"/>
      <sheetName val="PIPELINE_UNADJ"/>
      <sheetName val="DCF"/>
      <sheetName val="DEBT"/>
      <sheetName val="patent expirations"/>
      <sheetName val="Var-YOY"/>
      <sheetName val="Var-Seq"/>
      <sheetName val="revenue snapshot"/>
      <sheetName val="rev contribution analysis"/>
      <sheetName val="rev change analysis"/>
      <sheetName val="2015 rev change"/>
      <sheetName val="MWA RR"/>
      <sheetName val="mwareDates"/>
      <sheetName val="MW Valuation"/>
      <sheetName val="mwareSettings"/>
      <sheetName val="ANOMALIES"/>
      <sheetName val="ASSUMPTIONS"/>
      <sheetName val="2008 pro forma EPS (wIMCL)"/>
      <sheetName val="prasugrel sales potential"/>
      <sheetName val="prasugrel npv"/>
      <sheetName val="Cialis JV"/>
      <sheetName val="tabs"/>
      <sheetName val="pipeline_summary"/>
      <sheetName val="C38001"/>
      <sheetName val="C3800"/>
      <sheetName val="Product Mix"/>
      <sheetName val="calendar"/>
      <sheetName val="patents"/>
      <sheetName val="launches"/>
      <sheetName val="pipeline handout"/>
      <sheetName val="FCF vs Guidance"/>
      <sheetName val="#REF"/>
      <sheetName val="Annual"/>
      <sheetName val="diabetes_multiple"/>
      <sheetName val="TR Convert"/>
      <sheetName val="Becker"/>
      <sheetName val="HGSI"/>
      <sheetName val="Partnerships"/>
    </sheetNames>
    <sheetDataSet>
      <sheetData sheetId="0" refreshError="1"/>
      <sheetData sheetId="1">
        <row r="1">
          <cell r="B1" t="str">
            <v>Eli Lilly &amp; Co.</v>
          </cell>
        </row>
      </sheetData>
      <sheetData sheetId="2"/>
      <sheetData sheetId="3"/>
      <sheetData sheetId="4"/>
      <sheetData sheetId="5"/>
      <sheetData sheetId="6"/>
      <sheetData sheetId="7" refreshError="1"/>
      <sheetData sheetId="8"/>
      <sheetData sheetId="9" refreshError="1"/>
      <sheetData sheetId="10"/>
      <sheetData sheetId="11"/>
      <sheetData sheetId="12"/>
      <sheetData sheetId="13" refreshError="1"/>
      <sheetData sheetId="14" refreshError="1"/>
      <sheetData sheetId="15"/>
      <sheetData sheetId="16"/>
      <sheetData sheetId="17"/>
      <sheetData sheetId="18" refreshError="1"/>
      <sheetData sheetId="19"/>
      <sheetData sheetId="20"/>
      <sheetData sheetId="21"/>
      <sheetData sheetId="22"/>
      <sheetData sheetId="23"/>
      <sheetData sheetId="24" refreshError="1">
        <row r="1">
          <cell r="U1" t="str">
            <v>SmartCharts</v>
          </cell>
          <cell r="BD1" t="str">
            <v>.</v>
          </cell>
        </row>
        <row r="2">
          <cell r="BD2" t="str">
            <v>.</v>
          </cell>
        </row>
        <row r="3">
          <cell r="BD3" t="str">
            <v>.</v>
          </cell>
        </row>
        <row r="4">
          <cell r="BD4" t="str">
            <v>.</v>
          </cell>
        </row>
        <row r="5">
          <cell r="C5" t="str">
            <v>Define value axis here:</v>
          </cell>
        </row>
        <row r="6">
          <cell r="C6" t="str">
            <v>Eli Lilly revenue contributions 2010E-2015E</v>
          </cell>
        </row>
        <row r="10">
          <cell r="C10" t="str">
            <v>Input your data here:</v>
          </cell>
          <cell r="BD10" t="str">
            <v>.</v>
          </cell>
        </row>
        <row r="11">
          <cell r="C11" t="str">
            <v>Sales ($M)</v>
          </cell>
          <cell r="D11" t="str">
            <v>2010E</v>
          </cell>
          <cell r="E11" t="str">
            <v>2011E</v>
          </cell>
          <cell r="F11" t="str">
            <v>2012E</v>
          </cell>
          <cell r="G11" t="str">
            <v>2013E</v>
          </cell>
          <cell r="H11" t="str">
            <v>2014E</v>
          </cell>
          <cell r="I11" t="str">
            <v>2015E</v>
          </cell>
          <cell r="BD11" t="str">
            <v>.</v>
          </cell>
        </row>
        <row r="12">
          <cell r="C12" t="str">
            <v>In-line products</v>
          </cell>
          <cell r="D12">
            <v>8741.7301775000014</v>
          </cell>
          <cell r="E12">
            <v>9422.206420550001</v>
          </cell>
          <cell r="F12">
            <v>9908.4720542889991</v>
          </cell>
          <cell r="G12">
            <v>10300.675416810274</v>
          </cell>
          <cell r="H12">
            <v>10709.128179281421</v>
          </cell>
          <cell r="I12">
            <v>10990.829805762725</v>
          </cell>
          <cell r="BD12" t="str">
            <v>.</v>
          </cell>
        </row>
        <row r="13">
          <cell r="C13" t="str">
            <v>Pipeline products launching 2010–2015</v>
          </cell>
          <cell r="D13">
            <v>141.25</v>
          </cell>
          <cell r="E13">
            <v>332.1875</v>
          </cell>
          <cell r="F13">
            <v>643.02499999999986</v>
          </cell>
          <cell r="G13">
            <v>1188.9100000000001</v>
          </cell>
          <cell r="H13">
            <v>2060.8072999999999</v>
          </cell>
          <cell r="I13">
            <v>3252.5061575</v>
          </cell>
          <cell r="BD13" t="str">
            <v>.</v>
          </cell>
        </row>
        <row r="14">
          <cell r="C14" t="str">
            <v>Products expiring 2010–2015</v>
          </cell>
          <cell r="D14">
            <v>13516.758760000001</v>
          </cell>
          <cell r="E14">
            <v>13145.262609800002</v>
          </cell>
          <cell r="F14">
            <v>10919.249930854003</v>
          </cell>
          <cell r="G14">
            <v>10206.164042898221</v>
          </cell>
          <cell r="H14">
            <v>7639.4611699592915</v>
          </cell>
          <cell r="I14">
            <v>5257.1242554678174</v>
          </cell>
          <cell r="BD14" t="str">
            <v>.</v>
          </cell>
        </row>
        <row r="15">
          <cell r="C15" t="str">
            <v>Δ in expiring products off 2010 base</v>
          </cell>
          <cell r="D15">
            <v>0</v>
          </cell>
          <cell r="E15">
            <v>-371.49615019999874</v>
          </cell>
          <cell r="F15">
            <v>-2597.5088291459979</v>
          </cell>
          <cell r="G15">
            <v>-3310.5947171017797</v>
          </cell>
          <cell r="H15">
            <v>-5877.2975900407091</v>
          </cell>
          <cell r="I15">
            <v>-8259.6345045321832</v>
          </cell>
          <cell r="BD15" t="str">
            <v>.</v>
          </cell>
        </row>
        <row r="16">
          <cell r="C16" t="str">
            <v>Net product sales</v>
          </cell>
          <cell r="D16">
            <v>22399.738937500002</v>
          </cell>
          <cell r="E16">
            <v>22899.656530350003</v>
          </cell>
          <cell r="F16">
            <v>21470.746985143003</v>
          </cell>
          <cell r="G16">
            <v>21695.749459708495</v>
          </cell>
          <cell r="H16">
            <v>20409.396649240713</v>
          </cell>
          <cell r="I16">
            <v>19500.460218730543</v>
          </cell>
          <cell r="BD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A997" t="str">
            <v>.</v>
          </cell>
          <cell r="B997" t="str">
            <v>.</v>
          </cell>
          <cell r="C997" t="str">
            <v>.</v>
          </cell>
          <cell r="D997" t="str">
            <v>.</v>
          </cell>
          <cell r="E997" t="str">
            <v>.</v>
          </cell>
          <cell r="F997" t="str">
            <v>.</v>
          </cell>
          <cell r="G997" t="str">
            <v>.</v>
          </cell>
          <cell r="H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5" refreshError="1">
        <row r="1">
          <cell r="U1" t="str">
            <v>SmartCharts</v>
          </cell>
          <cell r="BD1" t="str">
            <v>.</v>
          </cell>
        </row>
        <row r="2">
          <cell r="BD2" t="str">
            <v>.</v>
          </cell>
        </row>
        <row r="3">
          <cell r="BD3" t="str">
            <v>.</v>
          </cell>
        </row>
        <row r="4">
          <cell r="BD4" t="str">
            <v>.</v>
          </cell>
        </row>
        <row r="5">
          <cell r="C5" t="str">
            <v>Define value axis here:</v>
          </cell>
        </row>
        <row r="6">
          <cell r="C6" t="str">
            <v>Eli Lilly YOY revenue change 2010E-2015E</v>
          </cell>
        </row>
        <row r="10">
          <cell r="C10" t="str">
            <v>Input your data here:</v>
          </cell>
          <cell r="BD10" t="str">
            <v>.</v>
          </cell>
        </row>
        <row r="11">
          <cell r="C11" t="str">
            <v>Sales ($M)</v>
          </cell>
          <cell r="D11" t="str">
            <v>2011E</v>
          </cell>
          <cell r="E11" t="str">
            <v>2012E</v>
          </cell>
          <cell r="F11" t="str">
            <v>2013E</v>
          </cell>
          <cell r="G11" t="str">
            <v>2014E</v>
          </cell>
          <cell r="H11" t="str">
            <v>2015E</v>
          </cell>
          <cell r="BC11" t="str">
            <v>.</v>
          </cell>
        </row>
        <row r="12">
          <cell r="C12" t="str">
            <v>In-line products</v>
          </cell>
          <cell r="D12">
            <v>680.47624304999954</v>
          </cell>
          <cell r="E12">
            <v>486.26563373899808</v>
          </cell>
          <cell r="F12">
            <v>392.20336252127527</v>
          </cell>
          <cell r="G12">
            <v>408.45276247114634</v>
          </cell>
          <cell r="H12">
            <v>281.70162648130463</v>
          </cell>
          <cell r="BC12" t="str">
            <v>.</v>
          </cell>
        </row>
        <row r="13">
          <cell r="A13" t="str">
            <v>.</v>
          </cell>
          <cell r="C13" t="str">
            <v>Pipeline products launching 2010–2015</v>
          </cell>
          <cell r="D13">
            <v>190.9375</v>
          </cell>
          <cell r="E13">
            <v>310.83749999999986</v>
          </cell>
          <cell r="F13">
            <v>545.88500000000022</v>
          </cell>
          <cell r="G13">
            <v>871.89729999999986</v>
          </cell>
          <cell r="H13">
            <v>1191.6988575</v>
          </cell>
          <cell r="BC13" t="str">
            <v>.</v>
          </cell>
        </row>
        <row r="14">
          <cell r="C14" t="str">
            <v>Products expiring 2010–2015</v>
          </cell>
          <cell r="D14">
            <v>-371.49615019999874</v>
          </cell>
          <cell r="E14">
            <v>-2226.0126789459991</v>
          </cell>
          <cell r="F14">
            <v>-713.0858879557818</v>
          </cell>
          <cell r="G14">
            <v>-2566.7028729389294</v>
          </cell>
          <cell r="H14">
            <v>-2382.3369144914741</v>
          </cell>
          <cell r="BC14" t="str">
            <v>.</v>
          </cell>
        </row>
        <row r="15">
          <cell r="C15" t="str">
            <v>Net YOY change</v>
          </cell>
          <cell r="D15">
            <v>499.9175928500008</v>
          </cell>
          <cell r="E15">
            <v>-1428.9095452069996</v>
          </cell>
          <cell r="F15">
            <v>225.00247456549187</v>
          </cell>
          <cell r="G15">
            <v>-1286.3528104677825</v>
          </cell>
          <cell r="H15">
            <v>-908.93643051016988</v>
          </cell>
          <cell r="BC15" t="str">
            <v>.</v>
          </cell>
        </row>
        <row r="16">
          <cell r="BC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C996" t="str">
            <v>.</v>
          </cell>
          <cell r="D996" t="str">
            <v>.</v>
          </cell>
          <cell r="E996" t="str">
            <v>.</v>
          </cell>
          <cell r="F996" t="str">
            <v>.</v>
          </cell>
          <cell r="G996" t="str">
            <v>.</v>
          </cell>
          <cell r="H996" t="str">
            <v>.</v>
          </cell>
          <cell r="BD996" t="str">
            <v>.</v>
          </cell>
        </row>
        <row r="997">
          <cell r="A997" t="str">
            <v>.</v>
          </cell>
          <cell r="B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6"/>
      <sheetData sheetId="27">
        <row r="1">
          <cell r="A1" t="str">
            <v>RRS-5.10</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row>
        <row r="4">
          <cell r="B4" t="str">
            <v>Ticker:</v>
          </cell>
          <cell r="C4" t="str">
            <v>LLY.N</v>
          </cell>
          <cell r="E4" t="str">
            <v>Company Name:</v>
          </cell>
          <cell r="F4" t="str">
            <v>Eli Lilly &amp; Co.</v>
          </cell>
          <cell r="I4" t="str">
            <v>Sedol:</v>
          </cell>
          <cell r="J4">
            <v>2516152</v>
          </cell>
          <cell r="K4" t="str">
            <v>#Refresh#</v>
          </cell>
        </row>
        <row r="5">
          <cell r="B5" t="str">
            <v xml:space="preserve">Chart Data Inputs (decimal formats will reflect on chart): </v>
          </cell>
          <cell r="H5" t="str">
            <v>Risk Reward Chart Gallery 
(Click on the below image for other Risk-Reward Charts)</v>
          </cell>
        </row>
        <row r="6">
          <cell r="B6" t="str">
            <v>Bull Case</v>
          </cell>
          <cell r="C6">
            <v>42</v>
          </cell>
          <cell r="AA6" t="str">
            <v>mstag:bullCaseValueEstimatePerShare</v>
          </cell>
          <cell r="AB6">
            <v>0</v>
          </cell>
          <cell r="AC6" t="str">
            <v>ISO4217:USD</v>
          </cell>
          <cell r="AD6" t="b">
            <v>0</v>
          </cell>
        </row>
        <row r="7">
          <cell r="B7" t="str">
            <v>Base Case</v>
          </cell>
          <cell r="C7">
            <v>37</v>
          </cell>
          <cell r="AA7" t="str">
            <v>mstag:met_12monthIntrinsicValueEstimate</v>
          </cell>
          <cell r="AB7">
            <v>0</v>
          </cell>
          <cell r="AC7" t="str">
            <v>ISO4217:USD</v>
          </cell>
          <cell r="AD7" t="b">
            <v>0</v>
          </cell>
        </row>
        <row r="8">
          <cell r="B8" t="str">
            <v>Bear Case</v>
          </cell>
          <cell r="C8">
            <v>32</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37</v>
          </cell>
          <cell r="O11" t="b">
            <v>1</v>
          </cell>
        </row>
        <row r="12">
          <cell r="B12" t="str">
            <v>Currency</v>
          </cell>
          <cell r="C12" t="str">
            <v>USD American Dollar</v>
          </cell>
          <cell r="F12">
            <v>0</v>
          </cell>
        </row>
        <row r="13">
          <cell r="B13" t="str">
            <v>Currency Symbol</v>
          </cell>
          <cell r="C13" t="str">
            <v>$</v>
          </cell>
          <cell r="F13">
            <v>0</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39231</v>
          </cell>
          <cell r="E15" t="str">
            <v>#Refresh#</v>
          </cell>
          <cell r="F15" t="str">
            <v>USD</v>
          </cell>
        </row>
        <row r="16">
          <cell r="B16" t="str">
            <v>End Date (+1 Yr)</v>
          </cell>
          <cell r="C16">
            <v>40327</v>
          </cell>
          <cell r="E16" t="str">
            <v>#Refresh#</v>
          </cell>
          <cell r="F16" t="str">
            <v>USD</v>
          </cell>
        </row>
        <row r="17">
          <cell r="B17">
            <v>34.57</v>
          </cell>
          <cell r="C17" t="str">
            <v>Hand entert Share Price</v>
          </cell>
          <cell r="H17" t="str">
            <v>2007-FY</v>
          </cell>
        </row>
        <row r="18">
          <cell r="B18" t="b">
            <v>0</v>
          </cell>
          <cell r="C18">
            <v>39962</v>
          </cell>
        </row>
        <row r="19">
          <cell r="C19" t="str">
            <v>2009-FY</v>
          </cell>
        </row>
        <row r="34">
          <cell r="A34" t="str">
            <v>BullCase</v>
          </cell>
        </row>
        <row r="52">
          <cell r="A52">
            <v>40327</v>
          </cell>
          <cell r="B52">
            <v>758</v>
          </cell>
          <cell r="N52" t="str">
            <v>May-10</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Price(May-10)</v>
          </cell>
          <cell r="K53" t="str">
            <v>Bull Price(May-10)</v>
          </cell>
          <cell r="L53" t="str">
            <v>Bear Price(May-10)</v>
          </cell>
          <cell r="M53" t="str">
            <v>Extreme Downside Price(May-10)</v>
          </cell>
          <cell r="N53" t="str">
            <v>Price Target (May-10)</v>
          </cell>
          <cell r="O53" t="str">
            <v>Gray Line</v>
          </cell>
          <cell r="P53" t="str">
            <v>Prices</v>
          </cell>
          <cell r="Q53" t="str">
            <v>Volume</v>
          </cell>
          <cell r="R53" t="str">
            <v>Base Case(May-10)</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39231</v>
          </cell>
          <cell r="B54">
            <v>39231</v>
          </cell>
          <cell r="C54" t="str">
            <v>Past</v>
          </cell>
          <cell r="D54">
            <v>59.46</v>
          </cell>
          <cell r="E54" t="e">
            <v>#N/A</v>
          </cell>
          <cell r="F54" t="e">
            <v>#N/A</v>
          </cell>
          <cell r="G54" t="e">
            <v>#N/A</v>
          </cell>
          <cell r="H54" t="e">
            <v>#N/A</v>
          </cell>
          <cell r="I54" t="e">
            <v>#N/A</v>
          </cell>
          <cell r="J54" t="e">
            <v>#N/A</v>
          </cell>
          <cell r="K54" t="e">
            <v>#N/A</v>
          </cell>
          <cell r="L54" t="e">
            <v>#N/A</v>
          </cell>
          <cell r="M54" t="e">
            <v>#N/A</v>
          </cell>
          <cell r="N54" t="e">
            <v>#N/A</v>
          </cell>
          <cell r="O54" t="e">
            <v>#N/A</v>
          </cell>
          <cell r="P54">
            <v>59.46</v>
          </cell>
          <cell r="Q54">
            <v>3.2017000000000002</v>
          </cell>
          <cell r="R54" t="e">
            <v>#N/A</v>
          </cell>
          <cell r="S54" t="str">
            <v>Count</v>
          </cell>
          <cell r="T54">
            <v>758</v>
          </cell>
          <cell r="U54">
            <v>42</v>
          </cell>
          <cell r="AI54" t="str">
            <v>AED UAE Dirham</v>
          </cell>
          <cell r="AJ54" t="str">
            <v>AED</v>
          </cell>
          <cell r="AK54" t="str">
            <v>AED</v>
          </cell>
          <cell r="AL54" t="str">
            <v>AED</v>
          </cell>
          <cell r="AM54">
            <v>0</v>
          </cell>
          <cell r="AN54">
            <v>2</v>
          </cell>
        </row>
        <row r="55">
          <cell r="A55">
            <v>39232</v>
          </cell>
          <cell r="B55">
            <v>39232</v>
          </cell>
          <cell r="C55" t="str">
            <v>Past</v>
          </cell>
          <cell r="D55">
            <v>59.24</v>
          </cell>
          <cell r="E55" t="e">
            <v>#N/A</v>
          </cell>
          <cell r="F55" t="e">
            <v>#N/A</v>
          </cell>
          <cell r="G55" t="e">
            <v>#N/A</v>
          </cell>
          <cell r="H55" t="e">
            <v>#N/A</v>
          </cell>
          <cell r="I55" t="e">
            <v>#N/A</v>
          </cell>
          <cell r="J55" t="e">
            <v>#N/A</v>
          </cell>
          <cell r="K55" t="e">
            <v>#N/A</v>
          </cell>
          <cell r="L55" t="e">
            <v>#N/A</v>
          </cell>
          <cell r="M55" t="e">
            <v>#N/A</v>
          </cell>
          <cell r="N55" t="e">
            <v>#N/A</v>
          </cell>
          <cell r="O55" t="e">
            <v>#N/A</v>
          </cell>
          <cell r="P55">
            <v>59.24</v>
          </cell>
          <cell r="Q55">
            <v>5.1042869999999994</v>
          </cell>
          <cell r="R55" t="e">
            <v>#N/A</v>
          </cell>
          <cell r="S55" t="str">
            <v>Curr Price</v>
          </cell>
          <cell r="T55">
            <v>34.57</v>
          </cell>
          <cell r="U55">
            <v>506</v>
          </cell>
          <cell r="V55">
            <v>114.16500000000001</v>
          </cell>
          <cell r="AI55" t="str">
            <v>ARS Argentinian Pesos</v>
          </cell>
          <cell r="AJ55" t="str">
            <v>Ar$</v>
          </cell>
          <cell r="AK55" t="str">
            <v>ARS</v>
          </cell>
          <cell r="AL55" t="str">
            <v>ARS</v>
          </cell>
          <cell r="AM55">
            <v>0</v>
          </cell>
          <cell r="AN55">
            <v>2</v>
          </cell>
        </row>
        <row r="56">
          <cell r="A56">
            <v>39233</v>
          </cell>
          <cell r="B56">
            <v>39233</v>
          </cell>
          <cell r="C56" t="str">
            <v>Past</v>
          </cell>
          <cell r="D56">
            <v>58.62</v>
          </cell>
          <cell r="E56" t="e">
            <v>#N/A</v>
          </cell>
          <cell r="F56" t="e">
            <v>#N/A</v>
          </cell>
          <cell r="G56" t="e">
            <v>#N/A</v>
          </cell>
          <cell r="H56" t="e">
            <v>#N/A</v>
          </cell>
          <cell r="I56" t="e">
            <v>#N/A</v>
          </cell>
          <cell r="J56" t="e">
            <v>#N/A</v>
          </cell>
          <cell r="K56" t="e">
            <v>#N/A</v>
          </cell>
          <cell r="L56" t="e">
            <v>#N/A</v>
          </cell>
          <cell r="M56" t="e">
            <v>#N/A</v>
          </cell>
          <cell r="N56" t="e">
            <v>#N/A</v>
          </cell>
          <cell r="O56" t="e">
            <v>#N/A</v>
          </cell>
          <cell r="P56">
            <v>58.62</v>
          </cell>
          <cell r="Q56">
            <v>5.3824379999999996</v>
          </cell>
          <cell r="R56" t="e">
            <v>#N/A</v>
          </cell>
          <cell r="S56" t="str">
            <v>Curr Price Date</v>
          </cell>
          <cell r="T56">
            <v>39962</v>
          </cell>
          <cell r="U56">
            <v>39951.672118055554</v>
          </cell>
          <cell r="AI56" t="str">
            <v>AUD Australian Dollar</v>
          </cell>
          <cell r="AJ56" t="str">
            <v>A$</v>
          </cell>
          <cell r="AK56" t="str">
            <v>AUD</v>
          </cell>
          <cell r="AL56" t="str">
            <v>AUD</v>
          </cell>
          <cell r="AM56">
            <v>0</v>
          </cell>
          <cell r="AN56">
            <v>2</v>
          </cell>
        </row>
        <row r="57">
          <cell r="A57">
            <v>39234</v>
          </cell>
          <cell r="B57">
            <v>39234</v>
          </cell>
          <cell r="C57" t="str">
            <v>Past</v>
          </cell>
          <cell r="D57">
            <v>58.94</v>
          </cell>
          <cell r="E57" t="e">
            <v>#N/A</v>
          </cell>
          <cell r="F57" t="e">
            <v>#N/A</v>
          </cell>
          <cell r="G57" t="e">
            <v>#N/A</v>
          </cell>
          <cell r="H57" t="e">
            <v>#N/A</v>
          </cell>
          <cell r="I57" t="e">
            <v>#N/A</v>
          </cell>
          <cell r="J57" t="e">
            <v>#N/A</v>
          </cell>
          <cell r="K57" t="e">
            <v>#N/A</v>
          </cell>
          <cell r="L57" t="e">
            <v>#N/A</v>
          </cell>
          <cell r="M57" t="e">
            <v>#N/A</v>
          </cell>
          <cell r="N57" t="e">
            <v>#N/A</v>
          </cell>
          <cell r="O57" t="e">
            <v>#N/A</v>
          </cell>
          <cell r="P57">
            <v>58.94</v>
          </cell>
          <cell r="Q57">
            <v>3.8512389999999996</v>
          </cell>
          <cell r="R57" t="e">
            <v>#N/A</v>
          </cell>
          <cell r="S57" t="str">
            <v>Bull-Curr</v>
          </cell>
          <cell r="T57">
            <v>7.43</v>
          </cell>
          <cell r="U57">
            <v>2.9367588932806322E-2</v>
          </cell>
          <cell r="AI57" t="str">
            <v>BGL Bulgarian levs</v>
          </cell>
          <cell r="AJ57" t="str">
            <v>BGL</v>
          </cell>
          <cell r="AK57" t="str">
            <v>BGL</v>
          </cell>
          <cell r="AL57" t="str">
            <v>BGN</v>
          </cell>
          <cell r="AM57">
            <v>0</v>
          </cell>
          <cell r="AN57">
            <v>2</v>
          </cell>
        </row>
        <row r="58">
          <cell r="A58">
            <v>39237</v>
          </cell>
          <cell r="B58">
            <v>39237</v>
          </cell>
          <cell r="C58" t="str">
            <v>Past</v>
          </cell>
          <cell r="D58">
            <v>59.16</v>
          </cell>
          <cell r="E58" t="e">
            <v>#N/A</v>
          </cell>
          <cell r="F58" t="e">
            <v>#N/A</v>
          </cell>
          <cell r="G58" t="e">
            <v>#N/A</v>
          </cell>
          <cell r="H58" t="e">
            <v>#N/A</v>
          </cell>
          <cell r="I58" t="e">
            <v>#N/A</v>
          </cell>
          <cell r="J58" t="e">
            <v>#N/A</v>
          </cell>
          <cell r="K58" t="e">
            <v>#N/A</v>
          </cell>
          <cell r="L58" t="e">
            <v>#N/A</v>
          </cell>
          <cell r="M58" t="e">
            <v>#N/A</v>
          </cell>
          <cell r="N58" t="e">
            <v>#N/A</v>
          </cell>
          <cell r="O58" t="e">
            <v>#N/A</v>
          </cell>
          <cell r="P58">
            <v>59.16</v>
          </cell>
          <cell r="Q58">
            <v>4.8737000000000004</v>
          </cell>
          <cell r="R58" t="e">
            <v>#N/A</v>
          </cell>
          <cell r="S58" t="str">
            <v>Upp-Cur</v>
          </cell>
          <cell r="T58">
            <v>-34.57</v>
          </cell>
          <cell r="U58">
            <v>-0.1366403162055336</v>
          </cell>
          <cell r="AI58" t="str">
            <v>BMD Bermudan Dollars</v>
          </cell>
          <cell r="AJ58" t="str">
            <v>BMD</v>
          </cell>
          <cell r="AK58" t="str">
            <v>BMD</v>
          </cell>
          <cell r="AL58" t="str">
            <v>BMD</v>
          </cell>
          <cell r="AM58">
            <v>0</v>
          </cell>
          <cell r="AN58">
            <v>2</v>
          </cell>
        </row>
        <row r="59">
          <cell r="A59">
            <v>39238</v>
          </cell>
          <cell r="B59">
            <v>39238</v>
          </cell>
          <cell r="C59" t="str">
            <v>Past</v>
          </cell>
          <cell r="D59">
            <v>59</v>
          </cell>
          <cell r="E59" t="e">
            <v>#N/A</v>
          </cell>
          <cell r="F59" t="e">
            <v>#N/A</v>
          </cell>
          <cell r="G59" t="e">
            <v>#N/A</v>
          </cell>
          <cell r="H59" t="e">
            <v>#N/A</v>
          </cell>
          <cell r="I59" t="e">
            <v>#N/A</v>
          </cell>
          <cell r="J59" t="e">
            <v>#N/A</v>
          </cell>
          <cell r="K59" t="e">
            <v>#N/A</v>
          </cell>
          <cell r="L59" t="e">
            <v>#N/A</v>
          </cell>
          <cell r="M59" t="e">
            <v>#N/A</v>
          </cell>
          <cell r="N59" t="e">
            <v>#N/A</v>
          </cell>
          <cell r="O59" t="e">
            <v>#N/A</v>
          </cell>
          <cell r="P59">
            <v>59</v>
          </cell>
          <cell r="Q59">
            <v>5.2781000000000002</v>
          </cell>
          <cell r="R59" t="e">
            <v>#N/A</v>
          </cell>
          <cell r="S59" t="str">
            <v>Curr-Bear</v>
          </cell>
          <cell r="T59">
            <v>2.5700000000000003</v>
          </cell>
          <cell r="U59">
            <v>1.015810276679842E-2</v>
          </cell>
          <cell r="AI59" t="str">
            <v>BRL Brazilian Real</v>
          </cell>
          <cell r="AJ59" t="str">
            <v>R$</v>
          </cell>
          <cell r="AK59" t="str">
            <v>BRL</v>
          </cell>
          <cell r="AL59" t="str">
            <v>BRL</v>
          </cell>
          <cell r="AM59">
            <v>0</v>
          </cell>
          <cell r="AN59">
            <v>2</v>
          </cell>
        </row>
        <row r="60">
          <cell r="A60">
            <v>39239</v>
          </cell>
          <cell r="B60">
            <v>39239</v>
          </cell>
          <cell r="C60" t="str">
            <v>Past</v>
          </cell>
          <cell r="D60">
            <v>58.29</v>
          </cell>
          <cell r="E60" t="e">
            <v>#N/A</v>
          </cell>
          <cell r="F60" t="e">
            <v>#N/A</v>
          </cell>
          <cell r="G60" t="e">
            <v>#N/A</v>
          </cell>
          <cell r="H60" t="e">
            <v>#N/A</v>
          </cell>
          <cell r="I60" t="e">
            <v>#N/A</v>
          </cell>
          <cell r="J60" t="e">
            <v>#N/A</v>
          </cell>
          <cell r="K60" t="e">
            <v>#N/A</v>
          </cell>
          <cell r="L60" t="e">
            <v>#N/A</v>
          </cell>
          <cell r="M60" t="e">
            <v>#N/A</v>
          </cell>
          <cell r="N60" t="e">
            <v>#N/A</v>
          </cell>
          <cell r="O60" t="e">
            <v>#N/A</v>
          </cell>
          <cell r="P60">
            <v>58.29</v>
          </cell>
          <cell r="Q60">
            <v>5.9253260000000001</v>
          </cell>
          <cell r="R60" t="e">
            <v>#N/A</v>
          </cell>
          <cell r="S60" t="str">
            <v>Curr-Lower</v>
          </cell>
          <cell r="T60">
            <v>34.57</v>
          </cell>
          <cell r="U60">
            <v>0.1366403162055336</v>
          </cell>
          <cell r="AI60" t="str">
            <v>CAD Canadian Dollars</v>
          </cell>
          <cell r="AJ60" t="str">
            <v>C$</v>
          </cell>
          <cell r="AK60" t="str">
            <v>CAD</v>
          </cell>
          <cell r="AL60" t="str">
            <v>CAD</v>
          </cell>
          <cell r="AM60">
            <v>0</v>
          </cell>
          <cell r="AN60">
            <v>2</v>
          </cell>
        </row>
        <row r="61">
          <cell r="A61">
            <v>39240</v>
          </cell>
          <cell r="B61">
            <v>39240</v>
          </cell>
          <cell r="C61" t="str">
            <v>Past</v>
          </cell>
          <cell r="D61">
            <v>56.93</v>
          </cell>
          <cell r="E61" t="e">
            <v>#N/A</v>
          </cell>
          <cell r="F61" t="e">
            <v>#N/A</v>
          </cell>
          <cell r="G61" t="e">
            <v>#N/A</v>
          </cell>
          <cell r="H61" t="e">
            <v>#N/A</v>
          </cell>
          <cell r="I61" t="e">
            <v>#N/A</v>
          </cell>
          <cell r="J61" t="e">
            <v>#N/A</v>
          </cell>
          <cell r="K61" t="e">
            <v>#N/A</v>
          </cell>
          <cell r="L61" t="e">
            <v>#N/A</v>
          </cell>
          <cell r="M61" t="e">
            <v>#N/A</v>
          </cell>
          <cell r="N61" t="e">
            <v>#N/A</v>
          </cell>
          <cell r="O61" t="e">
            <v>#N/A</v>
          </cell>
          <cell r="P61">
            <v>56.93</v>
          </cell>
          <cell r="Q61">
            <v>12.169370000000001</v>
          </cell>
          <cell r="R61" t="e">
            <v>#N/A</v>
          </cell>
          <cell r="S61" t="str">
            <v>PriceFoundAt</v>
          </cell>
          <cell r="T61">
            <v>506</v>
          </cell>
          <cell r="AI61" t="str">
            <v>CHF Swiss Francs</v>
          </cell>
          <cell r="AJ61" t="str">
            <v>SFr</v>
          </cell>
          <cell r="AK61" t="str">
            <v>CHF</v>
          </cell>
          <cell r="AL61" t="str">
            <v>CHF</v>
          </cell>
          <cell r="AM61">
            <v>0</v>
          </cell>
          <cell r="AN61">
            <v>2</v>
          </cell>
        </row>
        <row r="62">
          <cell r="A62">
            <v>39241</v>
          </cell>
          <cell r="B62">
            <v>39241</v>
          </cell>
          <cell r="C62" t="str">
            <v>Past</v>
          </cell>
          <cell r="D62">
            <v>57.02</v>
          </cell>
          <cell r="E62" t="e">
            <v>#N/A</v>
          </cell>
          <cell r="F62" t="e">
            <v>#N/A</v>
          </cell>
          <cell r="G62" t="e">
            <v>#N/A</v>
          </cell>
          <cell r="H62" t="e">
            <v>#N/A</v>
          </cell>
          <cell r="I62" t="e">
            <v>#N/A</v>
          </cell>
          <cell r="J62" t="e">
            <v>#N/A</v>
          </cell>
          <cell r="K62" t="e">
            <v>#N/A</v>
          </cell>
          <cell r="L62" t="e">
            <v>#N/A</v>
          </cell>
          <cell r="M62" t="e">
            <v>#N/A</v>
          </cell>
          <cell r="N62" t="e">
            <v>#N/A</v>
          </cell>
          <cell r="O62" t="e">
            <v>#N/A</v>
          </cell>
          <cell r="P62">
            <v>57.02</v>
          </cell>
          <cell r="Q62">
            <v>6.9949000000000003</v>
          </cell>
          <cell r="R62" t="e">
            <v>#N/A</v>
          </cell>
          <cell r="S62" t="str">
            <v>Starting Point</v>
          </cell>
          <cell r="T62">
            <v>559</v>
          </cell>
          <cell r="AI62" t="str">
            <v>CLP Chilean Pesos</v>
          </cell>
          <cell r="AJ62" t="str">
            <v>CLP</v>
          </cell>
          <cell r="AK62" t="str">
            <v>CLP</v>
          </cell>
          <cell r="AL62" t="str">
            <v>CLP</v>
          </cell>
          <cell r="AM62">
            <v>0</v>
          </cell>
          <cell r="AN62">
            <v>2</v>
          </cell>
        </row>
        <row r="63">
          <cell r="A63">
            <v>39244</v>
          </cell>
          <cell r="B63">
            <v>39244</v>
          </cell>
          <cell r="C63" t="str">
            <v>Past</v>
          </cell>
          <cell r="D63">
            <v>57.31</v>
          </cell>
          <cell r="E63" t="e">
            <v>#N/A</v>
          </cell>
          <cell r="F63" t="e">
            <v>#N/A</v>
          </cell>
          <cell r="G63" t="e">
            <v>#N/A</v>
          </cell>
          <cell r="H63" t="e">
            <v>#N/A</v>
          </cell>
          <cell r="I63" t="e">
            <v>#N/A</v>
          </cell>
          <cell r="J63" t="e">
            <v>#N/A</v>
          </cell>
          <cell r="K63" t="e">
            <v>#N/A</v>
          </cell>
          <cell r="L63" t="e">
            <v>#N/A</v>
          </cell>
          <cell r="M63" t="e">
            <v>#N/A</v>
          </cell>
          <cell r="N63" t="e">
            <v>#N/A</v>
          </cell>
          <cell r="O63" t="e">
            <v>#N/A</v>
          </cell>
          <cell r="P63">
            <v>57.31</v>
          </cell>
          <cell r="Q63">
            <v>4.9519529999999996</v>
          </cell>
          <cell r="R63" t="e">
            <v>#N/A</v>
          </cell>
          <cell r="S63" t="str">
            <v>Saved</v>
          </cell>
          <cell r="T63">
            <v>253</v>
          </cell>
          <cell r="AI63" t="str">
            <v>CNY Chinese Renminbi Yuan</v>
          </cell>
          <cell r="AJ63" t="str">
            <v>Rmb</v>
          </cell>
          <cell r="AK63" t="str">
            <v>CNY</v>
          </cell>
          <cell r="AL63" t="str">
            <v>CNY</v>
          </cell>
          <cell r="AM63">
            <v>0</v>
          </cell>
          <cell r="AN63">
            <v>2</v>
          </cell>
        </row>
        <row r="64">
          <cell r="A64">
            <v>39245</v>
          </cell>
          <cell r="B64">
            <v>39245</v>
          </cell>
          <cell r="C64" t="str">
            <v>Past</v>
          </cell>
          <cell r="D64">
            <v>56.78</v>
          </cell>
          <cell r="E64" t="e">
            <v>#N/A</v>
          </cell>
          <cell r="F64" t="e">
            <v>#N/A</v>
          </cell>
          <cell r="G64" t="e">
            <v>#N/A</v>
          </cell>
          <cell r="H64" t="e">
            <v>#N/A</v>
          </cell>
          <cell r="I64" t="e">
            <v>#N/A</v>
          </cell>
          <cell r="J64" t="e">
            <v>#N/A</v>
          </cell>
          <cell r="K64" t="e">
            <v>#N/A</v>
          </cell>
          <cell r="L64" t="e">
            <v>#N/A</v>
          </cell>
          <cell r="M64" t="e">
            <v>#N/A</v>
          </cell>
          <cell r="N64" t="e">
            <v>#N/A</v>
          </cell>
          <cell r="O64" t="e">
            <v>#N/A</v>
          </cell>
          <cell r="P64">
            <v>56.78</v>
          </cell>
          <cell r="Q64">
            <v>4.3268789999999999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39246</v>
          </cell>
          <cell r="B65">
            <v>39246</v>
          </cell>
          <cell r="C65" t="str">
            <v>Past</v>
          </cell>
          <cell r="D65">
            <v>56.94</v>
          </cell>
          <cell r="E65" t="e">
            <v>#N/A</v>
          </cell>
          <cell r="F65" t="e">
            <v>#N/A</v>
          </cell>
          <cell r="G65" t="e">
            <v>#N/A</v>
          </cell>
          <cell r="H65" t="e">
            <v>#N/A</v>
          </cell>
          <cell r="I65" t="e">
            <v>#N/A</v>
          </cell>
          <cell r="J65" t="e">
            <v>#N/A</v>
          </cell>
          <cell r="K65" t="e">
            <v>#N/A</v>
          </cell>
          <cell r="L65" t="e">
            <v>#N/A</v>
          </cell>
          <cell r="M65" t="e">
            <v>#N/A</v>
          </cell>
          <cell r="N65" t="e">
            <v>#N/A</v>
          </cell>
          <cell r="O65" t="e">
            <v>#N/A</v>
          </cell>
          <cell r="P65">
            <v>56.94</v>
          </cell>
          <cell r="Q65">
            <v>5.7039999999999997</v>
          </cell>
          <cell r="R65" t="e">
            <v>#N/A</v>
          </cell>
          <cell r="S65" t="str">
            <v>Decimal</v>
          </cell>
          <cell r="T65">
            <v>2</v>
          </cell>
          <cell r="AI65" t="str">
            <v>CZK Czech Krona</v>
          </cell>
          <cell r="AJ65" t="str">
            <v>Kcs</v>
          </cell>
          <cell r="AK65" t="str">
            <v>CZK</v>
          </cell>
          <cell r="AL65" t="str">
            <v>CZK</v>
          </cell>
          <cell r="AM65">
            <v>0</v>
          </cell>
          <cell r="AN65">
            <v>2</v>
          </cell>
        </row>
        <row r="66">
          <cell r="A66">
            <v>39247</v>
          </cell>
          <cell r="B66">
            <v>39247</v>
          </cell>
          <cell r="C66" t="str">
            <v>Past</v>
          </cell>
          <cell r="D66">
            <v>57.38</v>
          </cell>
          <cell r="E66" t="e">
            <v>#N/A</v>
          </cell>
          <cell r="F66" t="e">
            <v>#N/A</v>
          </cell>
          <cell r="G66" t="e">
            <v>#N/A</v>
          </cell>
          <cell r="H66" t="e">
            <v>#N/A</v>
          </cell>
          <cell r="I66" t="e">
            <v>#N/A</v>
          </cell>
          <cell r="J66" t="e">
            <v>#N/A</v>
          </cell>
          <cell r="K66" t="e">
            <v>#N/A</v>
          </cell>
          <cell r="L66" t="e">
            <v>#N/A</v>
          </cell>
          <cell r="M66" t="e">
            <v>#N/A</v>
          </cell>
          <cell r="N66" t="e">
            <v>#N/A</v>
          </cell>
          <cell r="O66" t="e">
            <v>#N/A</v>
          </cell>
          <cell r="P66">
            <v>57.38</v>
          </cell>
          <cell r="Q66">
            <v>4.8296600000000005</v>
          </cell>
          <cell r="R66" t="e">
            <v>#N/A</v>
          </cell>
          <cell r="S66" t="str">
            <v>default StartDate</v>
          </cell>
          <cell r="T66">
            <v>39231</v>
          </cell>
          <cell r="AI66" t="str">
            <v>DKK Danish Krone</v>
          </cell>
          <cell r="AJ66" t="str">
            <v>DKr</v>
          </cell>
          <cell r="AK66" t="str">
            <v>DKK</v>
          </cell>
          <cell r="AL66" t="str">
            <v>DKK</v>
          </cell>
          <cell r="AM66">
            <v>0</v>
          </cell>
          <cell r="AN66">
            <v>2</v>
          </cell>
        </row>
        <row r="67">
          <cell r="A67">
            <v>39248</v>
          </cell>
          <cell r="B67">
            <v>39248</v>
          </cell>
          <cell r="C67" t="str">
            <v>Past</v>
          </cell>
          <cell r="D67">
            <v>57.72</v>
          </cell>
          <cell r="E67" t="e">
            <v>#N/A</v>
          </cell>
          <cell r="F67" t="e">
            <v>#N/A</v>
          </cell>
          <cell r="G67" t="e">
            <v>#N/A</v>
          </cell>
          <cell r="H67" t="e">
            <v>#N/A</v>
          </cell>
          <cell r="I67" t="e">
            <v>#N/A</v>
          </cell>
          <cell r="J67" t="e">
            <v>#N/A</v>
          </cell>
          <cell r="K67" t="e">
            <v>#N/A</v>
          </cell>
          <cell r="L67" t="e">
            <v>#N/A</v>
          </cell>
          <cell r="M67" t="e">
            <v>#N/A</v>
          </cell>
          <cell r="N67" t="e">
            <v>#N/A</v>
          </cell>
          <cell r="O67" t="e">
            <v>#N/A</v>
          </cell>
          <cell r="P67">
            <v>57.72</v>
          </cell>
          <cell r="Q67">
            <v>4.9392000000000005</v>
          </cell>
          <cell r="R67" t="e">
            <v>#N/A</v>
          </cell>
          <cell r="S67" t="str">
            <v>default EndDate</v>
          </cell>
          <cell r="T67">
            <v>40327</v>
          </cell>
          <cell r="AI67" t="str">
            <v>DZD Algerian Dinar</v>
          </cell>
          <cell r="AJ67" t="str">
            <v>DZD</v>
          </cell>
          <cell r="AK67" t="str">
            <v>DZD</v>
          </cell>
          <cell r="AL67" t="str">
            <v>DZD</v>
          </cell>
          <cell r="AM67">
            <v>0</v>
          </cell>
          <cell r="AN67">
            <v>2</v>
          </cell>
        </row>
        <row r="68">
          <cell r="A68">
            <v>39251</v>
          </cell>
          <cell r="B68">
            <v>39251</v>
          </cell>
          <cell r="C68" t="str">
            <v>Past</v>
          </cell>
          <cell r="D68">
            <v>57.41</v>
          </cell>
          <cell r="E68" t="e">
            <v>#N/A</v>
          </cell>
          <cell r="F68" t="e">
            <v>#N/A</v>
          </cell>
          <cell r="G68" t="e">
            <v>#N/A</v>
          </cell>
          <cell r="H68" t="e">
            <v>#N/A</v>
          </cell>
          <cell r="I68" t="e">
            <v>#N/A</v>
          </cell>
          <cell r="J68" t="e">
            <v>#N/A</v>
          </cell>
          <cell r="K68" t="e">
            <v>#N/A</v>
          </cell>
          <cell r="L68" t="e">
            <v>#N/A</v>
          </cell>
          <cell r="M68" t="e">
            <v>#N/A</v>
          </cell>
          <cell r="N68" t="e">
            <v>#N/A</v>
          </cell>
          <cell r="O68" t="e">
            <v>#N/A</v>
          </cell>
          <cell r="P68">
            <v>57.41</v>
          </cell>
          <cell r="Q68">
            <v>3.0452239999999997</v>
          </cell>
          <cell r="R68" t="e">
            <v>#N/A</v>
          </cell>
          <cell r="S68" t="str">
            <v>Max sharePrice</v>
          </cell>
          <cell r="T68">
            <v>59.47</v>
          </cell>
          <cell r="AI68" t="str">
            <v>EGP Egyptian Pound</v>
          </cell>
          <cell r="AJ68" t="str">
            <v>EGP</v>
          </cell>
          <cell r="AK68" t="str">
            <v>EGP</v>
          </cell>
          <cell r="AL68" t="str">
            <v>EGP</v>
          </cell>
          <cell r="AM68">
            <v>0</v>
          </cell>
          <cell r="AN68">
            <v>2</v>
          </cell>
        </row>
        <row r="69">
          <cell r="A69">
            <v>39252</v>
          </cell>
          <cell r="B69">
            <v>39252</v>
          </cell>
          <cell r="C69" t="str">
            <v>Past</v>
          </cell>
          <cell r="D69">
            <v>57.75</v>
          </cell>
          <cell r="E69" t="e">
            <v>#N/A</v>
          </cell>
          <cell r="F69" t="e">
            <v>#N/A</v>
          </cell>
          <cell r="G69" t="e">
            <v>#N/A</v>
          </cell>
          <cell r="H69" t="e">
            <v>#N/A</v>
          </cell>
          <cell r="I69" t="e">
            <v>#N/A</v>
          </cell>
          <cell r="J69" t="e">
            <v>#N/A</v>
          </cell>
          <cell r="K69" t="e">
            <v>#N/A</v>
          </cell>
          <cell r="L69" t="e">
            <v>#N/A</v>
          </cell>
          <cell r="M69" t="e">
            <v>#N/A</v>
          </cell>
          <cell r="N69" t="e">
            <v>#N/A</v>
          </cell>
          <cell r="O69" t="e">
            <v>#N/A</v>
          </cell>
          <cell r="P69">
            <v>57.75</v>
          </cell>
          <cell r="Q69">
            <v>4.1207600000000006</v>
          </cell>
          <cell r="R69" t="e">
            <v>#N/A</v>
          </cell>
          <cell r="AI69" t="str">
            <v>EUR Euro</v>
          </cell>
          <cell r="AJ69" t="str">
            <v>€</v>
          </cell>
          <cell r="AK69" t="str">
            <v>EUR</v>
          </cell>
          <cell r="AL69" t="str">
            <v>EUR</v>
          </cell>
          <cell r="AM69">
            <v>0</v>
          </cell>
          <cell r="AN69">
            <v>2</v>
          </cell>
        </row>
        <row r="70">
          <cell r="A70">
            <v>39253</v>
          </cell>
          <cell r="B70">
            <v>39253</v>
          </cell>
          <cell r="C70" t="str">
            <v>Past</v>
          </cell>
          <cell r="D70">
            <v>56.77</v>
          </cell>
          <cell r="E70" t="e">
            <v>#N/A</v>
          </cell>
          <cell r="F70" t="e">
            <v>#N/A</v>
          </cell>
          <cell r="G70" t="e">
            <v>#N/A</v>
          </cell>
          <cell r="H70" t="e">
            <v>#N/A</v>
          </cell>
          <cell r="I70" t="e">
            <v>#N/A</v>
          </cell>
          <cell r="J70" t="e">
            <v>#N/A</v>
          </cell>
          <cell r="K70" t="e">
            <v>#N/A</v>
          </cell>
          <cell r="L70" t="e">
            <v>#N/A</v>
          </cell>
          <cell r="M70" t="e">
            <v>#N/A</v>
          </cell>
          <cell r="N70" t="e">
            <v>#N/A</v>
          </cell>
          <cell r="O70" t="e">
            <v>#N/A</v>
          </cell>
          <cell r="P70">
            <v>56.77</v>
          </cell>
          <cell r="Q70">
            <v>4.8172000000000006</v>
          </cell>
          <cell r="R70" t="e">
            <v>#N/A</v>
          </cell>
          <cell r="AI70" t="str">
            <v>GBp British Pence</v>
          </cell>
          <cell r="AJ70" t="str">
            <v>p</v>
          </cell>
          <cell r="AK70" t="str">
            <v>GBp</v>
          </cell>
          <cell r="AL70" t="str">
            <v>GBX</v>
          </cell>
          <cell r="AM70">
            <v>1</v>
          </cell>
          <cell r="AN70">
            <v>0</v>
          </cell>
        </row>
        <row r="71">
          <cell r="A71">
            <v>39254</v>
          </cell>
          <cell r="B71">
            <v>39254</v>
          </cell>
          <cell r="C71" t="str">
            <v>Past</v>
          </cell>
          <cell r="D71">
            <v>56.81</v>
          </cell>
          <cell r="E71" t="e">
            <v>#N/A</v>
          </cell>
          <cell r="F71" t="e">
            <v>#N/A</v>
          </cell>
          <cell r="G71" t="e">
            <v>#N/A</v>
          </cell>
          <cell r="H71" t="e">
            <v>#N/A</v>
          </cell>
          <cell r="I71" t="e">
            <v>#N/A</v>
          </cell>
          <cell r="J71" t="e">
            <v>#N/A</v>
          </cell>
          <cell r="K71" t="e">
            <v>#N/A</v>
          </cell>
          <cell r="L71" t="e">
            <v>#N/A</v>
          </cell>
          <cell r="M71" t="e">
            <v>#N/A</v>
          </cell>
          <cell r="N71" t="e">
            <v>#N/A</v>
          </cell>
          <cell r="O71" t="e">
            <v>#N/A</v>
          </cell>
          <cell r="P71">
            <v>56.81</v>
          </cell>
          <cell r="Q71">
            <v>4.1069849999999999</v>
          </cell>
          <cell r="R71" t="e">
            <v>#N/A</v>
          </cell>
          <cell r="AI71" t="str">
            <v>GBP British Pound</v>
          </cell>
          <cell r="AJ71" t="str">
            <v>₤</v>
          </cell>
          <cell r="AK71" t="str">
            <v>GBP</v>
          </cell>
          <cell r="AL71" t="str">
            <v>GBP</v>
          </cell>
          <cell r="AM71">
            <v>0</v>
          </cell>
          <cell r="AN71">
            <v>2</v>
          </cell>
        </row>
        <row r="72">
          <cell r="A72">
            <v>39255</v>
          </cell>
          <cell r="B72">
            <v>39255</v>
          </cell>
          <cell r="C72" t="str">
            <v>Past</v>
          </cell>
          <cell r="D72">
            <v>55.8</v>
          </cell>
          <cell r="E72" t="e">
            <v>#N/A</v>
          </cell>
          <cell r="F72" t="e">
            <v>#N/A</v>
          </cell>
          <cell r="G72" t="e">
            <v>#N/A</v>
          </cell>
          <cell r="H72" t="e">
            <v>#N/A</v>
          </cell>
          <cell r="I72" t="e">
            <v>#N/A</v>
          </cell>
          <cell r="J72" t="e">
            <v>#N/A</v>
          </cell>
          <cell r="K72" t="e">
            <v>#N/A</v>
          </cell>
          <cell r="L72" t="e">
            <v>#N/A</v>
          </cell>
          <cell r="M72" t="e">
            <v>#N/A</v>
          </cell>
          <cell r="N72" t="e">
            <v>#N/A</v>
          </cell>
          <cell r="O72" t="e">
            <v>#N/A</v>
          </cell>
          <cell r="P72">
            <v>55.8</v>
          </cell>
          <cell r="Q72">
            <v>5.7042630000000001</v>
          </cell>
          <cell r="R72" t="e">
            <v>#N/A</v>
          </cell>
          <cell r="AI72" t="str">
            <v>HKD Hong Kong Dollar</v>
          </cell>
          <cell r="AJ72" t="str">
            <v>HK$</v>
          </cell>
          <cell r="AK72" t="str">
            <v>HKD</v>
          </cell>
          <cell r="AL72" t="str">
            <v>HKD</v>
          </cell>
          <cell r="AM72">
            <v>0</v>
          </cell>
          <cell r="AN72">
            <v>2</v>
          </cell>
        </row>
        <row r="73">
          <cell r="A73">
            <v>39258</v>
          </cell>
          <cell r="B73">
            <v>39258</v>
          </cell>
          <cell r="C73" t="str">
            <v>Past</v>
          </cell>
          <cell r="D73">
            <v>55.48</v>
          </cell>
          <cell r="E73" t="e">
            <v>#N/A</v>
          </cell>
          <cell r="F73" t="e">
            <v>#N/A</v>
          </cell>
          <cell r="G73" t="e">
            <v>#N/A</v>
          </cell>
          <cell r="H73" t="e">
            <v>#N/A</v>
          </cell>
          <cell r="I73" t="e">
            <v>#N/A</v>
          </cell>
          <cell r="J73" t="e">
            <v>#N/A</v>
          </cell>
          <cell r="K73" t="e">
            <v>#N/A</v>
          </cell>
          <cell r="L73" t="e">
            <v>#N/A</v>
          </cell>
          <cell r="M73" t="e">
            <v>#N/A</v>
          </cell>
          <cell r="N73" t="e">
            <v>#N/A</v>
          </cell>
          <cell r="O73" t="e">
            <v>#N/A</v>
          </cell>
          <cell r="P73">
            <v>55.48</v>
          </cell>
          <cell r="Q73">
            <v>5.9312959999999997</v>
          </cell>
          <cell r="R73" t="e">
            <v>#N/A</v>
          </cell>
          <cell r="AI73" t="str">
            <v>HUF Hungarian forint</v>
          </cell>
          <cell r="AJ73" t="str">
            <v>Ft</v>
          </cell>
          <cell r="AK73" t="str">
            <v>HUF</v>
          </cell>
          <cell r="AL73" t="str">
            <v>HUF</v>
          </cell>
          <cell r="AM73">
            <v>0</v>
          </cell>
          <cell r="AN73">
            <v>2</v>
          </cell>
        </row>
        <row r="74">
          <cell r="A74">
            <v>39259</v>
          </cell>
          <cell r="B74">
            <v>39259</v>
          </cell>
          <cell r="C74" t="str">
            <v>Past</v>
          </cell>
          <cell r="D74">
            <v>55.87</v>
          </cell>
          <cell r="E74" t="e">
            <v>#N/A</v>
          </cell>
          <cell r="F74" t="e">
            <v>#N/A</v>
          </cell>
          <cell r="G74" t="e">
            <v>#N/A</v>
          </cell>
          <cell r="H74" t="e">
            <v>#N/A</v>
          </cell>
          <cell r="I74" t="e">
            <v>#N/A</v>
          </cell>
          <cell r="J74" t="e">
            <v>#N/A</v>
          </cell>
          <cell r="K74" t="e">
            <v>#N/A</v>
          </cell>
          <cell r="L74" t="e">
            <v>#N/A</v>
          </cell>
          <cell r="M74" t="e">
            <v>#N/A</v>
          </cell>
          <cell r="N74" t="e">
            <v>#N/A</v>
          </cell>
          <cell r="O74" t="e">
            <v>#N/A</v>
          </cell>
          <cell r="P74">
            <v>55.87</v>
          </cell>
          <cell r="Q74">
            <v>4.9879259999999999</v>
          </cell>
          <cell r="R74" t="e">
            <v>#N/A</v>
          </cell>
          <cell r="AI74" t="str">
            <v>IDR Indonesian Rupiah</v>
          </cell>
          <cell r="AJ74" t="str">
            <v>Rp</v>
          </cell>
          <cell r="AK74" t="str">
            <v>IDR</v>
          </cell>
          <cell r="AL74" t="str">
            <v>IDR</v>
          </cell>
          <cell r="AM74">
            <v>0</v>
          </cell>
          <cell r="AN74">
            <v>0</v>
          </cell>
        </row>
        <row r="75">
          <cell r="A75">
            <v>39260</v>
          </cell>
          <cell r="B75">
            <v>39260</v>
          </cell>
          <cell r="C75" t="str">
            <v>Past</v>
          </cell>
          <cell r="D75">
            <v>56.32</v>
          </cell>
          <cell r="E75" t="e">
            <v>#N/A</v>
          </cell>
          <cell r="F75" t="e">
            <v>#N/A</v>
          </cell>
          <cell r="G75" t="e">
            <v>#N/A</v>
          </cell>
          <cell r="H75" t="e">
            <v>#N/A</v>
          </cell>
          <cell r="I75" t="e">
            <v>#N/A</v>
          </cell>
          <cell r="J75" t="e">
            <v>#N/A</v>
          </cell>
          <cell r="K75" t="e">
            <v>#N/A</v>
          </cell>
          <cell r="L75" t="e">
            <v>#N/A</v>
          </cell>
          <cell r="M75" t="e">
            <v>#N/A</v>
          </cell>
          <cell r="N75" t="e">
            <v>#N/A</v>
          </cell>
          <cell r="O75" t="e">
            <v>#N/A</v>
          </cell>
          <cell r="P75">
            <v>56.32</v>
          </cell>
          <cell r="Q75">
            <v>5.0994830000000002</v>
          </cell>
          <cell r="R75" t="e">
            <v>#N/A</v>
          </cell>
          <cell r="AI75" t="str">
            <v>ILS Israeli shekel</v>
          </cell>
          <cell r="AJ75" t="str">
            <v>ILS</v>
          </cell>
          <cell r="AK75" t="str">
            <v>ILS</v>
          </cell>
          <cell r="AL75" t="str">
            <v>ILS</v>
          </cell>
          <cell r="AM75">
            <v>0</v>
          </cell>
          <cell r="AN75">
            <v>2</v>
          </cell>
        </row>
        <row r="76">
          <cell r="A76">
            <v>39261</v>
          </cell>
          <cell r="B76">
            <v>39261</v>
          </cell>
          <cell r="C76" t="str">
            <v>Past</v>
          </cell>
          <cell r="D76">
            <v>56.18</v>
          </cell>
          <cell r="E76" t="e">
            <v>#N/A</v>
          </cell>
          <cell r="F76" t="e">
            <v>#N/A</v>
          </cell>
          <cell r="G76" t="e">
            <v>#N/A</v>
          </cell>
          <cell r="H76" t="e">
            <v>#N/A</v>
          </cell>
          <cell r="I76" t="e">
            <v>#N/A</v>
          </cell>
          <cell r="J76" t="e">
            <v>#N/A</v>
          </cell>
          <cell r="K76" t="e">
            <v>#N/A</v>
          </cell>
          <cell r="L76" t="e">
            <v>#N/A</v>
          </cell>
          <cell r="M76" t="e">
            <v>#N/A</v>
          </cell>
          <cell r="N76" t="e">
            <v>#N/A</v>
          </cell>
          <cell r="O76" t="e">
            <v>#N/A</v>
          </cell>
          <cell r="P76">
            <v>56.18</v>
          </cell>
          <cell r="Q76">
            <v>3.4167700000000001</v>
          </cell>
          <cell r="R76" t="e">
            <v>#N/A</v>
          </cell>
          <cell r="AI76" t="str">
            <v>INR Indian Rupee</v>
          </cell>
          <cell r="AJ76" t="str">
            <v>Rs.</v>
          </cell>
          <cell r="AK76" t="str">
            <v>INR</v>
          </cell>
          <cell r="AL76" t="str">
            <v>INR</v>
          </cell>
          <cell r="AM76">
            <v>0</v>
          </cell>
          <cell r="AN76">
            <v>2</v>
          </cell>
        </row>
        <row r="77">
          <cell r="A77">
            <v>39262</v>
          </cell>
          <cell r="B77">
            <v>39262</v>
          </cell>
          <cell r="C77" t="str">
            <v>Past</v>
          </cell>
          <cell r="D77">
            <v>55.88</v>
          </cell>
          <cell r="E77" t="e">
            <v>#N/A</v>
          </cell>
          <cell r="F77" t="e">
            <v>#N/A</v>
          </cell>
          <cell r="G77" t="e">
            <v>#N/A</v>
          </cell>
          <cell r="H77" t="e">
            <v>#N/A</v>
          </cell>
          <cell r="I77" t="e">
            <v>#N/A</v>
          </cell>
          <cell r="J77" t="e">
            <v>#N/A</v>
          </cell>
          <cell r="K77" t="e">
            <v>#N/A</v>
          </cell>
          <cell r="L77" t="e">
            <v>#N/A</v>
          </cell>
          <cell r="M77" t="e">
            <v>#N/A</v>
          </cell>
          <cell r="N77" t="e">
            <v>#N/A</v>
          </cell>
          <cell r="O77" t="e">
            <v>#N/A</v>
          </cell>
          <cell r="P77">
            <v>55.88</v>
          </cell>
          <cell r="Q77">
            <v>4.4103110000000001</v>
          </cell>
          <cell r="R77" t="e">
            <v>#N/A</v>
          </cell>
          <cell r="AI77" t="str">
            <v>IQD Iraqi Dinar</v>
          </cell>
          <cell r="AJ77" t="str">
            <v>IQD</v>
          </cell>
          <cell r="AK77" t="str">
            <v>IQD</v>
          </cell>
          <cell r="AL77" t="str">
            <v>IQD</v>
          </cell>
          <cell r="AM77">
            <v>0</v>
          </cell>
          <cell r="AN77">
            <v>2</v>
          </cell>
        </row>
        <row r="78">
          <cell r="A78">
            <v>39265</v>
          </cell>
          <cell r="B78">
            <v>39265</v>
          </cell>
          <cell r="C78" t="str">
            <v>Past</v>
          </cell>
          <cell r="D78">
            <v>56.73</v>
          </cell>
          <cell r="E78" t="e">
            <v>#N/A</v>
          </cell>
          <cell r="F78" t="e">
            <v>#N/A</v>
          </cell>
          <cell r="G78" t="e">
            <v>#N/A</v>
          </cell>
          <cell r="H78" t="e">
            <v>#N/A</v>
          </cell>
          <cell r="I78" t="e">
            <v>#N/A</v>
          </cell>
          <cell r="J78" t="e">
            <v>#N/A</v>
          </cell>
          <cell r="K78" t="e">
            <v>#N/A</v>
          </cell>
          <cell r="L78" t="e">
            <v>#N/A</v>
          </cell>
          <cell r="M78" t="e">
            <v>#N/A</v>
          </cell>
          <cell r="N78" t="e">
            <v>#N/A</v>
          </cell>
          <cell r="O78" t="e">
            <v>#N/A</v>
          </cell>
          <cell r="P78">
            <v>56.73</v>
          </cell>
          <cell r="Q78">
            <v>3.6108500000000001</v>
          </cell>
          <cell r="R78" t="e">
            <v>#N/A</v>
          </cell>
          <cell r="AI78" t="str">
            <v>IRR Iranian Rial</v>
          </cell>
          <cell r="AJ78" t="str">
            <v>IRR</v>
          </cell>
          <cell r="AK78" t="str">
            <v>IRR</v>
          </cell>
          <cell r="AL78" t="str">
            <v>IRR</v>
          </cell>
          <cell r="AM78">
            <v>0</v>
          </cell>
          <cell r="AN78">
            <v>2</v>
          </cell>
        </row>
        <row r="79">
          <cell r="A79">
            <v>39266</v>
          </cell>
          <cell r="B79">
            <v>39266</v>
          </cell>
          <cell r="C79" t="str">
            <v>Past</v>
          </cell>
          <cell r="D79">
            <v>56.79</v>
          </cell>
          <cell r="E79" t="e">
            <v>#N/A</v>
          </cell>
          <cell r="F79" t="e">
            <v>#N/A</v>
          </cell>
          <cell r="G79" t="e">
            <v>#N/A</v>
          </cell>
          <cell r="H79" t="e">
            <v>#N/A</v>
          </cell>
          <cell r="I79" t="e">
            <v>#N/A</v>
          </cell>
          <cell r="J79" t="e">
            <v>#N/A</v>
          </cell>
          <cell r="K79" t="e">
            <v>#N/A</v>
          </cell>
          <cell r="L79" t="e">
            <v>#N/A</v>
          </cell>
          <cell r="M79" t="e">
            <v>#N/A</v>
          </cell>
          <cell r="N79" t="e">
            <v>#N/A</v>
          </cell>
          <cell r="O79" t="e">
            <v>#N/A</v>
          </cell>
          <cell r="P79">
            <v>56.79</v>
          </cell>
          <cell r="Q79">
            <v>1.4956779999999998</v>
          </cell>
          <cell r="R79" t="e">
            <v>#N/A</v>
          </cell>
          <cell r="AI79" t="str">
            <v>ISK Iceland Krona</v>
          </cell>
          <cell r="AJ79" t="str">
            <v>kr</v>
          </cell>
          <cell r="AK79" t="str">
            <v>ISK</v>
          </cell>
          <cell r="AL79" t="str">
            <v>ISK</v>
          </cell>
          <cell r="AM79">
            <v>0</v>
          </cell>
          <cell r="AN79">
            <v>2</v>
          </cell>
        </row>
        <row r="80">
          <cell r="A80">
            <v>39268</v>
          </cell>
          <cell r="B80">
            <v>39268</v>
          </cell>
          <cell r="C80" t="str">
            <v>Past</v>
          </cell>
          <cell r="D80">
            <v>56.56</v>
          </cell>
          <cell r="E80" t="e">
            <v>#N/A</v>
          </cell>
          <cell r="F80" t="e">
            <v>#N/A</v>
          </cell>
          <cell r="G80" t="e">
            <v>#N/A</v>
          </cell>
          <cell r="H80" t="e">
            <v>#N/A</v>
          </cell>
          <cell r="I80" t="e">
            <v>#N/A</v>
          </cell>
          <cell r="J80" t="e">
            <v>#N/A</v>
          </cell>
          <cell r="K80" t="e">
            <v>#N/A</v>
          </cell>
          <cell r="L80" t="e">
            <v>#N/A</v>
          </cell>
          <cell r="M80" t="e">
            <v>#N/A</v>
          </cell>
          <cell r="N80" t="e">
            <v>#N/A</v>
          </cell>
          <cell r="O80" t="e">
            <v>#N/A</v>
          </cell>
          <cell r="P80">
            <v>56.56</v>
          </cell>
          <cell r="Q80">
            <v>2.675608</v>
          </cell>
          <cell r="R80" t="e">
            <v>#N/A</v>
          </cell>
          <cell r="AI80" t="str">
            <v>JMD Jamaican Dollars</v>
          </cell>
          <cell r="AJ80" t="str">
            <v>JMD</v>
          </cell>
          <cell r="AK80" t="str">
            <v>JMD</v>
          </cell>
          <cell r="AL80" t="str">
            <v>JMD</v>
          </cell>
          <cell r="AM80">
            <v>0</v>
          </cell>
          <cell r="AN80">
            <v>2</v>
          </cell>
        </row>
        <row r="81">
          <cell r="A81">
            <v>39269</v>
          </cell>
          <cell r="B81">
            <v>39269</v>
          </cell>
          <cell r="C81" t="str">
            <v>Past</v>
          </cell>
          <cell r="D81">
            <v>56.64</v>
          </cell>
          <cell r="E81" t="e">
            <v>#N/A</v>
          </cell>
          <cell r="F81" t="e">
            <v>#N/A</v>
          </cell>
          <cell r="G81" t="e">
            <v>#N/A</v>
          </cell>
          <cell r="H81" t="e">
            <v>#N/A</v>
          </cell>
          <cell r="I81" t="e">
            <v>#N/A</v>
          </cell>
          <cell r="J81" t="e">
            <v>#N/A</v>
          </cell>
          <cell r="K81" t="e">
            <v>#N/A</v>
          </cell>
          <cell r="L81" t="e">
            <v>#N/A</v>
          </cell>
          <cell r="M81" t="e">
            <v>#N/A</v>
          </cell>
          <cell r="N81" t="e">
            <v>#N/A</v>
          </cell>
          <cell r="O81" t="e">
            <v>#N/A</v>
          </cell>
          <cell r="P81">
            <v>56.64</v>
          </cell>
          <cell r="Q81">
            <v>3.3121</v>
          </cell>
          <cell r="R81" t="e">
            <v>#N/A</v>
          </cell>
          <cell r="AI81" t="str">
            <v>JPY Japanese Yen</v>
          </cell>
          <cell r="AJ81" t="str">
            <v>¥</v>
          </cell>
          <cell r="AK81" t="str">
            <v>JPY</v>
          </cell>
          <cell r="AL81" t="str">
            <v>JPY</v>
          </cell>
          <cell r="AM81">
            <v>0</v>
          </cell>
          <cell r="AN81">
            <v>0</v>
          </cell>
        </row>
        <row r="82">
          <cell r="A82">
            <v>39272</v>
          </cell>
          <cell r="B82">
            <v>39272</v>
          </cell>
          <cell r="C82" t="str">
            <v>Past</v>
          </cell>
          <cell r="D82">
            <v>56.04</v>
          </cell>
          <cell r="E82" t="e">
            <v>#N/A</v>
          </cell>
          <cell r="F82" t="e">
            <v>#N/A</v>
          </cell>
          <cell r="G82" t="e">
            <v>#N/A</v>
          </cell>
          <cell r="H82" t="e">
            <v>#N/A</v>
          </cell>
          <cell r="I82" t="e">
            <v>#N/A</v>
          </cell>
          <cell r="J82" t="e">
            <v>#N/A</v>
          </cell>
          <cell r="K82" t="e">
            <v>#N/A</v>
          </cell>
          <cell r="L82" t="e">
            <v>#N/A</v>
          </cell>
          <cell r="M82" t="e">
            <v>#N/A</v>
          </cell>
          <cell r="N82" t="e">
            <v>#N/A</v>
          </cell>
          <cell r="O82" t="e">
            <v>#N/A</v>
          </cell>
          <cell r="P82">
            <v>56.04</v>
          </cell>
          <cell r="Q82">
            <v>5.2831489999999999</v>
          </cell>
          <cell r="R82" t="e">
            <v>#N/A</v>
          </cell>
          <cell r="AI82" t="str">
            <v>KES Kenyan Shilling</v>
          </cell>
          <cell r="AJ82" t="str">
            <v>KES</v>
          </cell>
          <cell r="AK82" t="str">
            <v>KES</v>
          </cell>
          <cell r="AL82" t="str">
            <v>KES</v>
          </cell>
          <cell r="AM82">
            <v>0</v>
          </cell>
          <cell r="AN82">
            <v>0</v>
          </cell>
        </row>
        <row r="83">
          <cell r="A83">
            <v>39273</v>
          </cell>
          <cell r="B83">
            <v>39273</v>
          </cell>
          <cell r="C83" t="str">
            <v>Past</v>
          </cell>
          <cell r="D83">
            <v>55.44</v>
          </cell>
          <cell r="E83" t="e">
            <v>#N/A</v>
          </cell>
          <cell r="F83" t="e">
            <v>#N/A</v>
          </cell>
          <cell r="G83" t="e">
            <v>#N/A</v>
          </cell>
          <cell r="H83" t="e">
            <v>#N/A</v>
          </cell>
          <cell r="I83" t="e">
            <v>#N/A</v>
          </cell>
          <cell r="J83" t="e">
            <v>#N/A</v>
          </cell>
          <cell r="K83" t="e">
            <v>#N/A</v>
          </cell>
          <cell r="L83" t="e">
            <v>#N/A</v>
          </cell>
          <cell r="M83" t="e">
            <v>#N/A</v>
          </cell>
          <cell r="N83" t="e">
            <v>#N/A</v>
          </cell>
          <cell r="O83" t="e">
            <v>#N/A</v>
          </cell>
          <cell r="P83">
            <v>55.44</v>
          </cell>
          <cell r="Q83">
            <v>4.202</v>
          </cell>
          <cell r="R83" t="e">
            <v>#N/A</v>
          </cell>
          <cell r="AI83" t="str">
            <v>KRW South Korean Won</v>
          </cell>
          <cell r="AJ83" t="str">
            <v>₩</v>
          </cell>
          <cell r="AK83" t="str">
            <v>KRW</v>
          </cell>
          <cell r="AL83" t="str">
            <v>KRW</v>
          </cell>
          <cell r="AM83">
            <v>0</v>
          </cell>
          <cell r="AN83">
            <v>0</v>
          </cell>
        </row>
        <row r="84">
          <cell r="A84">
            <v>39274</v>
          </cell>
          <cell r="B84">
            <v>39274</v>
          </cell>
          <cell r="C84" t="str">
            <v>Past</v>
          </cell>
          <cell r="D84">
            <v>55.76</v>
          </cell>
          <cell r="E84" t="e">
            <v>#N/A</v>
          </cell>
          <cell r="F84" t="e">
            <v>#N/A</v>
          </cell>
          <cell r="G84" t="e">
            <v>#N/A</v>
          </cell>
          <cell r="H84" t="e">
            <v>#N/A</v>
          </cell>
          <cell r="I84" t="e">
            <v>#N/A</v>
          </cell>
          <cell r="J84" t="e">
            <v>#N/A</v>
          </cell>
          <cell r="K84" t="e">
            <v>#N/A</v>
          </cell>
          <cell r="L84" t="e">
            <v>#N/A</v>
          </cell>
          <cell r="M84" t="e">
            <v>#N/A</v>
          </cell>
          <cell r="N84" t="e">
            <v>#N/A</v>
          </cell>
          <cell r="O84" t="e">
            <v>#N/A</v>
          </cell>
          <cell r="P84">
            <v>55.76</v>
          </cell>
          <cell r="Q84">
            <v>3.5052000000000003</v>
          </cell>
          <cell r="R84" t="e">
            <v>#N/A</v>
          </cell>
          <cell r="AI84" t="str">
            <v>KWD Kuwaiti Dinar</v>
          </cell>
          <cell r="AJ84" t="str">
            <v>KWD</v>
          </cell>
          <cell r="AK84" t="str">
            <v>KWD</v>
          </cell>
          <cell r="AL84" t="str">
            <v>KWD</v>
          </cell>
          <cell r="AM84">
            <v>0</v>
          </cell>
          <cell r="AN84">
            <v>2</v>
          </cell>
        </row>
        <row r="85">
          <cell r="A85">
            <v>39275</v>
          </cell>
          <cell r="B85">
            <v>39275</v>
          </cell>
          <cell r="C85" t="str">
            <v>Past</v>
          </cell>
          <cell r="D85">
            <v>56.79</v>
          </cell>
          <cell r="E85" t="e">
            <v>#N/A</v>
          </cell>
          <cell r="F85" t="e">
            <v>#N/A</v>
          </cell>
          <cell r="G85" t="e">
            <v>#N/A</v>
          </cell>
          <cell r="H85" t="e">
            <v>#N/A</v>
          </cell>
          <cell r="I85" t="e">
            <v>#N/A</v>
          </cell>
          <cell r="J85" t="e">
            <v>#N/A</v>
          </cell>
          <cell r="K85" t="e">
            <v>#N/A</v>
          </cell>
          <cell r="L85" t="e">
            <v>#N/A</v>
          </cell>
          <cell r="M85" t="e">
            <v>#N/A</v>
          </cell>
          <cell r="N85" t="e">
            <v>#N/A</v>
          </cell>
          <cell r="O85" t="e">
            <v>#N/A</v>
          </cell>
          <cell r="P85">
            <v>56.79</v>
          </cell>
          <cell r="Q85">
            <v>4.2929500000000003</v>
          </cell>
          <cell r="R85" t="e">
            <v>#N/A</v>
          </cell>
          <cell r="AI85" t="str">
            <v>KYD Cayman Dollars</v>
          </cell>
          <cell r="AJ85" t="str">
            <v>KYD</v>
          </cell>
          <cell r="AK85" t="str">
            <v>KYD</v>
          </cell>
          <cell r="AL85" t="str">
            <v>KYD</v>
          </cell>
          <cell r="AM85">
            <v>0</v>
          </cell>
          <cell r="AN85">
            <v>2</v>
          </cell>
        </row>
        <row r="86">
          <cell r="A86">
            <v>39276</v>
          </cell>
          <cell r="B86">
            <v>39276</v>
          </cell>
          <cell r="C86" t="str">
            <v>Past</v>
          </cell>
          <cell r="D86">
            <v>56.92</v>
          </cell>
          <cell r="E86" t="e">
            <v>#N/A</v>
          </cell>
          <cell r="F86" t="e">
            <v>#N/A</v>
          </cell>
          <cell r="G86" t="e">
            <v>#N/A</v>
          </cell>
          <cell r="H86" t="e">
            <v>#N/A</v>
          </cell>
          <cell r="I86" t="e">
            <v>#N/A</v>
          </cell>
          <cell r="J86" t="e">
            <v>#N/A</v>
          </cell>
          <cell r="K86" t="e">
            <v>#N/A</v>
          </cell>
          <cell r="L86" t="e">
            <v>#N/A</v>
          </cell>
          <cell r="M86" t="e">
            <v>#N/A</v>
          </cell>
          <cell r="N86" t="e">
            <v>#N/A</v>
          </cell>
          <cell r="O86" t="e">
            <v>#N/A</v>
          </cell>
          <cell r="P86">
            <v>56.92</v>
          </cell>
          <cell r="Q86">
            <v>2.8940379999999997</v>
          </cell>
          <cell r="R86" t="e">
            <v>#N/A</v>
          </cell>
          <cell r="AI86" t="str">
            <v>LKR Sri Lankan Rupee</v>
          </cell>
          <cell r="AJ86" t="str">
            <v>LKR</v>
          </cell>
          <cell r="AK86" t="str">
            <v>LKR</v>
          </cell>
          <cell r="AL86" t="str">
            <v>LKR</v>
          </cell>
          <cell r="AM86">
            <v>0</v>
          </cell>
          <cell r="AN86">
            <v>2</v>
          </cell>
        </row>
        <row r="87">
          <cell r="A87">
            <v>39279</v>
          </cell>
          <cell r="B87">
            <v>39279</v>
          </cell>
          <cell r="C87" t="str">
            <v>Past</v>
          </cell>
          <cell r="D87">
            <v>56.89</v>
          </cell>
          <cell r="E87" t="e">
            <v>#N/A</v>
          </cell>
          <cell r="F87" t="e">
            <v>#N/A</v>
          </cell>
          <cell r="G87" t="e">
            <v>#N/A</v>
          </cell>
          <cell r="H87" t="e">
            <v>#N/A</v>
          </cell>
          <cell r="I87" t="e">
            <v>#N/A</v>
          </cell>
          <cell r="J87" t="e">
            <v>#N/A</v>
          </cell>
          <cell r="K87" t="e">
            <v>#N/A</v>
          </cell>
          <cell r="L87" t="e">
            <v>#N/A</v>
          </cell>
          <cell r="M87" t="e">
            <v>#N/A</v>
          </cell>
          <cell r="N87" t="e">
            <v>#N/A</v>
          </cell>
          <cell r="O87" t="e">
            <v>#N/A</v>
          </cell>
          <cell r="P87">
            <v>56.89</v>
          </cell>
          <cell r="Q87">
            <v>3.6032000000000002</v>
          </cell>
          <cell r="R87" t="e">
            <v>#N/A</v>
          </cell>
          <cell r="AI87" t="str">
            <v>MAD Moroccan Dirham</v>
          </cell>
          <cell r="AJ87" t="str">
            <v>MAD</v>
          </cell>
          <cell r="AK87" t="str">
            <v>MAD</v>
          </cell>
          <cell r="AL87" t="str">
            <v>MAD</v>
          </cell>
          <cell r="AM87">
            <v>0</v>
          </cell>
          <cell r="AN87">
            <v>2</v>
          </cell>
        </row>
        <row r="88">
          <cell r="A88">
            <v>39280</v>
          </cell>
          <cell r="B88">
            <v>39280</v>
          </cell>
          <cell r="C88" t="str">
            <v>Past</v>
          </cell>
          <cell r="D88">
            <v>56.4</v>
          </cell>
          <cell r="E88" t="e">
            <v>#N/A</v>
          </cell>
          <cell r="F88" t="e">
            <v>#N/A</v>
          </cell>
          <cell r="G88" t="e">
            <v>#N/A</v>
          </cell>
          <cell r="H88" t="e">
            <v>#N/A</v>
          </cell>
          <cell r="I88" t="e">
            <v>#N/A</v>
          </cell>
          <cell r="J88" t="e">
            <v>#N/A</v>
          </cell>
          <cell r="K88" t="e">
            <v>#N/A</v>
          </cell>
          <cell r="L88" t="e">
            <v>#N/A</v>
          </cell>
          <cell r="M88" t="e">
            <v>#N/A</v>
          </cell>
          <cell r="N88" t="e">
            <v>#N/A</v>
          </cell>
          <cell r="O88" t="e">
            <v>#N/A</v>
          </cell>
          <cell r="P88">
            <v>56.4</v>
          </cell>
          <cell r="Q88">
            <v>4.2957900000000002</v>
          </cell>
          <cell r="R88" t="e">
            <v>#N/A</v>
          </cell>
          <cell r="AI88" t="str">
            <v>MXN Mexican Pesos (new)</v>
          </cell>
          <cell r="AJ88" t="str">
            <v>M$</v>
          </cell>
          <cell r="AK88" t="str">
            <v>MXN</v>
          </cell>
          <cell r="AL88" t="str">
            <v>MXN</v>
          </cell>
          <cell r="AM88">
            <v>0</v>
          </cell>
          <cell r="AN88">
            <v>2</v>
          </cell>
        </row>
        <row r="89">
          <cell r="A89">
            <v>39281</v>
          </cell>
          <cell r="B89">
            <v>39281</v>
          </cell>
          <cell r="C89" t="str">
            <v>Past</v>
          </cell>
          <cell r="D89">
            <v>56.05</v>
          </cell>
          <cell r="E89" t="e">
            <v>#N/A</v>
          </cell>
          <cell r="F89" t="e">
            <v>#N/A</v>
          </cell>
          <cell r="G89" t="e">
            <v>#N/A</v>
          </cell>
          <cell r="H89" t="e">
            <v>#N/A</v>
          </cell>
          <cell r="I89" t="e">
            <v>#N/A</v>
          </cell>
          <cell r="J89" t="e">
            <v>#N/A</v>
          </cell>
          <cell r="K89" t="e">
            <v>#N/A</v>
          </cell>
          <cell r="L89" t="e">
            <v>#N/A</v>
          </cell>
          <cell r="M89" t="e">
            <v>#N/A</v>
          </cell>
          <cell r="N89" t="e">
            <v>#N/A</v>
          </cell>
          <cell r="O89" t="e">
            <v>#N/A</v>
          </cell>
          <cell r="P89">
            <v>56.05</v>
          </cell>
          <cell r="Q89">
            <v>5.4182290000000002</v>
          </cell>
          <cell r="R89" t="e">
            <v>#N/A</v>
          </cell>
          <cell r="AI89" t="str">
            <v>MYR Malaysian Ringgit</v>
          </cell>
          <cell r="AJ89" t="str">
            <v>RM</v>
          </cell>
          <cell r="AK89" t="str">
            <v>MYR</v>
          </cell>
          <cell r="AL89" t="str">
            <v>MYR</v>
          </cell>
          <cell r="AM89">
            <v>0</v>
          </cell>
          <cell r="AN89">
            <v>2</v>
          </cell>
        </row>
        <row r="90">
          <cell r="A90">
            <v>39282</v>
          </cell>
          <cell r="B90">
            <v>39282</v>
          </cell>
          <cell r="C90" t="str">
            <v>Past</v>
          </cell>
          <cell r="D90">
            <v>56.38</v>
          </cell>
          <cell r="E90" t="e">
            <v>#N/A</v>
          </cell>
          <cell r="F90" t="e">
            <v>#N/A</v>
          </cell>
          <cell r="G90" t="e">
            <v>#N/A</v>
          </cell>
          <cell r="H90" t="e">
            <v>#N/A</v>
          </cell>
          <cell r="I90" t="e">
            <v>#N/A</v>
          </cell>
          <cell r="J90" t="e">
            <v>#N/A</v>
          </cell>
          <cell r="K90" t="e">
            <v>#N/A</v>
          </cell>
          <cell r="L90" t="e">
            <v>#N/A</v>
          </cell>
          <cell r="M90" t="e">
            <v>#N/A</v>
          </cell>
          <cell r="N90" t="e">
            <v>#N/A</v>
          </cell>
          <cell r="O90" t="e">
            <v>#N/A</v>
          </cell>
          <cell r="P90">
            <v>56.38</v>
          </cell>
          <cell r="Q90">
            <v>4.6968559999999995</v>
          </cell>
          <cell r="R90" t="e">
            <v>#N/A</v>
          </cell>
          <cell r="AI90" t="str">
            <v>NOK Norwegian Krone</v>
          </cell>
          <cell r="AJ90" t="str">
            <v>NKr</v>
          </cell>
          <cell r="AK90" t="str">
            <v>NOK</v>
          </cell>
          <cell r="AL90" t="str">
            <v>NOK</v>
          </cell>
          <cell r="AM90">
            <v>0</v>
          </cell>
          <cell r="AN90">
            <v>2</v>
          </cell>
        </row>
        <row r="91">
          <cell r="A91">
            <v>39283</v>
          </cell>
          <cell r="B91">
            <v>39283</v>
          </cell>
          <cell r="C91" t="str">
            <v>Past</v>
          </cell>
          <cell r="D91">
            <v>56.03</v>
          </cell>
          <cell r="E91" t="e">
            <v>#N/A</v>
          </cell>
          <cell r="F91" t="e">
            <v>#N/A</v>
          </cell>
          <cell r="G91" t="e">
            <v>#N/A</v>
          </cell>
          <cell r="H91" t="e">
            <v>#N/A</v>
          </cell>
          <cell r="I91" t="e">
            <v>#N/A</v>
          </cell>
          <cell r="J91" t="e">
            <v>#N/A</v>
          </cell>
          <cell r="K91" t="e">
            <v>#N/A</v>
          </cell>
          <cell r="L91" t="e">
            <v>#N/A</v>
          </cell>
          <cell r="M91" t="e">
            <v>#N/A</v>
          </cell>
          <cell r="N91" t="e">
            <v>#N/A</v>
          </cell>
          <cell r="O91" t="e">
            <v>#N/A</v>
          </cell>
          <cell r="P91">
            <v>56.03</v>
          </cell>
          <cell r="Q91">
            <v>6.8578999999999999</v>
          </cell>
          <cell r="R91" t="e">
            <v>#N/A</v>
          </cell>
          <cell r="AI91" t="str">
            <v>NZD New Zealand Dollars</v>
          </cell>
          <cell r="AJ91" t="str">
            <v>NZ$</v>
          </cell>
          <cell r="AK91" t="str">
            <v>NZD</v>
          </cell>
          <cell r="AL91" t="str">
            <v>NZD</v>
          </cell>
          <cell r="AM91">
            <v>0</v>
          </cell>
          <cell r="AN91">
            <v>2</v>
          </cell>
        </row>
        <row r="92">
          <cell r="A92">
            <v>39286</v>
          </cell>
          <cell r="B92">
            <v>39286</v>
          </cell>
          <cell r="C92" t="str">
            <v>Past</v>
          </cell>
          <cell r="D92">
            <v>57.17</v>
          </cell>
          <cell r="E92" t="e">
            <v>#N/A</v>
          </cell>
          <cell r="F92" t="e">
            <v>#N/A</v>
          </cell>
          <cell r="G92" t="e">
            <v>#N/A</v>
          </cell>
          <cell r="H92" t="e">
            <v>#N/A</v>
          </cell>
          <cell r="I92" t="e">
            <v>#N/A</v>
          </cell>
          <cell r="J92" t="e">
            <v>#N/A</v>
          </cell>
          <cell r="K92" t="e">
            <v>#N/A</v>
          </cell>
          <cell r="L92" t="e">
            <v>#N/A</v>
          </cell>
          <cell r="M92" t="e">
            <v>#N/A</v>
          </cell>
          <cell r="N92" t="e">
            <v>#N/A</v>
          </cell>
          <cell r="O92" t="e">
            <v>#N/A</v>
          </cell>
          <cell r="P92">
            <v>57.17</v>
          </cell>
          <cell r="Q92">
            <v>5.8880949999999999</v>
          </cell>
          <cell r="R92" t="e">
            <v>#N/A</v>
          </cell>
          <cell r="AI92" t="str">
            <v>OMR Rial Omani</v>
          </cell>
          <cell r="AJ92" t="str">
            <v>OMR</v>
          </cell>
          <cell r="AK92" t="str">
            <v>OMR</v>
          </cell>
          <cell r="AL92" t="str">
            <v>OMR</v>
          </cell>
          <cell r="AM92">
            <v>0</v>
          </cell>
          <cell r="AN92">
            <v>2</v>
          </cell>
        </row>
        <row r="93">
          <cell r="A93">
            <v>39287</v>
          </cell>
          <cell r="B93">
            <v>39287</v>
          </cell>
          <cell r="C93" t="str">
            <v>Past</v>
          </cell>
          <cell r="D93">
            <v>57.17</v>
          </cell>
          <cell r="E93" t="e">
            <v>#N/A</v>
          </cell>
          <cell r="F93" t="e">
            <v>#N/A</v>
          </cell>
          <cell r="G93" t="e">
            <v>#N/A</v>
          </cell>
          <cell r="H93" t="e">
            <v>#N/A</v>
          </cell>
          <cell r="I93" t="e">
            <v>#N/A</v>
          </cell>
          <cell r="J93" t="e">
            <v>#N/A</v>
          </cell>
          <cell r="K93" t="e">
            <v>#N/A</v>
          </cell>
          <cell r="L93" t="e">
            <v>#N/A</v>
          </cell>
          <cell r="M93" t="e">
            <v>#N/A</v>
          </cell>
          <cell r="N93" t="e">
            <v>#N/A</v>
          </cell>
          <cell r="O93" t="e">
            <v>#N/A</v>
          </cell>
          <cell r="P93">
            <v>57.17</v>
          </cell>
          <cell r="Q93">
            <v>10.90849</v>
          </cell>
          <cell r="R93" t="e">
            <v>#N/A</v>
          </cell>
          <cell r="AI93" t="str">
            <v>PAB Panamanian Balboa</v>
          </cell>
          <cell r="AJ93" t="str">
            <v>PAB</v>
          </cell>
          <cell r="AK93" t="str">
            <v>PAB</v>
          </cell>
          <cell r="AL93" t="str">
            <v>PAB</v>
          </cell>
          <cell r="AM93">
            <v>0</v>
          </cell>
          <cell r="AN93">
            <v>2</v>
          </cell>
        </row>
        <row r="94">
          <cell r="A94">
            <v>39288</v>
          </cell>
          <cell r="B94">
            <v>39288</v>
          </cell>
          <cell r="C94" t="str">
            <v>Past</v>
          </cell>
          <cell r="D94">
            <v>58.44</v>
          </cell>
          <cell r="E94" t="e">
            <v>#N/A</v>
          </cell>
          <cell r="F94" t="e">
            <v>#N/A</v>
          </cell>
          <cell r="G94" t="e">
            <v>#N/A</v>
          </cell>
          <cell r="H94" t="e">
            <v>#N/A</v>
          </cell>
          <cell r="I94" t="e">
            <v>#N/A</v>
          </cell>
          <cell r="J94" t="e">
            <v>#N/A</v>
          </cell>
          <cell r="K94" t="e">
            <v>#N/A</v>
          </cell>
          <cell r="L94" t="e">
            <v>#N/A</v>
          </cell>
          <cell r="M94" t="e">
            <v>#N/A</v>
          </cell>
          <cell r="N94" t="e">
            <v>#N/A</v>
          </cell>
          <cell r="O94" t="e">
            <v>#N/A</v>
          </cell>
          <cell r="P94">
            <v>58.44</v>
          </cell>
          <cell r="Q94">
            <v>7.3154709999999996</v>
          </cell>
          <cell r="R94" t="e">
            <v>#N/A</v>
          </cell>
          <cell r="AI94" t="str">
            <v>PEN Peruvian PEN</v>
          </cell>
          <cell r="AJ94" t="str">
            <v>PEN</v>
          </cell>
          <cell r="AK94" t="str">
            <v>PEN</v>
          </cell>
          <cell r="AL94" t="str">
            <v>PEN</v>
          </cell>
          <cell r="AM94">
            <v>0</v>
          </cell>
          <cell r="AN94">
            <v>2</v>
          </cell>
        </row>
        <row r="95">
          <cell r="A95">
            <v>39289</v>
          </cell>
          <cell r="B95">
            <v>39289</v>
          </cell>
          <cell r="C95" t="str">
            <v>Past</v>
          </cell>
          <cell r="D95">
            <v>56.7</v>
          </cell>
          <cell r="E95" t="e">
            <v>#N/A</v>
          </cell>
          <cell r="F95" t="e">
            <v>#N/A</v>
          </cell>
          <cell r="G95" t="e">
            <v>#N/A</v>
          </cell>
          <cell r="H95" t="e">
            <v>#N/A</v>
          </cell>
          <cell r="I95" t="e">
            <v>#N/A</v>
          </cell>
          <cell r="J95" t="e">
            <v>#N/A</v>
          </cell>
          <cell r="K95" t="e">
            <v>#N/A</v>
          </cell>
          <cell r="L95" t="e">
            <v>#N/A</v>
          </cell>
          <cell r="M95" t="e">
            <v>#N/A</v>
          </cell>
          <cell r="N95" t="e">
            <v>#N/A</v>
          </cell>
          <cell r="O95" t="e">
            <v>#N/A</v>
          </cell>
          <cell r="P95">
            <v>56.7</v>
          </cell>
          <cell r="Q95">
            <v>8.3653529999999989</v>
          </cell>
          <cell r="R95" t="e">
            <v>#N/A</v>
          </cell>
          <cell r="AI95" t="str">
            <v>PHP Philippino Peso</v>
          </cell>
          <cell r="AJ95" t="str">
            <v>PP</v>
          </cell>
          <cell r="AK95" t="str">
            <v>PHP</v>
          </cell>
          <cell r="AL95" t="str">
            <v>PHP</v>
          </cell>
          <cell r="AM95">
            <v>0</v>
          </cell>
          <cell r="AN95">
            <v>2</v>
          </cell>
        </row>
        <row r="96">
          <cell r="A96">
            <v>39290</v>
          </cell>
          <cell r="B96">
            <v>39290</v>
          </cell>
          <cell r="C96" t="str">
            <v>Past</v>
          </cell>
          <cell r="D96">
            <v>55.02</v>
          </cell>
          <cell r="E96" t="e">
            <v>#N/A</v>
          </cell>
          <cell r="F96" t="e">
            <v>#N/A</v>
          </cell>
          <cell r="G96" t="e">
            <v>#N/A</v>
          </cell>
          <cell r="H96" t="e">
            <v>#N/A</v>
          </cell>
          <cell r="I96" t="e">
            <v>#N/A</v>
          </cell>
          <cell r="J96" t="e">
            <v>#N/A</v>
          </cell>
          <cell r="K96" t="e">
            <v>#N/A</v>
          </cell>
          <cell r="L96" t="e">
            <v>#N/A</v>
          </cell>
          <cell r="M96" t="e">
            <v>#N/A</v>
          </cell>
          <cell r="N96" t="e">
            <v>#N/A</v>
          </cell>
          <cell r="O96" t="e">
            <v>#N/A</v>
          </cell>
          <cell r="P96">
            <v>55.02</v>
          </cell>
          <cell r="Q96">
            <v>6.3537309999999998</v>
          </cell>
          <cell r="R96" t="e">
            <v>#N/A</v>
          </cell>
          <cell r="AI96" t="str">
            <v>PKR Pakistani Rupee</v>
          </cell>
          <cell r="AJ96" t="str">
            <v>Rs.</v>
          </cell>
          <cell r="AK96" t="str">
            <v>PKR</v>
          </cell>
          <cell r="AL96" t="str">
            <v>PKR</v>
          </cell>
          <cell r="AM96">
            <v>0</v>
          </cell>
          <cell r="AN96">
            <v>2</v>
          </cell>
        </row>
        <row r="97">
          <cell r="A97">
            <v>39293</v>
          </cell>
          <cell r="B97">
            <v>39293</v>
          </cell>
          <cell r="C97" t="str">
            <v>Past</v>
          </cell>
          <cell r="D97">
            <v>54.77</v>
          </cell>
          <cell r="E97" t="e">
            <v>#N/A</v>
          </cell>
          <cell r="F97" t="e">
            <v>#N/A</v>
          </cell>
          <cell r="G97" t="e">
            <v>#N/A</v>
          </cell>
          <cell r="H97" t="e">
            <v>#N/A</v>
          </cell>
          <cell r="I97" t="e">
            <v>#N/A</v>
          </cell>
          <cell r="J97" t="e">
            <v>#N/A</v>
          </cell>
          <cell r="K97" t="e">
            <v>#N/A</v>
          </cell>
          <cell r="L97" t="e">
            <v>#N/A</v>
          </cell>
          <cell r="M97" t="e">
            <v>#N/A</v>
          </cell>
          <cell r="N97" t="e">
            <v>#N/A</v>
          </cell>
          <cell r="O97" t="e">
            <v>#N/A</v>
          </cell>
          <cell r="P97">
            <v>54.77</v>
          </cell>
          <cell r="Q97">
            <v>5.8481889999999996</v>
          </cell>
          <cell r="R97" t="e">
            <v>#N/A</v>
          </cell>
          <cell r="AI97" t="str">
            <v>PLN Polish Zloty</v>
          </cell>
          <cell r="AJ97" t="str">
            <v>zł</v>
          </cell>
          <cell r="AK97" t="str">
            <v>PLN</v>
          </cell>
          <cell r="AL97" t="str">
            <v>PLN</v>
          </cell>
          <cell r="AM97">
            <v>0</v>
          </cell>
          <cell r="AN97">
            <v>2</v>
          </cell>
        </row>
        <row r="98">
          <cell r="A98">
            <v>39294</v>
          </cell>
          <cell r="B98">
            <v>39294</v>
          </cell>
          <cell r="C98" t="str">
            <v>Past</v>
          </cell>
          <cell r="D98">
            <v>54.09</v>
          </cell>
          <cell r="E98" t="e">
            <v>#N/A</v>
          </cell>
          <cell r="F98" t="e">
            <v>#N/A</v>
          </cell>
          <cell r="G98" t="e">
            <v>#N/A</v>
          </cell>
          <cell r="H98" t="e">
            <v>#N/A</v>
          </cell>
          <cell r="I98" t="e">
            <v>#N/A</v>
          </cell>
          <cell r="J98" t="e">
            <v>#N/A</v>
          </cell>
          <cell r="K98" t="e">
            <v>#N/A</v>
          </cell>
          <cell r="L98" t="e">
            <v>#N/A</v>
          </cell>
          <cell r="M98" t="e">
            <v>#N/A</v>
          </cell>
          <cell r="N98" t="e">
            <v>#N/A</v>
          </cell>
          <cell r="O98" t="e">
            <v>#N/A</v>
          </cell>
          <cell r="P98">
            <v>54.09</v>
          </cell>
          <cell r="Q98">
            <v>8.2728470000000005</v>
          </cell>
          <cell r="R98" t="e">
            <v>#N/A</v>
          </cell>
          <cell r="AI98" t="str">
            <v>QAR Qatari Riyal</v>
          </cell>
          <cell r="AJ98" t="str">
            <v>QAR</v>
          </cell>
          <cell r="AK98" t="str">
            <v>QAR</v>
          </cell>
          <cell r="AL98" t="str">
            <v>QAR</v>
          </cell>
          <cell r="AM98">
            <v>0</v>
          </cell>
          <cell r="AN98">
            <v>2</v>
          </cell>
        </row>
        <row r="99">
          <cell r="A99">
            <v>39295</v>
          </cell>
          <cell r="B99">
            <v>39295</v>
          </cell>
          <cell r="C99" t="str">
            <v>Past</v>
          </cell>
          <cell r="D99">
            <v>54.2</v>
          </cell>
          <cell r="E99" t="e">
            <v>#N/A</v>
          </cell>
          <cell r="F99" t="e">
            <v>#N/A</v>
          </cell>
          <cell r="G99" t="e">
            <v>#N/A</v>
          </cell>
          <cell r="H99" t="e">
            <v>#N/A</v>
          </cell>
          <cell r="I99" t="e">
            <v>#N/A</v>
          </cell>
          <cell r="J99" t="e">
            <v>#N/A</v>
          </cell>
          <cell r="K99" t="e">
            <v>#N/A</v>
          </cell>
          <cell r="L99" t="e">
            <v>#N/A</v>
          </cell>
          <cell r="M99" t="e">
            <v>#N/A</v>
          </cell>
          <cell r="N99" t="e">
            <v>#N/A</v>
          </cell>
          <cell r="O99" t="e">
            <v>#N/A</v>
          </cell>
          <cell r="P99">
            <v>54.2</v>
          </cell>
          <cell r="Q99">
            <v>6.2463220000000002</v>
          </cell>
          <cell r="R99" t="e">
            <v>#N/A</v>
          </cell>
          <cell r="AI99" t="str">
            <v>RUB Russian Rouble</v>
          </cell>
          <cell r="AJ99" t="str">
            <v>RUB</v>
          </cell>
          <cell r="AK99" t="str">
            <v>RUB</v>
          </cell>
          <cell r="AL99" t="str">
            <v>RUB</v>
          </cell>
          <cell r="AM99">
            <v>0</v>
          </cell>
          <cell r="AN99">
            <v>2</v>
          </cell>
        </row>
        <row r="100">
          <cell r="A100">
            <v>39296</v>
          </cell>
          <cell r="B100">
            <v>39296</v>
          </cell>
          <cell r="C100" t="str">
            <v>Past</v>
          </cell>
          <cell r="D100">
            <v>54.6</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54.6</v>
          </cell>
          <cell r="Q100">
            <v>5.1132840000000002</v>
          </cell>
          <cell r="R100" t="e">
            <v>#N/A</v>
          </cell>
          <cell r="AI100" t="str">
            <v>SAR Saudi Riyal</v>
          </cell>
          <cell r="AJ100" t="str">
            <v>SAR</v>
          </cell>
          <cell r="AK100" t="str">
            <v>SAR</v>
          </cell>
          <cell r="AL100" t="str">
            <v>SAR</v>
          </cell>
          <cell r="AM100">
            <v>0</v>
          </cell>
          <cell r="AN100">
            <v>2</v>
          </cell>
        </row>
        <row r="101">
          <cell r="A101">
            <v>39297</v>
          </cell>
          <cell r="B101">
            <v>39297</v>
          </cell>
          <cell r="C101" t="str">
            <v>Past</v>
          </cell>
          <cell r="D101">
            <v>54.13</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54.13</v>
          </cell>
          <cell r="Q101">
            <v>5.5839489999999996</v>
          </cell>
          <cell r="R101" t="e">
            <v>#N/A</v>
          </cell>
          <cell r="AI101" t="str">
            <v>SEK Swedish Krona</v>
          </cell>
          <cell r="AJ101" t="str">
            <v>SKr</v>
          </cell>
          <cell r="AK101" t="str">
            <v>SEK</v>
          </cell>
          <cell r="AL101" t="str">
            <v>SEK</v>
          </cell>
          <cell r="AM101">
            <v>0</v>
          </cell>
          <cell r="AN101">
            <v>2</v>
          </cell>
        </row>
        <row r="102">
          <cell r="A102">
            <v>39300</v>
          </cell>
          <cell r="B102">
            <v>39300</v>
          </cell>
          <cell r="C102" t="str">
            <v>Past</v>
          </cell>
          <cell r="D102">
            <v>56.22</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56.22</v>
          </cell>
          <cell r="Q102">
            <v>7.3999939999999995</v>
          </cell>
          <cell r="R102" t="e">
            <v>#N/A</v>
          </cell>
          <cell r="AI102" t="str">
            <v>SGD Singapore Dollar</v>
          </cell>
          <cell r="AJ102" t="str">
            <v>S$</v>
          </cell>
          <cell r="AK102" t="str">
            <v>SGD</v>
          </cell>
          <cell r="AL102" t="str">
            <v>SGD</v>
          </cell>
          <cell r="AM102">
            <v>0</v>
          </cell>
          <cell r="AN102">
            <v>2</v>
          </cell>
        </row>
        <row r="103">
          <cell r="A103">
            <v>39301</v>
          </cell>
          <cell r="B103">
            <v>39301</v>
          </cell>
          <cell r="C103" t="str">
            <v>Past</v>
          </cell>
          <cell r="D103">
            <v>56.52</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56.52</v>
          </cell>
          <cell r="Q103">
            <v>7.5100069999999999</v>
          </cell>
          <cell r="R103" t="e">
            <v>#N/A</v>
          </cell>
          <cell r="AI103" t="str">
            <v>THB Thailand Baht</v>
          </cell>
          <cell r="AJ103" t="str">
            <v>Bt</v>
          </cell>
          <cell r="AK103" t="str">
            <v>THB</v>
          </cell>
          <cell r="AL103" t="str">
            <v>THB</v>
          </cell>
          <cell r="AM103">
            <v>0</v>
          </cell>
          <cell r="AN103">
            <v>2</v>
          </cell>
        </row>
        <row r="104">
          <cell r="A104">
            <v>39302</v>
          </cell>
          <cell r="B104">
            <v>39302</v>
          </cell>
          <cell r="C104" t="str">
            <v>Past</v>
          </cell>
          <cell r="D104">
            <v>58.4</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58.4</v>
          </cell>
          <cell r="Q104">
            <v>6.7241919999999995</v>
          </cell>
          <cell r="R104" t="e">
            <v>#N/A</v>
          </cell>
          <cell r="AI104" t="str">
            <v>TND Tunisian Dinar</v>
          </cell>
          <cell r="AJ104" t="str">
            <v>TND</v>
          </cell>
          <cell r="AK104" t="str">
            <v>TND</v>
          </cell>
          <cell r="AL104" t="str">
            <v>TND</v>
          </cell>
          <cell r="AM104">
            <v>0</v>
          </cell>
          <cell r="AN104">
            <v>2</v>
          </cell>
        </row>
        <row r="105">
          <cell r="A105">
            <v>39303</v>
          </cell>
          <cell r="B105">
            <v>39303</v>
          </cell>
          <cell r="C105" t="str">
            <v>Past</v>
          </cell>
          <cell r="D105">
            <v>57.85</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57.85</v>
          </cell>
          <cell r="Q105">
            <v>8.5117840000000005</v>
          </cell>
          <cell r="R105" t="e">
            <v>#N/A</v>
          </cell>
          <cell r="AI105" t="str">
            <v>TRY Turkish Lira</v>
          </cell>
          <cell r="AJ105" t="str">
            <v>TL</v>
          </cell>
          <cell r="AK105" t="str">
            <v>TRY</v>
          </cell>
          <cell r="AL105" t="str">
            <v>TRY</v>
          </cell>
          <cell r="AM105">
            <v>0</v>
          </cell>
          <cell r="AN105">
            <v>2</v>
          </cell>
        </row>
        <row r="106">
          <cell r="A106">
            <v>39304</v>
          </cell>
          <cell r="B106">
            <v>39304</v>
          </cell>
          <cell r="C106" t="str">
            <v>Past</v>
          </cell>
          <cell r="D106">
            <v>57.16</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57.16</v>
          </cell>
          <cell r="Q106">
            <v>8.0407329999999995</v>
          </cell>
          <cell r="R106" t="e">
            <v>#N/A</v>
          </cell>
          <cell r="AI106" t="str">
            <v>TWD New Taiwan Dollar</v>
          </cell>
          <cell r="AJ106" t="str">
            <v>NT$</v>
          </cell>
          <cell r="AK106" t="str">
            <v>TWD</v>
          </cell>
          <cell r="AL106" t="str">
            <v>TWD</v>
          </cell>
          <cell r="AM106">
            <v>0</v>
          </cell>
          <cell r="AN106">
            <v>2</v>
          </cell>
        </row>
        <row r="107">
          <cell r="A107">
            <v>39307</v>
          </cell>
          <cell r="B107">
            <v>39307</v>
          </cell>
          <cell r="C107" t="str">
            <v>Past</v>
          </cell>
          <cell r="D107">
            <v>56.93</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56.93</v>
          </cell>
          <cell r="Q107">
            <v>4.0047000000000006</v>
          </cell>
          <cell r="R107" t="e">
            <v>#N/A</v>
          </cell>
          <cell r="AI107" t="str">
            <v>UAH Ukrainian Hryvnia</v>
          </cell>
          <cell r="AJ107" t="str">
            <v>UAH</v>
          </cell>
          <cell r="AK107" t="str">
            <v>UAH</v>
          </cell>
          <cell r="AL107" t="str">
            <v>UAH</v>
          </cell>
          <cell r="AM107">
            <v>0</v>
          </cell>
          <cell r="AN107">
            <v>2</v>
          </cell>
        </row>
        <row r="108">
          <cell r="A108">
            <v>39308</v>
          </cell>
          <cell r="B108">
            <v>39308</v>
          </cell>
          <cell r="C108" t="str">
            <v>Past</v>
          </cell>
          <cell r="D108">
            <v>55.44</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55.44</v>
          </cell>
          <cell r="Q108">
            <v>5.3788500000000008</v>
          </cell>
          <cell r="R108" t="e">
            <v>#N/A</v>
          </cell>
          <cell r="AI108" t="str">
            <v>USD American Dollar</v>
          </cell>
          <cell r="AJ108" t="str">
            <v>$</v>
          </cell>
          <cell r="AK108" t="str">
            <v>USD</v>
          </cell>
          <cell r="AL108" t="str">
            <v>USD</v>
          </cell>
          <cell r="AM108">
            <v>0</v>
          </cell>
          <cell r="AN108">
            <v>2</v>
          </cell>
        </row>
        <row r="109">
          <cell r="A109">
            <v>39309</v>
          </cell>
          <cell r="B109">
            <v>39309</v>
          </cell>
          <cell r="C109" t="str">
            <v>Past</v>
          </cell>
          <cell r="D109">
            <v>55.18</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55.18</v>
          </cell>
          <cell r="Q109">
            <v>4.9745500000000007</v>
          </cell>
          <cell r="R109" t="e">
            <v>#N/A</v>
          </cell>
          <cell r="AI109" t="str">
            <v>VEB Venezuelan Bolivar</v>
          </cell>
          <cell r="AJ109" t="str">
            <v>VEB</v>
          </cell>
          <cell r="AK109" t="str">
            <v>VEB</v>
          </cell>
          <cell r="AL109" t="str">
            <v>VEB</v>
          </cell>
          <cell r="AM109">
            <v>0</v>
          </cell>
          <cell r="AN109">
            <v>2</v>
          </cell>
        </row>
        <row r="110">
          <cell r="A110">
            <v>39310</v>
          </cell>
          <cell r="B110">
            <v>39310</v>
          </cell>
          <cell r="C110" t="str">
            <v>Past</v>
          </cell>
          <cell r="D110">
            <v>54.83</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54.83</v>
          </cell>
          <cell r="Q110">
            <v>8.8786000000000005</v>
          </cell>
          <cell r="R110" t="e">
            <v>#N/A</v>
          </cell>
          <cell r="AI110" t="str">
            <v>ZAc South African Cent</v>
          </cell>
          <cell r="AJ110" t="str">
            <v>ZAc</v>
          </cell>
          <cell r="AK110" t="str">
            <v>ZAc</v>
          </cell>
          <cell r="AL110" t="str">
            <v>ZAc</v>
          </cell>
          <cell r="AM110">
            <v>0</v>
          </cell>
          <cell r="AN110">
            <v>0</v>
          </cell>
        </row>
        <row r="111">
          <cell r="A111">
            <v>39311</v>
          </cell>
          <cell r="B111">
            <v>39311</v>
          </cell>
          <cell r="C111" t="str">
            <v>Past</v>
          </cell>
          <cell r="D111">
            <v>55.81</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55.81</v>
          </cell>
          <cell r="Q111">
            <v>6.8274999999999997</v>
          </cell>
          <cell r="R111" t="e">
            <v>#N/A</v>
          </cell>
          <cell r="AI111" t="str">
            <v>ZAR South African rand</v>
          </cell>
          <cell r="AJ111" t="str">
            <v>ZAR</v>
          </cell>
          <cell r="AK111" t="str">
            <v>ZAR</v>
          </cell>
          <cell r="AL111" t="str">
            <v>ZAR</v>
          </cell>
          <cell r="AM111">
            <v>0</v>
          </cell>
          <cell r="AN111">
            <v>2</v>
          </cell>
        </row>
        <row r="112">
          <cell r="A112">
            <v>39314</v>
          </cell>
          <cell r="B112">
            <v>39314</v>
          </cell>
          <cell r="C112" t="str">
            <v>Past</v>
          </cell>
          <cell r="D112">
            <v>55.63</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55.63</v>
          </cell>
          <cell r="Q112">
            <v>4.8591000000000006</v>
          </cell>
          <cell r="R112" t="e">
            <v>#N/A</v>
          </cell>
          <cell r="AI112" t="str">
            <v xml:space="preserve">ZMK Zambian Kwacha </v>
          </cell>
          <cell r="AJ112" t="str">
            <v>ZMK</v>
          </cell>
          <cell r="AK112" t="str">
            <v>ZMK</v>
          </cell>
          <cell r="AL112" t="str">
            <v>ZMK</v>
          </cell>
          <cell r="AM112">
            <v>0</v>
          </cell>
          <cell r="AN112">
            <v>2</v>
          </cell>
        </row>
        <row r="113">
          <cell r="A113">
            <v>39315</v>
          </cell>
          <cell r="B113">
            <v>39315</v>
          </cell>
          <cell r="C113" t="str">
            <v>Past</v>
          </cell>
          <cell r="D113">
            <v>55.28</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55.28</v>
          </cell>
          <cell r="Q113">
            <v>3.3652000000000002</v>
          </cell>
          <cell r="R113" t="e">
            <v>#N/A</v>
          </cell>
        </row>
        <row r="114">
          <cell r="A114">
            <v>39316</v>
          </cell>
          <cell r="B114">
            <v>39316</v>
          </cell>
          <cell r="C114" t="str">
            <v>Past</v>
          </cell>
          <cell r="D114">
            <v>55.74</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55.74</v>
          </cell>
          <cell r="Q114">
            <v>4.6797000000000004</v>
          </cell>
          <cell r="R114" t="e">
            <v>#N/A</v>
          </cell>
        </row>
        <row r="115">
          <cell r="A115">
            <v>39317</v>
          </cell>
          <cell r="B115">
            <v>39317</v>
          </cell>
          <cell r="C115" t="str">
            <v>Past</v>
          </cell>
          <cell r="D115">
            <v>55.87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55.87</v>
          </cell>
          <cell r="Q115">
            <v>2.7577000000000003</v>
          </cell>
          <cell r="R115" t="e">
            <v>#N/A</v>
          </cell>
        </row>
        <row r="116">
          <cell r="A116">
            <v>39318</v>
          </cell>
          <cell r="B116">
            <v>39318</v>
          </cell>
          <cell r="C116" t="str">
            <v>Past</v>
          </cell>
          <cell r="D116">
            <v>56.61</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56.61</v>
          </cell>
          <cell r="Q116">
            <v>5.5994999999999999</v>
          </cell>
          <cell r="R116" t="e">
            <v>#N/A</v>
          </cell>
        </row>
        <row r="117">
          <cell r="A117">
            <v>39321</v>
          </cell>
          <cell r="B117">
            <v>39321</v>
          </cell>
          <cell r="C117" t="str">
            <v>Past</v>
          </cell>
          <cell r="D117">
            <v>56.39</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56.39</v>
          </cell>
          <cell r="Q117">
            <v>3.1044</v>
          </cell>
          <cell r="R117" t="e">
            <v>#N/A</v>
          </cell>
        </row>
        <row r="118">
          <cell r="A118">
            <v>39322</v>
          </cell>
          <cell r="B118">
            <v>39322</v>
          </cell>
          <cell r="C118" t="str">
            <v>Past</v>
          </cell>
          <cell r="D118">
            <v>56.1</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56.1</v>
          </cell>
          <cell r="Q118">
            <v>5.4973999999999998</v>
          </cell>
          <cell r="R118" t="e">
            <v>#N/A</v>
          </cell>
        </row>
        <row r="119">
          <cell r="A119">
            <v>39323</v>
          </cell>
          <cell r="B119">
            <v>39323</v>
          </cell>
          <cell r="C119" t="str">
            <v>Past</v>
          </cell>
          <cell r="D119">
            <v>56.32</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56.32</v>
          </cell>
          <cell r="Q119">
            <v>5.9315000000000007</v>
          </cell>
          <cell r="R119" t="e">
            <v>#N/A</v>
          </cell>
        </row>
        <row r="120">
          <cell r="A120">
            <v>39324</v>
          </cell>
          <cell r="B120">
            <v>39324</v>
          </cell>
          <cell r="C120" t="str">
            <v>Past</v>
          </cell>
          <cell r="D120">
            <v>56.67</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56.67</v>
          </cell>
          <cell r="Q120">
            <v>4.6493000000000002</v>
          </cell>
          <cell r="R120" t="e">
            <v>#N/A</v>
          </cell>
        </row>
        <row r="121">
          <cell r="A121">
            <v>39325</v>
          </cell>
          <cell r="B121">
            <v>39325</v>
          </cell>
          <cell r="C121" t="str">
            <v>Past</v>
          </cell>
          <cell r="D121">
            <v>57.35</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57.35</v>
          </cell>
          <cell r="Q121">
            <v>5.6558999999999999</v>
          </cell>
          <cell r="R121" t="e">
            <v>#N/A</v>
          </cell>
        </row>
        <row r="122">
          <cell r="A122">
            <v>39329</v>
          </cell>
          <cell r="B122">
            <v>39329</v>
          </cell>
          <cell r="C122" t="str">
            <v>Past</v>
          </cell>
          <cell r="D122">
            <v>58.13</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58.13</v>
          </cell>
          <cell r="Q122">
            <v>5.6059000000000001</v>
          </cell>
          <cell r="R122" t="e">
            <v>#N/A</v>
          </cell>
        </row>
        <row r="123">
          <cell r="A123">
            <v>39330</v>
          </cell>
          <cell r="B123">
            <v>39330</v>
          </cell>
          <cell r="C123" t="str">
            <v>Past</v>
          </cell>
          <cell r="D123">
            <v>57.29</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57.29</v>
          </cell>
          <cell r="Q123">
            <v>4.7473000000000001</v>
          </cell>
          <cell r="R123" t="e">
            <v>#N/A</v>
          </cell>
        </row>
        <row r="124">
          <cell r="A124">
            <v>39331</v>
          </cell>
          <cell r="B124">
            <v>39331</v>
          </cell>
          <cell r="C124" t="str">
            <v>Past</v>
          </cell>
          <cell r="D124">
            <v>57.45</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57.45</v>
          </cell>
          <cell r="Q124">
            <v>4.0737000000000005</v>
          </cell>
          <cell r="R124" t="e">
            <v>#N/A</v>
          </cell>
        </row>
        <row r="125">
          <cell r="A125">
            <v>39332</v>
          </cell>
          <cell r="B125">
            <v>39332</v>
          </cell>
          <cell r="C125" t="str">
            <v>Past</v>
          </cell>
          <cell r="D125">
            <v>56.17</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56.17</v>
          </cell>
          <cell r="Q125">
            <v>5.9727000000000006</v>
          </cell>
          <cell r="R125" t="e">
            <v>#N/A</v>
          </cell>
        </row>
        <row r="126">
          <cell r="A126">
            <v>39335</v>
          </cell>
          <cell r="B126">
            <v>39335</v>
          </cell>
          <cell r="C126" t="str">
            <v>Past</v>
          </cell>
          <cell r="D126">
            <v>56.14</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56.14</v>
          </cell>
          <cell r="Q126">
            <v>4.4197000000000006</v>
          </cell>
          <cell r="R126" t="e">
            <v>#N/A</v>
          </cell>
        </row>
        <row r="127">
          <cell r="A127">
            <v>39336</v>
          </cell>
          <cell r="B127">
            <v>39336</v>
          </cell>
          <cell r="C127" t="str">
            <v>Past</v>
          </cell>
          <cell r="D127">
            <v>56.6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56.6</v>
          </cell>
          <cell r="Q127">
            <v>4.0674000000000001</v>
          </cell>
          <cell r="R127" t="e">
            <v>#N/A</v>
          </cell>
        </row>
        <row r="128">
          <cell r="A128">
            <v>39337</v>
          </cell>
          <cell r="B128">
            <v>39337</v>
          </cell>
          <cell r="C128" t="str">
            <v>Past</v>
          </cell>
          <cell r="D128">
            <v>57.05</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57.05</v>
          </cell>
          <cell r="Q128">
            <v>4.3474000000000004</v>
          </cell>
          <cell r="R128" t="e">
            <v>#N/A</v>
          </cell>
        </row>
        <row r="129">
          <cell r="A129">
            <v>39338</v>
          </cell>
          <cell r="B129">
            <v>39338</v>
          </cell>
          <cell r="C129" t="str">
            <v>Past</v>
          </cell>
          <cell r="D129">
            <v>57.18</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57.18</v>
          </cell>
          <cell r="Q129">
            <v>4.7561</v>
          </cell>
          <cell r="R129" t="e">
            <v>#N/A</v>
          </cell>
        </row>
        <row r="130">
          <cell r="A130">
            <v>39339</v>
          </cell>
          <cell r="B130">
            <v>39339</v>
          </cell>
          <cell r="C130" t="str">
            <v>Past</v>
          </cell>
          <cell r="D130">
            <v>56.82</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56.82</v>
          </cell>
          <cell r="Q130">
            <v>4.9930000000000003</v>
          </cell>
          <cell r="R130" t="e">
            <v>#N/A</v>
          </cell>
        </row>
        <row r="131">
          <cell r="A131">
            <v>39342</v>
          </cell>
          <cell r="B131">
            <v>39342</v>
          </cell>
          <cell r="C131" t="str">
            <v>Past</v>
          </cell>
          <cell r="D131">
            <v>55.95</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55.95</v>
          </cell>
          <cell r="Q131">
            <v>4.3845000000000001</v>
          </cell>
          <cell r="R131" t="e">
            <v>#N/A</v>
          </cell>
        </row>
        <row r="132">
          <cell r="A132">
            <v>39343</v>
          </cell>
          <cell r="B132">
            <v>39343</v>
          </cell>
          <cell r="C132" t="str">
            <v>Past</v>
          </cell>
          <cell r="D132">
            <v>57.14</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57.14</v>
          </cell>
          <cell r="Q132">
            <v>4.0749000000000004</v>
          </cell>
          <cell r="R132" t="e">
            <v>#N/A</v>
          </cell>
        </row>
        <row r="133">
          <cell r="A133">
            <v>39344</v>
          </cell>
          <cell r="B133">
            <v>39344</v>
          </cell>
          <cell r="C133" t="str">
            <v>Past</v>
          </cell>
          <cell r="D133">
            <v>57.53</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57.53</v>
          </cell>
          <cell r="Q133">
            <v>5.4957000000000003</v>
          </cell>
          <cell r="R133" t="e">
            <v>#N/A</v>
          </cell>
        </row>
        <row r="134">
          <cell r="A134">
            <v>39345</v>
          </cell>
          <cell r="B134">
            <v>39345</v>
          </cell>
          <cell r="C134" t="str">
            <v>Past</v>
          </cell>
          <cell r="D134">
            <v>57.08</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57.08</v>
          </cell>
          <cell r="Q134">
            <v>3.6789000000000001</v>
          </cell>
          <cell r="R134" t="e">
            <v>#N/A</v>
          </cell>
        </row>
        <row r="135">
          <cell r="A135">
            <v>39346</v>
          </cell>
          <cell r="B135">
            <v>39346</v>
          </cell>
          <cell r="C135" t="str">
            <v>Past</v>
          </cell>
          <cell r="D135">
            <v>57.62</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57.62</v>
          </cell>
          <cell r="Q135">
            <v>4.8921000000000001</v>
          </cell>
          <cell r="R135" t="e">
            <v>#N/A</v>
          </cell>
        </row>
        <row r="136">
          <cell r="A136">
            <v>39349</v>
          </cell>
          <cell r="B136">
            <v>39349</v>
          </cell>
          <cell r="C136" t="str">
            <v>Past</v>
          </cell>
          <cell r="D136">
            <v>57.53</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57.53</v>
          </cell>
          <cell r="Q136">
            <v>3.286476</v>
          </cell>
          <cell r="R136" t="e">
            <v>#N/A</v>
          </cell>
        </row>
        <row r="137">
          <cell r="A137">
            <v>39350</v>
          </cell>
          <cell r="B137">
            <v>39350</v>
          </cell>
          <cell r="C137" t="str">
            <v>Past</v>
          </cell>
          <cell r="D137">
            <v>57.21</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57.21</v>
          </cell>
          <cell r="Q137">
            <v>4.5377999999999998</v>
          </cell>
          <cell r="R137" t="e">
            <v>#N/A</v>
          </cell>
        </row>
        <row r="138">
          <cell r="A138">
            <v>39351</v>
          </cell>
          <cell r="B138">
            <v>39351</v>
          </cell>
          <cell r="C138" t="str">
            <v>Past</v>
          </cell>
          <cell r="D138">
            <v>57.4</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57.4</v>
          </cell>
          <cell r="Q138">
            <v>5.3738659999999996</v>
          </cell>
          <cell r="R138" t="e">
            <v>#N/A</v>
          </cell>
        </row>
        <row r="139">
          <cell r="A139">
            <v>39352</v>
          </cell>
          <cell r="B139">
            <v>39352</v>
          </cell>
          <cell r="C139" t="str">
            <v>Past</v>
          </cell>
          <cell r="D139">
            <v>57.37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57.37</v>
          </cell>
          <cell r="Q139">
            <v>4.0761000000000003</v>
          </cell>
          <cell r="R139" t="e">
            <v>#N/A</v>
          </cell>
        </row>
        <row r="140">
          <cell r="A140">
            <v>39353</v>
          </cell>
          <cell r="B140">
            <v>39353</v>
          </cell>
          <cell r="C140" t="str">
            <v>Past</v>
          </cell>
          <cell r="D140">
            <v>56.93</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56.93</v>
          </cell>
          <cell r="Q140">
            <v>4.3292000000000002</v>
          </cell>
          <cell r="R140" t="e">
            <v>#N/A</v>
          </cell>
        </row>
        <row r="141">
          <cell r="A141">
            <v>39356</v>
          </cell>
          <cell r="B141">
            <v>39356</v>
          </cell>
          <cell r="C141" t="str">
            <v>Past</v>
          </cell>
          <cell r="D141">
            <v>58.29</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58.29</v>
          </cell>
          <cell r="Q141">
            <v>5.6298800000000009</v>
          </cell>
          <cell r="R141" t="e">
            <v>#N/A</v>
          </cell>
        </row>
        <row r="142">
          <cell r="A142">
            <v>39357</v>
          </cell>
          <cell r="B142">
            <v>39357</v>
          </cell>
          <cell r="C142" t="str">
            <v>Past</v>
          </cell>
          <cell r="D142">
            <v>58.42</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58.42</v>
          </cell>
          <cell r="Q142">
            <v>2.8894000000000002</v>
          </cell>
          <cell r="R142" t="e">
            <v>#N/A</v>
          </cell>
        </row>
        <row r="143">
          <cell r="A143">
            <v>39358</v>
          </cell>
          <cell r="B143">
            <v>39358</v>
          </cell>
          <cell r="C143" t="str">
            <v>Past</v>
          </cell>
          <cell r="D143">
            <v>58.88</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58.88</v>
          </cell>
          <cell r="Q143">
            <v>4.1013000000000002</v>
          </cell>
          <cell r="R143" t="e">
            <v>#N/A</v>
          </cell>
        </row>
        <row r="144">
          <cell r="A144">
            <v>39359</v>
          </cell>
          <cell r="B144">
            <v>39359</v>
          </cell>
          <cell r="C144" t="str">
            <v>Past</v>
          </cell>
          <cell r="D144">
            <v>58.96</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58.96</v>
          </cell>
          <cell r="Q144">
            <v>4.8692000000000002</v>
          </cell>
          <cell r="R144" t="e">
            <v>#N/A</v>
          </cell>
        </row>
        <row r="145">
          <cell r="A145">
            <v>39360</v>
          </cell>
          <cell r="B145">
            <v>39360</v>
          </cell>
          <cell r="C145" t="str">
            <v>Past</v>
          </cell>
          <cell r="D145">
            <v>59.47</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59.47</v>
          </cell>
          <cell r="Q145">
            <v>3.7002000000000002</v>
          </cell>
          <cell r="R145" t="e">
            <v>#N/A</v>
          </cell>
        </row>
        <row r="146">
          <cell r="A146">
            <v>39363</v>
          </cell>
          <cell r="B146">
            <v>39363</v>
          </cell>
          <cell r="C146" t="str">
            <v>Past</v>
          </cell>
          <cell r="D146">
            <v>59</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59</v>
          </cell>
          <cell r="Q146">
            <v>2.6903000000000001</v>
          </cell>
          <cell r="R146" t="e">
            <v>#N/A</v>
          </cell>
        </row>
        <row r="147">
          <cell r="A147">
            <v>39364</v>
          </cell>
          <cell r="B147">
            <v>39364</v>
          </cell>
          <cell r="C147" t="str">
            <v>Past</v>
          </cell>
          <cell r="D147">
            <v>58.55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58.55</v>
          </cell>
          <cell r="Q147">
            <v>4.1751000000000005</v>
          </cell>
          <cell r="R147" t="e">
            <v>#N/A</v>
          </cell>
        </row>
        <row r="148">
          <cell r="A148">
            <v>39365</v>
          </cell>
          <cell r="B148">
            <v>39365</v>
          </cell>
          <cell r="C148" t="str">
            <v>Past</v>
          </cell>
          <cell r="D148">
            <v>58.4</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58.4</v>
          </cell>
          <cell r="Q148">
            <v>4.3499999999999996</v>
          </cell>
          <cell r="R148" t="e">
            <v>#N/A</v>
          </cell>
        </row>
        <row r="149">
          <cell r="A149">
            <v>39366</v>
          </cell>
          <cell r="B149">
            <v>39366</v>
          </cell>
          <cell r="C149" t="str">
            <v>Past</v>
          </cell>
          <cell r="D149">
            <v>58.35</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58.35</v>
          </cell>
          <cell r="Q149">
            <v>5.1157000000000004</v>
          </cell>
          <cell r="R149" t="e">
            <v>#N/A</v>
          </cell>
        </row>
        <row r="150">
          <cell r="A150">
            <v>39367</v>
          </cell>
          <cell r="B150">
            <v>39367</v>
          </cell>
          <cell r="C150" t="str">
            <v>Past</v>
          </cell>
          <cell r="D150">
            <v>58.53</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58.53</v>
          </cell>
          <cell r="Q150">
            <v>2.8653300000000002</v>
          </cell>
          <cell r="R150" t="e">
            <v>#N/A</v>
          </cell>
        </row>
        <row r="151">
          <cell r="A151">
            <v>39370</v>
          </cell>
          <cell r="B151">
            <v>39370</v>
          </cell>
          <cell r="C151" t="str">
            <v>Past</v>
          </cell>
          <cell r="D151">
            <v>57.94</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57.94</v>
          </cell>
          <cell r="Q151">
            <v>5.585</v>
          </cell>
          <cell r="R151" t="e">
            <v>#N/A</v>
          </cell>
        </row>
        <row r="152">
          <cell r="A152">
            <v>39371</v>
          </cell>
          <cell r="B152">
            <v>39371</v>
          </cell>
          <cell r="C152" t="str">
            <v>Past</v>
          </cell>
          <cell r="D152">
            <v>57.15</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57.15</v>
          </cell>
          <cell r="Q152">
            <v>6.5124000000000004</v>
          </cell>
          <cell r="R152" t="e">
            <v>#N/A</v>
          </cell>
        </row>
        <row r="153">
          <cell r="A153">
            <v>39372</v>
          </cell>
          <cell r="B153">
            <v>39372</v>
          </cell>
          <cell r="C153" t="str">
            <v>Past</v>
          </cell>
          <cell r="D153">
            <v>56.95</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56.95</v>
          </cell>
          <cell r="Q153">
            <v>6.0697000000000001</v>
          </cell>
          <cell r="R153" t="e">
            <v>#N/A</v>
          </cell>
        </row>
        <row r="154">
          <cell r="A154">
            <v>39373</v>
          </cell>
          <cell r="B154">
            <v>39373</v>
          </cell>
          <cell r="C154" t="str">
            <v>Past</v>
          </cell>
          <cell r="D154">
            <v>56.65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56.65</v>
          </cell>
          <cell r="Q154">
            <v>8.3421000000000003</v>
          </cell>
          <cell r="R154" t="e">
            <v>#N/A</v>
          </cell>
        </row>
        <row r="155">
          <cell r="A155">
            <v>39374</v>
          </cell>
          <cell r="B155">
            <v>39374</v>
          </cell>
          <cell r="C155" t="str">
            <v>Past</v>
          </cell>
          <cell r="D155">
            <v>56.06</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56.06</v>
          </cell>
          <cell r="Q155">
            <v>5.6345000000000001</v>
          </cell>
          <cell r="R155" t="e">
            <v>#N/A</v>
          </cell>
        </row>
        <row r="156">
          <cell r="A156">
            <v>39377</v>
          </cell>
          <cell r="B156">
            <v>39377</v>
          </cell>
          <cell r="C156" t="str">
            <v>Past</v>
          </cell>
          <cell r="D156">
            <v>56.08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56.08</v>
          </cell>
          <cell r="Q156">
            <v>5.1609249999999998</v>
          </cell>
          <cell r="R156" t="e">
            <v>#N/A</v>
          </cell>
        </row>
        <row r="157">
          <cell r="A157">
            <v>39378</v>
          </cell>
          <cell r="B157">
            <v>39378</v>
          </cell>
          <cell r="C157" t="str">
            <v>Past</v>
          </cell>
          <cell r="D157">
            <v>57.13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57.13</v>
          </cell>
          <cell r="Q157">
            <v>4.4173</v>
          </cell>
          <cell r="R157" t="e">
            <v>#N/A</v>
          </cell>
        </row>
        <row r="158">
          <cell r="A158">
            <v>39379</v>
          </cell>
          <cell r="B158">
            <v>39379</v>
          </cell>
          <cell r="C158" t="str">
            <v>Past</v>
          </cell>
          <cell r="D158">
            <v>56.15</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56.15</v>
          </cell>
          <cell r="Q158">
            <v>5.9507000000000003</v>
          </cell>
          <cell r="R158" t="e">
            <v>#N/A</v>
          </cell>
        </row>
        <row r="159">
          <cell r="A159">
            <v>39380</v>
          </cell>
          <cell r="B159">
            <v>39380</v>
          </cell>
          <cell r="C159" t="str">
            <v>Past</v>
          </cell>
          <cell r="D159">
            <v>52.43</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52.43</v>
          </cell>
          <cell r="Q159">
            <v>22.833000000000002</v>
          </cell>
          <cell r="R159" t="e">
            <v>#N/A</v>
          </cell>
        </row>
        <row r="160">
          <cell r="A160">
            <v>39381</v>
          </cell>
          <cell r="B160">
            <v>39381</v>
          </cell>
          <cell r="C160" t="str">
            <v>Past</v>
          </cell>
          <cell r="D160">
            <v>52.68</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52.68</v>
          </cell>
          <cell r="Q160">
            <v>9.4371000000000009</v>
          </cell>
          <cell r="R160" t="e">
            <v>#N/A</v>
          </cell>
        </row>
        <row r="161">
          <cell r="A161">
            <v>39384</v>
          </cell>
          <cell r="B161">
            <v>39384</v>
          </cell>
          <cell r="C161" t="str">
            <v>Past</v>
          </cell>
          <cell r="D161">
            <v>53.52</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53.52</v>
          </cell>
          <cell r="Q161">
            <v>9.7986000000000004</v>
          </cell>
          <cell r="R161" t="e">
            <v>#N/A</v>
          </cell>
        </row>
        <row r="162">
          <cell r="A162">
            <v>39385</v>
          </cell>
          <cell r="B162">
            <v>39385</v>
          </cell>
          <cell r="C162" t="str">
            <v>Past</v>
          </cell>
          <cell r="D162">
            <v>53.69</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53.69</v>
          </cell>
          <cell r="Q162">
            <v>5.8564000000000007</v>
          </cell>
          <cell r="R162" t="e">
            <v>#N/A</v>
          </cell>
        </row>
        <row r="163">
          <cell r="A163">
            <v>39386</v>
          </cell>
          <cell r="B163">
            <v>39386</v>
          </cell>
          <cell r="C163" t="str">
            <v>Past</v>
          </cell>
          <cell r="D163">
            <v>54.15</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54.15</v>
          </cell>
          <cell r="Q163">
            <v>9.7141999999999999</v>
          </cell>
          <cell r="R163" t="e">
            <v>#N/A</v>
          </cell>
        </row>
        <row r="164">
          <cell r="A164">
            <v>39387</v>
          </cell>
          <cell r="B164">
            <v>39387</v>
          </cell>
          <cell r="C164" t="str">
            <v>Past</v>
          </cell>
          <cell r="D164">
            <v>52.77</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52.77</v>
          </cell>
          <cell r="Q164">
            <v>8.0312999999999999</v>
          </cell>
          <cell r="R164" t="e">
            <v>#N/A</v>
          </cell>
        </row>
        <row r="165">
          <cell r="A165">
            <v>39388</v>
          </cell>
          <cell r="B165">
            <v>39388</v>
          </cell>
          <cell r="C165" t="str">
            <v>Past</v>
          </cell>
          <cell r="D165">
            <v>52.67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52.67</v>
          </cell>
          <cell r="Q165">
            <v>11.8513</v>
          </cell>
          <cell r="R165" t="e">
            <v>#N/A</v>
          </cell>
        </row>
        <row r="166">
          <cell r="A166">
            <v>39391</v>
          </cell>
          <cell r="B166">
            <v>39391</v>
          </cell>
          <cell r="C166" t="str">
            <v>Past</v>
          </cell>
          <cell r="D166">
            <v>52.16</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52.16</v>
          </cell>
          <cell r="Q166">
            <v>12.31057</v>
          </cell>
          <cell r="R166" t="e">
            <v>#N/A</v>
          </cell>
        </row>
        <row r="167">
          <cell r="A167">
            <v>39392</v>
          </cell>
          <cell r="B167">
            <v>39392</v>
          </cell>
          <cell r="C167" t="str">
            <v>Past</v>
          </cell>
          <cell r="D167">
            <v>52.48</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52.48</v>
          </cell>
          <cell r="Q167">
            <v>7.184342</v>
          </cell>
          <cell r="R167" t="e">
            <v>#N/A</v>
          </cell>
        </row>
        <row r="168">
          <cell r="A168">
            <v>39393</v>
          </cell>
          <cell r="B168">
            <v>39393</v>
          </cell>
          <cell r="C168" t="str">
            <v>Past</v>
          </cell>
          <cell r="D168">
            <v>51.53</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51.53</v>
          </cell>
          <cell r="Q168">
            <v>5.9616600000000002</v>
          </cell>
          <cell r="R168" t="e">
            <v>#N/A</v>
          </cell>
        </row>
        <row r="169">
          <cell r="A169">
            <v>39394</v>
          </cell>
          <cell r="B169">
            <v>39394</v>
          </cell>
          <cell r="C169" t="str">
            <v>Past</v>
          </cell>
          <cell r="D169">
            <v>51.62</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51.62</v>
          </cell>
          <cell r="Q169">
            <v>8.3388410000000004</v>
          </cell>
          <cell r="R169" t="e">
            <v>#N/A</v>
          </cell>
        </row>
        <row r="170">
          <cell r="A170">
            <v>39395</v>
          </cell>
          <cell r="B170">
            <v>39395</v>
          </cell>
          <cell r="C170" t="str">
            <v>Past</v>
          </cell>
          <cell r="D170">
            <v>51.51</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51.51</v>
          </cell>
          <cell r="Q170">
            <v>6.8331679999999997</v>
          </cell>
          <cell r="R170" t="e">
            <v>#N/A</v>
          </cell>
        </row>
        <row r="171">
          <cell r="A171">
            <v>39398</v>
          </cell>
          <cell r="B171">
            <v>39398</v>
          </cell>
          <cell r="C171" t="str">
            <v>Past</v>
          </cell>
          <cell r="D171">
            <v>52.5</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52.5</v>
          </cell>
          <cell r="Q171">
            <v>6.6622859999999999</v>
          </cell>
          <cell r="R171" t="e">
            <v>#N/A</v>
          </cell>
        </row>
        <row r="172">
          <cell r="A172">
            <v>39399</v>
          </cell>
          <cell r="B172">
            <v>39399</v>
          </cell>
          <cell r="C172" t="str">
            <v>Past</v>
          </cell>
          <cell r="D172">
            <v>52.64</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52.64</v>
          </cell>
          <cell r="Q172">
            <v>8.5277119999999993</v>
          </cell>
          <cell r="R172" t="e">
            <v>#N/A</v>
          </cell>
        </row>
        <row r="173">
          <cell r="A173">
            <v>39400</v>
          </cell>
          <cell r="B173">
            <v>39400</v>
          </cell>
          <cell r="C173" t="str">
            <v>Past</v>
          </cell>
          <cell r="D173">
            <v>53.03</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53.03</v>
          </cell>
          <cell r="Q173">
            <v>6.5612000000000004</v>
          </cell>
          <cell r="R173" t="e">
            <v>#N/A</v>
          </cell>
        </row>
        <row r="174">
          <cell r="A174">
            <v>39401</v>
          </cell>
          <cell r="B174">
            <v>39401</v>
          </cell>
          <cell r="C174" t="str">
            <v>Past</v>
          </cell>
          <cell r="D174">
            <v>52.06</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52.06</v>
          </cell>
          <cell r="Q174">
            <v>5.8742300000000007</v>
          </cell>
          <cell r="R174" t="e">
            <v>#N/A</v>
          </cell>
        </row>
        <row r="175">
          <cell r="A175">
            <v>39402</v>
          </cell>
          <cell r="B175">
            <v>39402</v>
          </cell>
          <cell r="C175" t="str">
            <v>Past</v>
          </cell>
          <cell r="D175">
            <v>51.81</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51.81</v>
          </cell>
          <cell r="Q175">
            <v>6.7527569999999999</v>
          </cell>
          <cell r="R175" t="e">
            <v>#N/A</v>
          </cell>
        </row>
        <row r="176">
          <cell r="A176">
            <v>39405</v>
          </cell>
          <cell r="B176">
            <v>39405</v>
          </cell>
          <cell r="C176" t="str">
            <v>Past</v>
          </cell>
          <cell r="D176">
            <v>50.77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50.77</v>
          </cell>
          <cell r="Q176">
            <v>8.6474580000000003</v>
          </cell>
          <cell r="R176" t="e">
            <v>#N/A</v>
          </cell>
        </row>
        <row r="177">
          <cell r="A177">
            <v>39406</v>
          </cell>
          <cell r="B177">
            <v>39406</v>
          </cell>
          <cell r="C177" t="str">
            <v>Past</v>
          </cell>
          <cell r="D177">
            <v>50.35</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50.35</v>
          </cell>
          <cell r="Q177">
            <v>6.0834000000000001</v>
          </cell>
          <cell r="R177" t="e">
            <v>#N/A</v>
          </cell>
        </row>
        <row r="178">
          <cell r="A178">
            <v>39407</v>
          </cell>
          <cell r="B178">
            <v>39407</v>
          </cell>
          <cell r="C178" t="str">
            <v>Past</v>
          </cell>
          <cell r="D178">
            <v>49.09</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49.09</v>
          </cell>
          <cell r="Q178">
            <v>5.9949200000000005</v>
          </cell>
          <cell r="R178" t="e">
            <v>#N/A</v>
          </cell>
        </row>
        <row r="179">
          <cell r="A179">
            <v>39409</v>
          </cell>
          <cell r="B179">
            <v>39409</v>
          </cell>
          <cell r="C179" t="str">
            <v>Past</v>
          </cell>
          <cell r="D179">
            <v>50.79</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50.79</v>
          </cell>
          <cell r="Q179">
            <v>2.8371400000000002</v>
          </cell>
          <cell r="R179" t="e">
            <v>#N/A</v>
          </cell>
        </row>
        <row r="180">
          <cell r="A180">
            <v>39412</v>
          </cell>
          <cell r="B180">
            <v>39412</v>
          </cell>
          <cell r="C180" t="str">
            <v>Past</v>
          </cell>
          <cell r="D180">
            <v>49.67</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49.67</v>
          </cell>
          <cell r="Q180">
            <v>4.9809609999999997</v>
          </cell>
          <cell r="R180" t="e">
            <v>#N/A</v>
          </cell>
        </row>
        <row r="181">
          <cell r="A181">
            <v>39413</v>
          </cell>
          <cell r="B181">
            <v>39413</v>
          </cell>
          <cell r="C181" t="str">
            <v>Past</v>
          </cell>
          <cell r="D181">
            <v>50.91</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50.91</v>
          </cell>
          <cell r="Q181">
            <v>6.4337459999999993</v>
          </cell>
          <cell r="R181" t="e">
            <v>#N/A</v>
          </cell>
        </row>
        <row r="182">
          <cell r="A182">
            <v>39414</v>
          </cell>
          <cell r="B182">
            <v>39414</v>
          </cell>
          <cell r="C182" t="str">
            <v>Past</v>
          </cell>
          <cell r="D182">
            <v>52.26</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52.26</v>
          </cell>
          <cell r="Q182">
            <v>6.0850039999999996</v>
          </cell>
          <cell r="R182" t="e">
            <v>#N/A</v>
          </cell>
        </row>
        <row r="183">
          <cell r="A183">
            <v>39415</v>
          </cell>
          <cell r="B183">
            <v>39415</v>
          </cell>
          <cell r="C183" t="str">
            <v>Past</v>
          </cell>
          <cell r="D183">
            <v>52.79</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52.79</v>
          </cell>
          <cell r="Q183">
            <v>6.5835209999999993</v>
          </cell>
          <cell r="R183" t="e">
            <v>#N/A</v>
          </cell>
        </row>
        <row r="184">
          <cell r="A184">
            <v>39416</v>
          </cell>
          <cell r="B184">
            <v>39416</v>
          </cell>
          <cell r="C184" t="str">
            <v>Past</v>
          </cell>
          <cell r="D184">
            <v>52.95</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52.95</v>
          </cell>
          <cell r="Q184">
            <v>5.9264969999999995</v>
          </cell>
          <cell r="R184" t="e">
            <v>#N/A</v>
          </cell>
        </row>
        <row r="185">
          <cell r="A185">
            <v>39419</v>
          </cell>
          <cell r="B185">
            <v>39419</v>
          </cell>
          <cell r="C185" t="str">
            <v>Past</v>
          </cell>
          <cell r="D185">
            <v>52.53</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52.53</v>
          </cell>
          <cell r="Q185">
            <v>4.885675</v>
          </cell>
          <cell r="R185" t="e">
            <v>#N/A</v>
          </cell>
        </row>
        <row r="186">
          <cell r="A186">
            <v>39420</v>
          </cell>
          <cell r="B186">
            <v>39420</v>
          </cell>
          <cell r="C186" t="str">
            <v>Past</v>
          </cell>
          <cell r="D186">
            <v>52.11</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52.11</v>
          </cell>
          <cell r="Q186">
            <v>5.4505400000000002</v>
          </cell>
          <cell r="R186" t="e">
            <v>#N/A</v>
          </cell>
        </row>
        <row r="187">
          <cell r="A187">
            <v>39421</v>
          </cell>
          <cell r="B187">
            <v>39421</v>
          </cell>
          <cell r="C187" t="str">
            <v>Past</v>
          </cell>
          <cell r="D187">
            <v>53.49</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53.49</v>
          </cell>
          <cell r="Q187">
            <v>4.8627000000000002</v>
          </cell>
          <cell r="R187" t="e">
            <v>#N/A</v>
          </cell>
        </row>
        <row r="188">
          <cell r="A188">
            <v>39422</v>
          </cell>
          <cell r="B188">
            <v>39422</v>
          </cell>
          <cell r="C188" t="str">
            <v>Past</v>
          </cell>
          <cell r="D188">
            <v>53.93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53.93</v>
          </cell>
          <cell r="Q188">
            <v>6.5228649999999995</v>
          </cell>
          <cell r="R188" t="e">
            <v>#N/A</v>
          </cell>
        </row>
        <row r="189">
          <cell r="A189">
            <v>39423</v>
          </cell>
          <cell r="B189">
            <v>39423</v>
          </cell>
          <cell r="C189" t="str">
            <v>Past</v>
          </cell>
          <cell r="D189">
            <v>54.3</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54.3</v>
          </cell>
          <cell r="Q189">
            <v>4.4646129999999999</v>
          </cell>
          <cell r="R189" t="e">
            <v>#N/A</v>
          </cell>
        </row>
        <row r="190">
          <cell r="A190">
            <v>39426</v>
          </cell>
          <cell r="B190">
            <v>39426</v>
          </cell>
          <cell r="C190" t="str">
            <v>Past</v>
          </cell>
          <cell r="D190">
            <v>54.78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54.78</v>
          </cell>
          <cell r="Q190">
            <v>4.6066440000000002</v>
          </cell>
          <cell r="R190" t="e">
            <v>#N/A</v>
          </cell>
        </row>
        <row r="191">
          <cell r="A191">
            <v>39427</v>
          </cell>
          <cell r="B191">
            <v>39427</v>
          </cell>
          <cell r="C191" t="str">
            <v>Past</v>
          </cell>
          <cell r="D191">
            <v>54.06</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54.06</v>
          </cell>
          <cell r="Q191">
            <v>5.7134960000000001</v>
          </cell>
          <cell r="R191" t="e">
            <v>#N/A</v>
          </cell>
        </row>
        <row r="192">
          <cell r="A192">
            <v>39428</v>
          </cell>
          <cell r="B192">
            <v>39428</v>
          </cell>
          <cell r="C192" t="str">
            <v>Past</v>
          </cell>
          <cell r="D192">
            <v>54.08</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54.08</v>
          </cell>
          <cell r="Q192">
            <v>7.2993449999999998</v>
          </cell>
          <cell r="R192" t="e">
            <v>#N/A</v>
          </cell>
        </row>
        <row r="193">
          <cell r="A193">
            <v>39429</v>
          </cell>
          <cell r="B193">
            <v>39429</v>
          </cell>
          <cell r="C193" t="str">
            <v>Past</v>
          </cell>
          <cell r="D193">
            <v>54.18</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54.18</v>
          </cell>
          <cell r="Q193">
            <v>5.670229</v>
          </cell>
          <cell r="R193" t="e">
            <v>#N/A</v>
          </cell>
        </row>
        <row r="194">
          <cell r="A194">
            <v>39430</v>
          </cell>
          <cell r="B194">
            <v>39430</v>
          </cell>
          <cell r="C194" t="str">
            <v>Past</v>
          </cell>
          <cell r="D194">
            <v>53.71</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53.71</v>
          </cell>
          <cell r="Q194">
            <v>5.0293600000000005</v>
          </cell>
          <cell r="R194" t="e">
            <v>#N/A</v>
          </cell>
        </row>
        <row r="195">
          <cell r="A195">
            <v>39433</v>
          </cell>
          <cell r="B195">
            <v>39433</v>
          </cell>
          <cell r="C195" t="str">
            <v>Past</v>
          </cell>
          <cell r="D195">
            <v>53.18</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53.18</v>
          </cell>
          <cell r="Q195">
            <v>4.7989839999999999</v>
          </cell>
          <cell r="R195" t="e">
            <v>#N/A</v>
          </cell>
        </row>
        <row r="196">
          <cell r="A196">
            <v>39434</v>
          </cell>
          <cell r="B196">
            <v>39434</v>
          </cell>
          <cell r="C196" t="str">
            <v>Past</v>
          </cell>
          <cell r="D196">
            <v>53.49</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53.49</v>
          </cell>
          <cell r="Q196">
            <v>9.4068189999999987</v>
          </cell>
          <cell r="R196" t="e">
            <v>#N/A</v>
          </cell>
        </row>
        <row r="197">
          <cell r="A197">
            <v>39435</v>
          </cell>
          <cell r="B197">
            <v>39435</v>
          </cell>
          <cell r="C197" t="str">
            <v>Past</v>
          </cell>
          <cell r="D197">
            <v>53.18</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53.18</v>
          </cell>
          <cell r="Q197">
            <v>6.3503749999999997</v>
          </cell>
          <cell r="R197" t="e">
            <v>#N/A</v>
          </cell>
        </row>
        <row r="198">
          <cell r="A198">
            <v>39436</v>
          </cell>
          <cell r="B198">
            <v>39436</v>
          </cell>
          <cell r="C198" t="str">
            <v>Past</v>
          </cell>
          <cell r="D198">
            <v>53.23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53.23</v>
          </cell>
          <cell r="Q198">
            <v>5.5566759999999995</v>
          </cell>
          <cell r="R198" t="e">
            <v>#N/A</v>
          </cell>
        </row>
        <row r="199">
          <cell r="A199">
            <v>39437</v>
          </cell>
          <cell r="B199">
            <v>39437</v>
          </cell>
          <cell r="C199" t="str">
            <v>Past</v>
          </cell>
          <cell r="D199">
            <v>54.23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54.23</v>
          </cell>
          <cell r="Q199">
            <v>7.5032889999999997</v>
          </cell>
          <cell r="R199" t="e">
            <v>#N/A</v>
          </cell>
        </row>
        <row r="200">
          <cell r="A200">
            <v>39440</v>
          </cell>
          <cell r="B200">
            <v>39440</v>
          </cell>
          <cell r="C200" t="str">
            <v>Past</v>
          </cell>
          <cell r="D200">
            <v>54.49</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54.49</v>
          </cell>
          <cell r="Q200">
            <v>1.468871</v>
          </cell>
          <cell r="R200" t="e">
            <v>#N/A</v>
          </cell>
        </row>
        <row r="201">
          <cell r="A201">
            <v>39442</v>
          </cell>
          <cell r="B201">
            <v>39442</v>
          </cell>
          <cell r="C201" t="str">
            <v>Past</v>
          </cell>
          <cell r="D201">
            <v>54.31</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54.31</v>
          </cell>
          <cell r="Q201">
            <v>2.5081150000000001</v>
          </cell>
          <cell r="R201" t="e">
            <v>#N/A</v>
          </cell>
        </row>
        <row r="202">
          <cell r="A202">
            <v>39443</v>
          </cell>
          <cell r="B202">
            <v>39443</v>
          </cell>
          <cell r="C202" t="str">
            <v>Past</v>
          </cell>
          <cell r="D202">
            <v>53.88</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53.88</v>
          </cell>
          <cell r="Q202">
            <v>3.3693939999999998</v>
          </cell>
          <cell r="R202" t="e">
            <v>#N/A</v>
          </cell>
        </row>
        <row r="203">
          <cell r="A203">
            <v>39444</v>
          </cell>
          <cell r="B203">
            <v>39444</v>
          </cell>
          <cell r="C203" t="str">
            <v>Past</v>
          </cell>
          <cell r="D203">
            <v>54.05</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54.05</v>
          </cell>
          <cell r="Q203">
            <v>3.0262359999999999</v>
          </cell>
          <cell r="R203" t="e">
            <v>#N/A</v>
          </cell>
        </row>
        <row r="204">
          <cell r="A204">
            <v>39447</v>
          </cell>
          <cell r="B204">
            <v>39447</v>
          </cell>
          <cell r="C204" t="str">
            <v>Past</v>
          </cell>
          <cell r="D204">
            <v>53.39</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53.39</v>
          </cell>
          <cell r="Q204">
            <v>3.9101249999999999</v>
          </cell>
          <cell r="R204" t="e">
            <v>#N/A</v>
          </cell>
        </row>
        <row r="205">
          <cell r="A205">
            <v>39449</v>
          </cell>
          <cell r="B205">
            <v>39449</v>
          </cell>
          <cell r="C205" t="str">
            <v>Past</v>
          </cell>
          <cell r="D205">
            <v>52.55</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52.55</v>
          </cell>
          <cell r="Q205">
            <v>5.5567800000000007</v>
          </cell>
          <cell r="R205" t="e">
            <v>#N/A</v>
          </cell>
        </row>
        <row r="206">
          <cell r="A206">
            <v>39450</v>
          </cell>
          <cell r="B206">
            <v>39450</v>
          </cell>
          <cell r="C206" t="str">
            <v>Past</v>
          </cell>
          <cell r="D206">
            <v>52.99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52.99</v>
          </cell>
          <cell r="Q206">
            <v>4.5123329999999999</v>
          </cell>
          <cell r="R206" t="e">
            <v>#N/A</v>
          </cell>
        </row>
        <row r="207">
          <cell r="A207">
            <v>39451</v>
          </cell>
          <cell r="B207">
            <v>39451</v>
          </cell>
          <cell r="C207" t="str">
            <v>Past</v>
          </cell>
          <cell r="D207">
            <v>51.8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51.8</v>
          </cell>
          <cell r="Q207">
            <v>6.1864909999999993</v>
          </cell>
          <cell r="R207" t="e">
            <v>#N/A</v>
          </cell>
        </row>
        <row r="208">
          <cell r="A208">
            <v>39454</v>
          </cell>
          <cell r="B208">
            <v>39454</v>
          </cell>
          <cell r="C208" t="str">
            <v>Past</v>
          </cell>
          <cell r="D208">
            <v>54.55</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54.55</v>
          </cell>
          <cell r="Q208">
            <v>10.376010000000001</v>
          </cell>
          <cell r="R208" t="e">
            <v>#N/A</v>
          </cell>
        </row>
        <row r="209">
          <cell r="A209">
            <v>39455</v>
          </cell>
          <cell r="B209">
            <v>39455</v>
          </cell>
          <cell r="C209" t="str">
            <v>Past</v>
          </cell>
          <cell r="D209">
            <v>56.06</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56.06</v>
          </cell>
          <cell r="Q209">
            <v>12.197900000000001</v>
          </cell>
          <cell r="R209" t="e">
            <v>#N/A</v>
          </cell>
        </row>
        <row r="210">
          <cell r="A210">
            <v>39456</v>
          </cell>
          <cell r="B210">
            <v>39456</v>
          </cell>
          <cell r="C210" t="str">
            <v>Past</v>
          </cell>
          <cell r="D210">
            <v>56.86</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56.86</v>
          </cell>
          <cell r="Q210">
            <v>9.5773159999999997</v>
          </cell>
          <cell r="R210" t="e">
            <v>#N/A</v>
          </cell>
        </row>
        <row r="211">
          <cell r="A211">
            <v>39457</v>
          </cell>
          <cell r="B211">
            <v>39457</v>
          </cell>
          <cell r="C211" t="str">
            <v>Past</v>
          </cell>
          <cell r="D211">
            <v>56.85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56.85</v>
          </cell>
          <cell r="Q211">
            <v>6.2881279999999995</v>
          </cell>
          <cell r="R211" t="e">
            <v>#N/A</v>
          </cell>
        </row>
        <row r="212">
          <cell r="A212">
            <v>39458</v>
          </cell>
          <cell r="B212">
            <v>39458</v>
          </cell>
          <cell r="C212" t="str">
            <v>Past</v>
          </cell>
          <cell r="D212">
            <v>56.81</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56.81</v>
          </cell>
          <cell r="Q212">
            <v>5.3605770000000001</v>
          </cell>
          <cell r="R212" t="e">
            <v>#N/A</v>
          </cell>
        </row>
        <row r="213">
          <cell r="A213">
            <v>39461</v>
          </cell>
          <cell r="B213">
            <v>39461</v>
          </cell>
          <cell r="C213" t="str">
            <v>Past</v>
          </cell>
          <cell r="D213">
            <v>57.18</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57.18</v>
          </cell>
          <cell r="Q213">
            <v>5.5638000000000005</v>
          </cell>
          <cell r="R213" t="e">
            <v>#N/A</v>
          </cell>
        </row>
        <row r="214">
          <cell r="A214">
            <v>39462</v>
          </cell>
          <cell r="B214">
            <v>39462</v>
          </cell>
          <cell r="C214" t="str">
            <v>Past</v>
          </cell>
          <cell r="D214">
            <v>56.59</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56.59</v>
          </cell>
          <cell r="Q214">
            <v>5.8839459999999999</v>
          </cell>
          <cell r="R214" t="e">
            <v>#N/A</v>
          </cell>
        </row>
        <row r="215">
          <cell r="A215">
            <v>39463</v>
          </cell>
          <cell r="B215">
            <v>39463</v>
          </cell>
          <cell r="C215" t="str">
            <v>Past</v>
          </cell>
          <cell r="D215">
            <v>56.07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56.07</v>
          </cell>
          <cell r="Q215">
            <v>7.9743740000000001</v>
          </cell>
          <cell r="R215" t="e">
            <v>#N/A</v>
          </cell>
        </row>
        <row r="216">
          <cell r="A216">
            <v>39464</v>
          </cell>
          <cell r="B216">
            <v>39464</v>
          </cell>
          <cell r="C216" t="str">
            <v>Past</v>
          </cell>
          <cell r="D216">
            <v>54.84</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54.84</v>
          </cell>
          <cell r="Q216">
            <v>9.6793959999999988</v>
          </cell>
          <cell r="R216" t="e">
            <v>#N/A</v>
          </cell>
        </row>
        <row r="217">
          <cell r="A217">
            <v>39465</v>
          </cell>
          <cell r="B217">
            <v>39465</v>
          </cell>
          <cell r="C217" t="str">
            <v>Past</v>
          </cell>
          <cell r="D217">
            <v>53.71</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53.71</v>
          </cell>
          <cell r="Q217">
            <v>10.013580000000001</v>
          </cell>
          <cell r="R217" t="e">
            <v>#N/A</v>
          </cell>
        </row>
        <row r="218">
          <cell r="A218">
            <v>39469</v>
          </cell>
          <cell r="B218">
            <v>39469</v>
          </cell>
          <cell r="C218" t="str">
            <v>Past</v>
          </cell>
          <cell r="D218">
            <v>52.17</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52.17</v>
          </cell>
          <cell r="Q218">
            <v>10.932950000000002</v>
          </cell>
          <cell r="R218" t="e">
            <v>#N/A</v>
          </cell>
        </row>
        <row r="219">
          <cell r="A219">
            <v>39470</v>
          </cell>
          <cell r="B219">
            <v>39470</v>
          </cell>
          <cell r="C219" t="str">
            <v>Past</v>
          </cell>
          <cell r="D219">
            <v>52.18</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52.18</v>
          </cell>
          <cell r="Q219">
            <v>8.778276</v>
          </cell>
          <cell r="R219" t="e">
            <v>#N/A</v>
          </cell>
        </row>
        <row r="220">
          <cell r="A220">
            <v>39471</v>
          </cell>
          <cell r="B220">
            <v>39471</v>
          </cell>
          <cell r="C220" t="str">
            <v>Past</v>
          </cell>
          <cell r="D220">
            <v>51.32</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51.32</v>
          </cell>
          <cell r="Q220">
            <v>12.998130000000002</v>
          </cell>
          <cell r="R220" t="e">
            <v>#N/A</v>
          </cell>
        </row>
        <row r="221">
          <cell r="A221">
            <v>39472</v>
          </cell>
          <cell r="B221">
            <v>39472</v>
          </cell>
          <cell r="C221" t="str">
            <v>Past</v>
          </cell>
          <cell r="D221">
            <v>50.74</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50.74</v>
          </cell>
          <cell r="Q221">
            <v>9.5241689999999988</v>
          </cell>
          <cell r="R221" t="e">
            <v>#N/A</v>
          </cell>
        </row>
        <row r="222">
          <cell r="A222">
            <v>39475</v>
          </cell>
          <cell r="B222">
            <v>39475</v>
          </cell>
          <cell r="C222" t="str">
            <v>Past</v>
          </cell>
          <cell r="D222">
            <v>51.4</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51.4</v>
          </cell>
          <cell r="Q222">
            <v>7.0740200000000009</v>
          </cell>
          <cell r="R222" t="e">
            <v>#N/A</v>
          </cell>
        </row>
        <row r="223">
          <cell r="A223">
            <v>39476</v>
          </cell>
          <cell r="B223">
            <v>39476</v>
          </cell>
          <cell r="C223" t="str">
            <v>Past</v>
          </cell>
          <cell r="D223">
            <v>52.31</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52.31</v>
          </cell>
          <cell r="Q223">
            <v>9.2642879999999987</v>
          </cell>
          <cell r="R223" t="e">
            <v>#N/A</v>
          </cell>
        </row>
        <row r="224">
          <cell r="A224">
            <v>39477</v>
          </cell>
          <cell r="B224">
            <v>39477</v>
          </cell>
          <cell r="C224" t="str">
            <v>Past</v>
          </cell>
          <cell r="D224">
            <v>51.35</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51.35</v>
          </cell>
          <cell r="Q224">
            <v>7.3581029999999998</v>
          </cell>
          <cell r="R224" t="e">
            <v>#N/A</v>
          </cell>
        </row>
        <row r="225">
          <cell r="A225">
            <v>39478</v>
          </cell>
          <cell r="B225">
            <v>39478</v>
          </cell>
          <cell r="C225" t="str">
            <v>Past</v>
          </cell>
          <cell r="D225">
            <v>51.39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51.39</v>
          </cell>
          <cell r="Q225">
            <v>9.9696859999999994</v>
          </cell>
          <cell r="R225" t="e">
            <v>#N/A</v>
          </cell>
        </row>
        <row r="226">
          <cell r="A226">
            <v>39479</v>
          </cell>
          <cell r="B226">
            <v>39479</v>
          </cell>
          <cell r="C226" t="str">
            <v>Past</v>
          </cell>
          <cell r="D226">
            <v>51.66</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51.66</v>
          </cell>
          <cell r="Q226">
            <v>7.3747679999999995</v>
          </cell>
          <cell r="R226" t="e">
            <v>#N/A</v>
          </cell>
        </row>
        <row r="227">
          <cell r="A227">
            <v>39482</v>
          </cell>
          <cell r="B227">
            <v>39482</v>
          </cell>
          <cell r="C227" t="str">
            <v>Past</v>
          </cell>
          <cell r="D227">
            <v>52.08</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52.08</v>
          </cell>
          <cell r="Q227">
            <v>4.8363800000000001</v>
          </cell>
          <cell r="R227" t="e">
            <v>#N/A</v>
          </cell>
        </row>
        <row r="228">
          <cell r="A228">
            <v>39483</v>
          </cell>
          <cell r="B228">
            <v>39483</v>
          </cell>
          <cell r="C228" t="str">
            <v>Past</v>
          </cell>
          <cell r="D228">
            <v>51.24</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51.24</v>
          </cell>
          <cell r="Q228">
            <v>5.4406659999999993</v>
          </cell>
          <cell r="R228" t="e">
            <v>#N/A</v>
          </cell>
        </row>
        <row r="229">
          <cell r="A229">
            <v>39484</v>
          </cell>
          <cell r="B229">
            <v>39484</v>
          </cell>
          <cell r="C229" t="str">
            <v>Past</v>
          </cell>
          <cell r="D229">
            <v>51.4</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51.4</v>
          </cell>
          <cell r="Q229">
            <v>4.1012500000000003</v>
          </cell>
          <cell r="R229" t="e">
            <v>#N/A</v>
          </cell>
        </row>
        <row r="230">
          <cell r="A230">
            <v>39485</v>
          </cell>
          <cell r="B230">
            <v>39485</v>
          </cell>
          <cell r="C230" t="str">
            <v>Past</v>
          </cell>
          <cell r="D230">
            <v>51.22</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51.22</v>
          </cell>
          <cell r="Q230">
            <v>7.1532549999999997</v>
          </cell>
          <cell r="R230" t="e">
            <v>#N/A</v>
          </cell>
        </row>
        <row r="231">
          <cell r="A231">
            <v>39486</v>
          </cell>
          <cell r="B231">
            <v>39486</v>
          </cell>
          <cell r="C231" t="str">
            <v>Past</v>
          </cell>
          <cell r="D231">
            <v>50.23</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50.23</v>
          </cell>
          <cell r="Q231">
            <v>4.5241039999999995</v>
          </cell>
          <cell r="R231" t="e">
            <v>#N/A</v>
          </cell>
        </row>
        <row r="232">
          <cell r="A232">
            <v>39489</v>
          </cell>
          <cell r="B232">
            <v>39489</v>
          </cell>
          <cell r="C232" t="str">
            <v>Past</v>
          </cell>
          <cell r="D232">
            <v>50.23</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50.23</v>
          </cell>
          <cell r="Q232">
            <v>4.2224079999999997</v>
          </cell>
          <cell r="R232" t="e">
            <v>#N/A</v>
          </cell>
        </row>
        <row r="233">
          <cell r="A233">
            <v>39490</v>
          </cell>
          <cell r="B233">
            <v>39490</v>
          </cell>
          <cell r="C233" t="str">
            <v>Past</v>
          </cell>
          <cell r="D233">
            <v>51.02</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51.02</v>
          </cell>
          <cell r="Q233">
            <v>5.2176679999999998</v>
          </cell>
          <cell r="R233" t="e">
            <v>#N/A</v>
          </cell>
        </row>
        <row r="234">
          <cell r="A234">
            <v>39491</v>
          </cell>
          <cell r="B234">
            <v>39491</v>
          </cell>
          <cell r="C234" t="str">
            <v>Past</v>
          </cell>
          <cell r="D234">
            <v>50.34</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50.34</v>
          </cell>
          <cell r="Q234">
            <v>6.5031339999999993</v>
          </cell>
          <cell r="R234" t="e">
            <v>#N/A</v>
          </cell>
        </row>
        <row r="235">
          <cell r="A235">
            <v>39492</v>
          </cell>
          <cell r="B235">
            <v>39492</v>
          </cell>
          <cell r="C235" t="str">
            <v>Past</v>
          </cell>
          <cell r="D235">
            <v>49.98</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49.98</v>
          </cell>
          <cell r="Q235">
            <v>5.2135579999999999</v>
          </cell>
          <cell r="R235" t="e">
            <v>#N/A</v>
          </cell>
        </row>
        <row r="236">
          <cell r="A236">
            <v>39493</v>
          </cell>
          <cell r="B236">
            <v>39493</v>
          </cell>
          <cell r="C236" t="str">
            <v>Past</v>
          </cell>
          <cell r="D236">
            <v>50.82</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50.82</v>
          </cell>
          <cell r="Q236">
            <v>6.4792709999999998</v>
          </cell>
          <cell r="R236" t="e">
            <v>#N/A</v>
          </cell>
        </row>
        <row r="237">
          <cell r="A237">
            <v>39497</v>
          </cell>
          <cell r="B237">
            <v>39497</v>
          </cell>
          <cell r="C237" t="str">
            <v>Past</v>
          </cell>
          <cell r="D237">
            <v>50.3</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50.3</v>
          </cell>
          <cell r="Q237">
            <v>5.9148000000000005</v>
          </cell>
          <cell r="R237" t="e">
            <v>#N/A</v>
          </cell>
        </row>
        <row r="238">
          <cell r="A238">
            <v>39498</v>
          </cell>
          <cell r="B238">
            <v>39498</v>
          </cell>
          <cell r="C238" t="str">
            <v>Past</v>
          </cell>
          <cell r="D238">
            <v>50.37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50.37</v>
          </cell>
          <cell r="Q238">
            <v>4.2902149999999999</v>
          </cell>
          <cell r="R238" t="e">
            <v>#N/A</v>
          </cell>
        </row>
        <row r="239">
          <cell r="A239">
            <v>39499</v>
          </cell>
          <cell r="B239">
            <v>39499</v>
          </cell>
          <cell r="C239" t="str">
            <v>Past</v>
          </cell>
          <cell r="D239">
            <v>49.82</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49.82</v>
          </cell>
          <cell r="Q239">
            <v>5.4567869999999994</v>
          </cell>
          <cell r="R239" t="e">
            <v>#N/A</v>
          </cell>
        </row>
        <row r="240">
          <cell r="A240">
            <v>39500</v>
          </cell>
          <cell r="B240">
            <v>39500</v>
          </cell>
          <cell r="C240" t="str">
            <v>Past</v>
          </cell>
          <cell r="D240">
            <v>50.51</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50.51</v>
          </cell>
          <cell r="Q240">
            <v>9.058940999999999</v>
          </cell>
          <cell r="R240" t="e">
            <v>#N/A</v>
          </cell>
        </row>
        <row r="241">
          <cell r="A241">
            <v>39503</v>
          </cell>
          <cell r="B241">
            <v>39503</v>
          </cell>
          <cell r="C241" t="str">
            <v>Past</v>
          </cell>
          <cell r="D241">
            <v>51.3</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51.3</v>
          </cell>
          <cell r="Q241">
            <v>5.266845</v>
          </cell>
          <cell r="R241" t="e">
            <v>#N/A</v>
          </cell>
        </row>
        <row r="242">
          <cell r="A242">
            <v>39504</v>
          </cell>
          <cell r="B242">
            <v>39504</v>
          </cell>
          <cell r="C242" t="str">
            <v>Past</v>
          </cell>
          <cell r="D242">
            <v>52.45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52.45</v>
          </cell>
          <cell r="Q242">
            <v>8.0599000000000007</v>
          </cell>
          <cell r="R242" t="e">
            <v>#N/A</v>
          </cell>
        </row>
        <row r="243">
          <cell r="A243">
            <v>39505</v>
          </cell>
          <cell r="B243">
            <v>39505</v>
          </cell>
          <cell r="C243" t="str">
            <v>Past</v>
          </cell>
          <cell r="D243">
            <v>51.83</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51.83</v>
          </cell>
          <cell r="Q243">
            <v>3.6485909999999997</v>
          </cell>
          <cell r="R243" t="e">
            <v>#N/A</v>
          </cell>
        </row>
        <row r="244">
          <cell r="A244">
            <v>39506</v>
          </cell>
          <cell r="B244">
            <v>39506</v>
          </cell>
          <cell r="C244" t="str">
            <v>Past</v>
          </cell>
          <cell r="D244">
            <v>50.93</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50.93</v>
          </cell>
          <cell r="Q244">
            <v>4.396744</v>
          </cell>
          <cell r="R244" t="e">
            <v>#N/A</v>
          </cell>
        </row>
        <row r="245">
          <cell r="A245">
            <v>39507</v>
          </cell>
          <cell r="B245">
            <v>39507</v>
          </cell>
          <cell r="C245" t="str">
            <v>Past</v>
          </cell>
          <cell r="D245">
            <v>50.02</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50.02</v>
          </cell>
          <cell r="Q245">
            <v>6.9025270000000001</v>
          </cell>
          <cell r="R245" t="e">
            <v>#N/A</v>
          </cell>
        </row>
        <row r="246">
          <cell r="A246">
            <v>39510</v>
          </cell>
          <cell r="B246">
            <v>39510</v>
          </cell>
          <cell r="C246" t="str">
            <v>Past</v>
          </cell>
          <cell r="D246">
            <v>50.19</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50.19</v>
          </cell>
          <cell r="Q246">
            <v>4.0996920000000001</v>
          </cell>
          <cell r="R246" t="e">
            <v>#N/A</v>
          </cell>
        </row>
        <row r="247">
          <cell r="A247">
            <v>39511</v>
          </cell>
          <cell r="B247">
            <v>39511</v>
          </cell>
          <cell r="C247" t="str">
            <v>Past</v>
          </cell>
          <cell r="D247">
            <v>50.01</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50.01</v>
          </cell>
          <cell r="Q247">
            <v>5.8622290000000001</v>
          </cell>
          <cell r="R247" t="e">
            <v>#N/A</v>
          </cell>
        </row>
        <row r="248">
          <cell r="A248">
            <v>39512</v>
          </cell>
          <cell r="B248">
            <v>39512</v>
          </cell>
          <cell r="C248" t="str">
            <v>Past</v>
          </cell>
          <cell r="D248">
            <v>50.42</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50.42</v>
          </cell>
          <cell r="Q248">
            <v>4.5204360000000001</v>
          </cell>
          <cell r="R248" t="e">
            <v>#N/A</v>
          </cell>
        </row>
        <row r="249">
          <cell r="A249">
            <v>39513</v>
          </cell>
          <cell r="B249">
            <v>39513</v>
          </cell>
          <cell r="C249" t="str">
            <v>Past</v>
          </cell>
          <cell r="D249">
            <v>49.68</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49.68</v>
          </cell>
          <cell r="Q249">
            <v>4.4463159999999995</v>
          </cell>
          <cell r="R249" t="e">
            <v>#N/A</v>
          </cell>
        </row>
        <row r="250">
          <cell r="A250">
            <v>39514</v>
          </cell>
          <cell r="B250">
            <v>39514</v>
          </cell>
          <cell r="C250" t="str">
            <v>Past</v>
          </cell>
          <cell r="D250">
            <v>49.7</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49.7</v>
          </cell>
          <cell r="Q250">
            <v>7.2755619999999999</v>
          </cell>
          <cell r="R250" t="e">
            <v>#N/A</v>
          </cell>
        </row>
        <row r="251">
          <cell r="A251">
            <v>39517</v>
          </cell>
          <cell r="B251">
            <v>39517</v>
          </cell>
          <cell r="C251" t="str">
            <v>Past</v>
          </cell>
          <cell r="D251">
            <v>49.42</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49.42</v>
          </cell>
          <cell r="Q251">
            <v>7.0326489999999993</v>
          </cell>
          <cell r="R251" t="e">
            <v>#N/A</v>
          </cell>
        </row>
        <row r="252">
          <cell r="A252">
            <v>39518</v>
          </cell>
          <cell r="B252">
            <v>39518</v>
          </cell>
          <cell r="C252" t="str">
            <v>Past</v>
          </cell>
          <cell r="D252">
            <v>50.59</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50.59</v>
          </cell>
          <cell r="Q252">
            <v>7.4423949999999994</v>
          </cell>
          <cell r="R252" t="e">
            <v>#N/A</v>
          </cell>
        </row>
        <row r="253">
          <cell r="A253">
            <v>39519</v>
          </cell>
          <cell r="B253">
            <v>39519</v>
          </cell>
          <cell r="C253" t="str">
            <v>Past</v>
          </cell>
          <cell r="D253">
            <v>49.78</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49.78</v>
          </cell>
          <cell r="Q253">
            <v>5.8788689999999999</v>
          </cell>
          <cell r="R253" t="e">
            <v>#N/A</v>
          </cell>
        </row>
        <row r="254">
          <cell r="A254">
            <v>39520</v>
          </cell>
          <cell r="B254">
            <v>39520</v>
          </cell>
          <cell r="C254" t="str">
            <v>Past</v>
          </cell>
          <cell r="D254">
            <v>49.16</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49.16</v>
          </cell>
          <cell r="Q254">
            <v>6.654693</v>
          </cell>
          <cell r="R254" t="e">
            <v>#N/A</v>
          </cell>
        </row>
        <row r="255">
          <cell r="A255">
            <v>39521</v>
          </cell>
          <cell r="B255">
            <v>39521</v>
          </cell>
          <cell r="C255" t="str">
            <v>Past</v>
          </cell>
          <cell r="D255">
            <v>47.81</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47.81</v>
          </cell>
          <cell r="Q255">
            <v>8.4282450000000004</v>
          </cell>
          <cell r="R255" t="e">
            <v>#N/A</v>
          </cell>
        </row>
        <row r="256">
          <cell r="A256">
            <v>39524</v>
          </cell>
          <cell r="B256">
            <v>39524</v>
          </cell>
          <cell r="C256" t="str">
            <v>Past</v>
          </cell>
          <cell r="D256">
            <v>48.87</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48.87</v>
          </cell>
          <cell r="Q256">
            <v>6.8472469999999994</v>
          </cell>
          <cell r="R256" t="e">
            <v>#N/A</v>
          </cell>
        </row>
        <row r="257">
          <cell r="A257">
            <v>39525</v>
          </cell>
          <cell r="B257">
            <v>39525</v>
          </cell>
          <cell r="C257" t="str">
            <v>Past</v>
          </cell>
          <cell r="D257">
            <v>49.92</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49.92</v>
          </cell>
          <cell r="Q257">
            <v>5.3921999999999999</v>
          </cell>
          <cell r="R257" t="e">
            <v>#N/A</v>
          </cell>
        </row>
        <row r="258">
          <cell r="A258">
            <v>39526</v>
          </cell>
          <cell r="B258">
            <v>39526</v>
          </cell>
          <cell r="C258" t="str">
            <v>Past</v>
          </cell>
          <cell r="D258">
            <v>49.97</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49.97</v>
          </cell>
          <cell r="Q258">
            <v>5.7588840000000001</v>
          </cell>
          <cell r="R258" t="e">
            <v>#N/A</v>
          </cell>
        </row>
        <row r="259">
          <cell r="A259">
            <v>39527</v>
          </cell>
          <cell r="B259">
            <v>39527</v>
          </cell>
          <cell r="C259" t="str">
            <v>Past</v>
          </cell>
          <cell r="D259">
            <v>49.84</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49.84</v>
          </cell>
          <cell r="Q259">
            <v>9.1662759999999999</v>
          </cell>
          <cell r="R259" t="e">
            <v>#N/A</v>
          </cell>
        </row>
        <row r="260">
          <cell r="A260">
            <v>39531</v>
          </cell>
          <cell r="B260">
            <v>39531</v>
          </cell>
          <cell r="C260" t="str">
            <v>Past</v>
          </cell>
          <cell r="D260">
            <v>50.1</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50.1</v>
          </cell>
          <cell r="Q260">
            <v>5.7913179999999995</v>
          </cell>
          <cell r="R260" t="e">
            <v>#N/A</v>
          </cell>
        </row>
        <row r="261">
          <cell r="A261">
            <v>39532</v>
          </cell>
          <cell r="B261">
            <v>39532</v>
          </cell>
          <cell r="C261" t="str">
            <v>Past</v>
          </cell>
          <cell r="D261">
            <v>50.17</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50.17</v>
          </cell>
          <cell r="Q261">
            <v>4.5670100000000007</v>
          </cell>
          <cell r="R261" t="e">
            <v>#N/A</v>
          </cell>
        </row>
        <row r="262">
          <cell r="A262">
            <v>39533</v>
          </cell>
          <cell r="B262">
            <v>39533</v>
          </cell>
          <cell r="C262" t="str">
            <v>Past</v>
          </cell>
          <cell r="D262">
            <v>50.19</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50.19</v>
          </cell>
          <cell r="Q262">
            <v>6.3212000000000002</v>
          </cell>
          <cell r="R262" t="e">
            <v>#N/A</v>
          </cell>
        </row>
        <row r="263">
          <cell r="A263">
            <v>39534</v>
          </cell>
          <cell r="B263">
            <v>39534</v>
          </cell>
          <cell r="C263" t="str">
            <v>Past</v>
          </cell>
          <cell r="D263">
            <v>50.43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50.43</v>
          </cell>
          <cell r="Q263">
            <v>4.9405919999999997</v>
          </cell>
          <cell r="R263" t="e">
            <v>#N/A</v>
          </cell>
        </row>
        <row r="264">
          <cell r="A264">
            <v>39535</v>
          </cell>
          <cell r="B264">
            <v>39535</v>
          </cell>
          <cell r="C264" t="str">
            <v>Past</v>
          </cell>
          <cell r="D264">
            <v>50.29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50.29</v>
          </cell>
          <cell r="Q264">
            <v>5.3374350000000002</v>
          </cell>
          <cell r="R264" t="e">
            <v>#N/A</v>
          </cell>
        </row>
        <row r="265">
          <cell r="A265">
            <v>39538</v>
          </cell>
          <cell r="B265">
            <v>39538</v>
          </cell>
          <cell r="C265" t="str">
            <v>Past</v>
          </cell>
          <cell r="D265">
            <v>51.59</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51.59</v>
          </cell>
          <cell r="Q265">
            <v>8.4783720000000002</v>
          </cell>
          <cell r="R265" t="e">
            <v>#N/A</v>
          </cell>
        </row>
        <row r="266">
          <cell r="A266">
            <v>39539</v>
          </cell>
          <cell r="B266">
            <v>39539</v>
          </cell>
          <cell r="C266" t="str">
            <v>Past</v>
          </cell>
          <cell r="D266">
            <v>52.03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52.03</v>
          </cell>
          <cell r="Q266">
            <v>7.230181</v>
          </cell>
          <cell r="R266" t="e">
            <v>#N/A</v>
          </cell>
        </row>
        <row r="267">
          <cell r="A267">
            <v>39540</v>
          </cell>
          <cell r="B267">
            <v>39540</v>
          </cell>
          <cell r="C267" t="str">
            <v>Past</v>
          </cell>
          <cell r="D267">
            <v>51.76</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51.76</v>
          </cell>
          <cell r="Q267">
            <v>5.5314839999999998</v>
          </cell>
          <cell r="R267" t="e">
            <v>#N/A</v>
          </cell>
        </row>
        <row r="268">
          <cell r="A268">
            <v>39541</v>
          </cell>
          <cell r="B268">
            <v>39541</v>
          </cell>
          <cell r="C268" t="str">
            <v>Past</v>
          </cell>
          <cell r="D268">
            <v>51.8</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51.8</v>
          </cell>
          <cell r="Q268">
            <v>5.0750000000000002</v>
          </cell>
          <cell r="R268" t="e">
            <v>#N/A</v>
          </cell>
        </row>
        <row r="269">
          <cell r="A269">
            <v>39542</v>
          </cell>
          <cell r="B269">
            <v>39542</v>
          </cell>
          <cell r="C269" t="str">
            <v>Past</v>
          </cell>
          <cell r="D269">
            <v>52.28</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52.28</v>
          </cell>
          <cell r="Q269">
            <v>5.583723</v>
          </cell>
          <cell r="R269" t="e">
            <v>#N/A</v>
          </cell>
        </row>
        <row r="270">
          <cell r="A270">
            <v>39545</v>
          </cell>
          <cell r="B270">
            <v>39545</v>
          </cell>
          <cell r="C270" t="str">
            <v>Past</v>
          </cell>
          <cell r="D270">
            <v>53.06</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53.06</v>
          </cell>
          <cell r="Q270">
            <v>6.1278569999999997</v>
          </cell>
          <cell r="R270" t="e">
            <v>#N/A</v>
          </cell>
        </row>
        <row r="271">
          <cell r="A271">
            <v>39546</v>
          </cell>
          <cell r="B271">
            <v>39546</v>
          </cell>
          <cell r="C271" t="str">
            <v>Past</v>
          </cell>
          <cell r="D271">
            <v>52.3</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52.3</v>
          </cell>
          <cell r="Q271">
            <v>4.8953959999999999</v>
          </cell>
          <cell r="R271" t="e">
            <v>#N/A</v>
          </cell>
        </row>
        <row r="272">
          <cell r="A272">
            <v>39547</v>
          </cell>
          <cell r="B272">
            <v>39547</v>
          </cell>
          <cell r="C272" t="str">
            <v>Past</v>
          </cell>
          <cell r="D272">
            <v>51.77</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51.77</v>
          </cell>
          <cell r="Q272">
            <v>5.0903510000000001</v>
          </cell>
          <cell r="R272" t="e">
            <v>#N/A</v>
          </cell>
        </row>
        <row r="273">
          <cell r="A273">
            <v>39548</v>
          </cell>
          <cell r="B273">
            <v>39548</v>
          </cell>
          <cell r="C273" t="str">
            <v>Past</v>
          </cell>
          <cell r="D273">
            <v>52.39</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52.39</v>
          </cell>
          <cell r="Q273">
            <v>5.4585059999999999</v>
          </cell>
          <cell r="R273" t="e">
            <v>#N/A</v>
          </cell>
        </row>
        <row r="274">
          <cell r="A274">
            <v>39549</v>
          </cell>
          <cell r="B274">
            <v>39549</v>
          </cell>
          <cell r="C274" t="str">
            <v>Past</v>
          </cell>
          <cell r="D274">
            <v>51.93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51.93</v>
          </cell>
          <cell r="Q274">
            <v>5.3465759999999998</v>
          </cell>
          <cell r="R274" t="e">
            <v>#N/A</v>
          </cell>
        </row>
        <row r="275">
          <cell r="A275">
            <v>39552</v>
          </cell>
          <cell r="B275">
            <v>39552</v>
          </cell>
          <cell r="C275" t="str">
            <v>Past</v>
          </cell>
          <cell r="D275">
            <v>51.82</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51.82</v>
          </cell>
          <cell r="Q275">
            <v>4.8003</v>
          </cell>
          <cell r="R275" t="e">
            <v>#N/A</v>
          </cell>
        </row>
        <row r="276">
          <cell r="A276">
            <v>39553</v>
          </cell>
          <cell r="B276">
            <v>39553</v>
          </cell>
          <cell r="C276" t="str">
            <v>Past</v>
          </cell>
          <cell r="D276">
            <v>51.55</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51.55</v>
          </cell>
          <cell r="Q276">
            <v>5.6022179999999997</v>
          </cell>
          <cell r="R276" t="e">
            <v>#N/A</v>
          </cell>
        </row>
        <row r="277">
          <cell r="A277">
            <v>39554</v>
          </cell>
          <cell r="B277">
            <v>39554</v>
          </cell>
          <cell r="C277" t="str">
            <v>Past</v>
          </cell>
          <cell r="D277">
            <v>52.55</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52.55</v>
          </cell>
          <cell r="Q277">
            <v>4.3013560000000002</v>
          </cell>
          <cell r="R277" t="e">
            <v>#N/A</v>
          </cell>
        </row>
        <row r="278">
          <cell r="A278">
            <v>39555</v>
          </cell>
          <cell r="B278">
            <v>39555</v>
          </cell>
          <cell r="C278" t="str">
            <v>Past</v>
          </cell>
          <cell r="D278">
            <v>51.39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51.39</v>
          </cell>
          <cell r="Q278">
            <v>6.9287829999999992</v>
          </cell>
          <cell r="R278" t="e">
            <v>#N/A</v>
          </cell>
        </row>
        <row r="279">
          <cell r="A279">
            <v>39556</v>
          </cell>
          <cell r="B279">
            <v>39556</v>
          </cell>
          <cell r="C279" t="str">
            <v>Past</v>
          </cell>
          <cell r="D279">
            <v>52.07</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52.07</v>
          </cell>
          <cell r="Q279">
            <v>6.2235579999999997</v>
          </cell>
          <cell r="R279" t="e">
            <v>#N/A</v>
          </cell>
        </row>
        <row r="280">
          <cell r="A280">
            <v>39559</v>
          </cell>
          <cell r="B280">
            <v>39559</v>
          </cell>
          <cell r="C280" t="str">
            <v>Past</v>
          </cell>
          <cell r="D280">
            <v>49.59</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49.59</v>
          </cell>
          <cell r="Q280">
            <v>10.13949</v>
          </cell>
          <cell r="R280" t="e">
            <v>#N/A</v>
          </cell>
        </row>
        <row r="281">
          <cell r="A281">
            <v>39560</v>
          </cell>
          <cell r="B281">
            <v>39560</v>
          </cell>
          <cell r="C281" t="str">
            <v>Past</v>
          </cell>
          <cell r="D281">
            <v>49.05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49.05</v>
          </cell>
          <cell r="Q281">
            <v>8.5261739999999993</v>
          </cell>
          <cell r="R281" t="e">
            <v>#N/A</v>
          </cell>
        </row>
        <row r="282">
          <cell r="A282">
            <v>39561</v>
          </cell>
          <cell r="B282">
            <v>39561</v>
          </cell>
          <cell r="C282" t="str">
            <v>Past</v>
          </cell>
          <cell r="D282">
            <v>49.19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49.19</v>
          </cell>
          <cell r="Q282">
            <v>6.5452360000000001</v>
          </cell>
          <cell r="R282" t="e">
            <v>#N/A</v>
          </cell>
        </row>
        <row r="283">
          <cell r="A283">
            <v>39562</v>
          </cell>
          <cell r="B283">
            <v>39562</v>
          </cell>
          <cell r="C283" t="str">
            <v>Past</v>
          </cell>
          <cell r="D283">
            <v>49.04</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49.04</v>
          </cell>
          <cell r="Q283">
            <v>4.4469729999999998</v>
          </cell>
          <cell r="R283" t="e">
            <v>#N/A</v>
          </cell>
        </row>
        <row r="284">
          <cell r="A284">
            <v>39563</v>
          </cell>
          <cell r="B284">
            <v>39563</v>
          </cell>
          <cell r="C284" t="str">
            <v>Past</v>
          </cell>
          <cell r="D284">
            <v>49.36</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49.36</v>
          </cell>
          <cell r="Q284">
            <v>4.609451</v>
          </cell>
          <cell r="R284" t="e">
            <v>#N/A</v>
          </cell>
        </row>
        <row r="285">
          <cell r="A285">
            <v>39566</v>
          </cell>
          <cell r="B285">
            <v>39566</v>
          </cell>
          <cell r="C285" t="str">
            <v>Past</v>
          </cell>
          <cell r="D285">
            <v>49.36</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49.36</v>
          </cell>
          <cell r="Q285">
            <v>4.9131529999999994</v>
          </cell>
          <cell r="R285" t="e">
            <v>#N/A</v>
          </cell>
        </row>
        <row r="286">
          <cell r="A286">
            <v>39567</v>
          </cell>
          <cell r="B286">
            <v>39567</v>
          </cell>
          <cell r="C286" t="str">
            <v>Past</v>
          </cell>
          <cell r="D286">
            <v>48.11</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48.11</v>
          </cell>
          <cell r="Q286">
            <v>8.5598390000000002</v>
          </cell>
          <cell r="R286" t="e">
            <v>#N/A</v>
          </cell>
        </row>
        <row r="287">
          <cell r="A287">
            <v>39568</v>
          </cell>
          <cell r="B287">
            <v>39568</v>
          </cell>
          <cell r="C287" t="str">
            <v>Past</v>
          </cell>
          <cell r="D287">
            <v>48.14</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48.14</v>
          </cell>
          <cell r="Q287">
            <v>6.1428139999999996</v>
          </cell>
          <cell r="R287" t="e">
            <v>#N/A</v>
          </cell>
        </row>
        <row r="288">
          <cell r="A288">
            <v>39569</v>
          </cell>
          <cell r="B288">
            <v>39569</v>
          </cell>
          <cell r="C288" t="str">
            <v>Past</v>
          </cell>
          <cell r="D288">
            <v>49.72</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49.72</v>
          </cell>
          <cell r="Q288">
            <v>6.2675000000000001</v>
          </cell>
          <cell r="R288" t="e">
            <v>#N/A</v>
          </cell>
        </row>
        <row r="289">
          <cell r="A289">
            <v>39570</v>
          </cell>
          <cell r="B289">
            <v>39570</v>
          </cell>
          <cell r="C289" t="str">
            <v>Past</v>
          </cell>
          <cell r="D289">
            <v>49.38</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49.38</v>
          </cell>
          <cell r="Q289">
            <v>3.6564389999999998</v>
          </cell>
          <cell r="R289" t="e">
            <v>#N/A</v>
          </cell>
        </row>
        <row r="290">
          <cell r="A290">
            <v>39573</v>
          </cell>
          <cell r="B290">
            <v>39573</v>
          </cell>
          <cell r="C290" t="str">
            <v>Past</v>
          </cell>
          <cell r="D290">
            <v>48.99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48.99</v>
          </cell>
          <cell r="Q290">
            <v>3.4593929999999999</v>
          </cell>
          <cell r="R290" t="e">
            <v>#N/A</v>
          </cell>
        </row>
        <row r="291">
          <cell r="A291">
            <v>39574</v>
          </cell>
          <cell r="B291">
            <v>39574</v>
          </cell>
          <cell r="C291" t="str">
            <v>Past</v>
          </cell>
          <cell r="D291">
            <v>48.75</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48.75</v>
          </cell>
          <cell r="Q291">
            <v>4.2778359999999997</v>
          </cell>
          <cell r="R291" t="e">
            <v>#N/A</v>
          </cell>
        </row>
        <row r="292">
          <cell r="A292">
            <v>39575</v>
          </cell>
          <cell r="B292">
            <v>39575</v>
          </cell>
          <cell r="C292" t="str">
            <v>Past</v>
          </cell>
          <cell r="D292">
            <v>48.65</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48.65</v>
          </cell>
          <cell r="Q292">
            <v>5.5046119999999998</v>
          </cell>
          <cell r="R292" t="e">
            <v>#N/A</v>
          </cell>
        </row>
        <row r="293">
          <cell r="A293">
            <v>39576</v>
          </cell>
          <cell r="B293">
            <v>39576</v>
          </cell>
          <cell r="C293" t="str">
            <v>Past</v>
          </cell>
          <cell r="D293">
            <v>48.43</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48.43</v>
          </cell>
          <cell r="Q293">
            <v>5.3023039999999995</v>
          </cell>
          <cell r="R293" t="e">
            <v>#N/A</v>
          </cell>
        </row>
        <row r="294">
          <cell r="A294">
            <v>39577</v>
          </cell>
          <cell r="B294">
            <v>39577</v>
          </cell>
          <cell r="C294" t="str">
            <v>Past</v>
          </cell>
          <cell r="D294">
            <v>48.25</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48.25</v>
          </cell>
          <cell r="Q294">
            <v>4.2933690000000002</v>
          </cell>
          <cell r="R294" t="e">
            <v>#N/A</v>
          </cell>
        </row>
        <row r="295">
          <cell r="A295">
            <v>39580</v>
          </cell>
          <cell r="B295">
            <v>39580</v>
          </cell>
          <cell r="C295" t="str">
            <v>Past</v>
          </cell>
          <cell r="D295">
            <v>48.76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48.76</v>
          </cell>
          <cell r="Q295">
            <v>3.5420409999999998</v>
          </cell>
          <cell r="R295" t="e">
            <v>#N/A</v>
          </cell>
        </row>
        <row r="296">
          <cell r="A296">
            <v>39581</v>
          </cell>
          <cell r="B296">
            <v>39581</v>
          </cell>
          <cell r="C296" t="str">
            <v>Past</v>
          </cell>
          <cell r="D296">
            <v>47.55</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47.55</v>
          </cell>
          <cell r="Q296">
            <v>5.3672779999999998</v>
          </cell>
          <cell r="R296" t="e">
            <v>#N/A</v>
          </cell>
        </row>
        <row r="297">
          <cell r="A297">
            <v>39582</v>
          </cell>
          <cell r="B297">
            <v>39582</v>
          </cell>
          <cell r="C297" t="str">
            <v>Past</v>
          </cell>
          <cell r="D297">
            <v>48.3</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48.3</v>
          </cell>
          <cell r="Q297">
            <v>4.3714700000000004</v>
          </cell>
          <cell r="R297" t="e">
            <v>#N/A</v>
          </cell>
        </row>
        <row r="298">
          <cell r="A298">
            <v>39583</v>
          </cell>
          <cell r="B298">
            <v>39583</v>
          </cell>
          <cell r="C298" t="str">
            <v>Past</v>
          </cell>
          <cell r="D298">
            <v>48.67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48.67</v>
          </cell>
          <cell r="Q298">
            <v>5.1942259999999996</v>
          </cell>
          <cell r="R298" t="e">
            <v>#N/A</v>
          </cell>
        </row>
        <row r="299">
          <cell r="A299">
            <v>39584</v>
          </cell>
          <cell r="B299">
            <v>39584</v>
          </cell>
          <cell r="C299" t="str">
            <v>Past</v>
          </cell>
          <cell r="D299">
            <v>48.95</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48.95</v>
          </cell>
          <cell r="Q299">
            <v>5.1961449999999996</v>
          </cell>
          <cell r="R299" t="e">
            <v>#N/A</v>
          </cell>
        </row>
        <row r="300">
          <cell r="A300">
            <v>39587</v>
          </cell>
          <cell r="B300">
            <v>39587</v>
          </cell>
          <cell r="C300" t="str">
            <v>Past</v>
          </cell>
          <cell r="D300">
            <v>49.53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49.53</v>
          </cell>
          <cell r="Q300">
            <v>3.7795079999999999</v>
          </cell>
          <cell r="R300" t="e">
            <v>#N/A</v>
          </cell>
        </row>
        <row r="301">
          <cell r="A301">
            <v>39588</v>
          </cell>
          <cell r="B301">
            <v>39588</v>
          </cell>
          <cell r="C301" t="str">
            <v>Past</v>
          </cell>
          <cell r="D301">
            <v>48.96</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48.96</v>
          </cell>
          <cell r="Q301">
            <v>4.1332800000000001</v>
          </cell>
          <cell r="R301" t="e">
            <v>#N/A</v>
          </cell>
        </row>
        <row r="302">
          <cell r="A302">
            <v>39589</v>
          </cell>
          <cell r="B302">
            <v>39589</v>
          </cell>
          <cell r="C302" t="str">
            <v>Past</v>
          </cell>
          <cell r="D302">
            <v>48.1</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48.1</v>
          </cell>
          <cell r="Q302">
            <v>4.6815200000000008</v>
          </cell>
          <cell r="R302" t="e">
            <v>#N/A</v>
          </cell>
        </row>
        <row r="303">
          <cell r="A303">
            <v>39590</v>
          </cell>
          <cell r="B303">
            <v>39590</v>
          </cell>
          <cell r="C303" t="str">
            <v>Past</v>
          </cell>
          <cell r="D303">
            <v>48.48</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48.48</v>
          </cell>
          <cell r="Q303">
            <v>3.1060369999999997</v>
          </cell>
          <cell r="R303" t="e">
            <v>#N/A</v>
          </cell>
        </row>
        <row r="304">
          <cell r="A304">
            <v>39591</v>
          </cell>
          <cell r="B304">
            <v>39591</v>
          </cell>
          <cell r="C304" t="str">
            <v>Past</v>
          </cell>
          <cell r="D304">
            <v>47.57</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47.57</v>
          </cell>
          <cell r="Q304">
            <v>3.602738</v>
          </cell>
          <cell r="R304" t="e">
            <v>#N/A</v>
          </cell>
        </row>
        <row r="305">
          <cell r="A305">
            <v>39595</v>
          </cell>
          <cell r="B305">
            <v>39595</v>
          </cell>
          <cell r="C305" t="str">
            <v>Past</v>
          </cell>
          <cell r="D305">
            <v>47.94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47.94</v>
          </cell>
          <cell r="Q305">
            <v>2.9895320000000001</v>
          </cell>
          <cell r="R305" t="e">
            <v>#N/A</v>
          </cell>
        </row>
        <row r="306">
          <cell r="A306">
            <v>39596</v>
          </cell>
          <cell r="B306">
            <v>39596</v>
          </cell>
          <cell r="C306" t="str">
            <v>Past</v>
          </cell>
          <cell r="D306">
            <v>47.85</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47.85</v>
          </cell>
          <cell r="Q306">
            <v>3.5206619999999997</v>
          </cell>
          <cell r="R306" t="e">
            <v>#N/A</v>
          </cell>
        </row>
        <row r="307">
          <cell r="A307">
            <v>39597</v>
          </cell>
          <cell r="B307">
            <v>39597</v>
          </cell>
          <cell r="C307" t="str">
            <v>Past</v>
          </cell>
          <cell r="D307">
            <v>48.6</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48.6</v>
          </cell>
          <cell r="Q307">
            <v>6.289917</v>
          </cell>
          <cell r="R307" t="e">
            <v>#N/A</v>
          </cell>
        </row>
        <row r="308">
          <cell r="A308">
            <v>39598</v>
          </cell>
          <cell r="B308">
            <v>39598</v>
          </cell>
          <cell r="C308" t="str">
            <v>Past</v>
          </cell>
          <cell r="D308">
            <v>48.14</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48.14</v>
          </cell>
          <cell r="Q308">
            <v>4.0569929999999994</v>
          </cell>
          <cell r="R308" t="e">
            <v>#N/A</v>
          </cell>
        </row>
        <row r="309">
          <cell r="A309">
            <v>39601</v>
          </cell>
          <cell r="B309">
            <v>39601</v>
          </cell>
          <cell r="C309" t="str">
            <v>Past</v>
          </cell>
          <cell r="D309">
            <v>47.59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47.59</v>
          </cell>
          <cell r="Q309">
            <v>5.9305129999999995</v>
          </cell>
          <cell r="R309" t="e">
            <v>#N/A</v>
          </cell>
        </row>
        <row r="310">
          <cell r="A310">
            <v>39602</v>
          </cell>
          <cell r="B310">
            <v>39602</v>
          </cell>
          <cell r="C310" t="str">
            <v>Past</v>
          </cell>
          <cell r="D310">
            <v>48.28</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48.28</v>
          </cell>
          <cell r="Q310">
            <v>7.2632879999999993</v>
          </cell>
          <cell r="R310" t="e">
            <v>#N/A</v>
          </cell>
        </row>
        <row r="311">
          <cell r="A311">
            <v>39603</v>
          </cell>
          <cell r="B311">
            <v>39603</v>
          </cell>
          <cell r="C311" t="str">
            <v>Past</v>
          </cell>
          <cell r="D311">
            <v>49.04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49.04</v>
          </cell>
          <cell r="Q311">
            <v>7.4087769999999997</v>
          </cell>
          <cell r="R311" t="e">
            <v>#N/A</v>
          </cell>
        </row>
        <row r="312">
          <cell r="A312">
            <v>39604</v>
          </cell>
          <cell r="B312">
            <v>39604</v>
          </cell>
          <cell r="C312" t="str">
            <v>Past</v>
          </cell>
          <cell r="D312">
            <v>49.46</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49.46</v>
          </cell>
          <cell r="Q312">
            <v>7.8629619999999996</v>
          </cell>
          <cell r="R312" t="e">
            <v>#N/A</v>
          </cell>
        </row>
        <row r="313">
          <cell r="A313">
            <v>39605</v>
          </cell>
          <cell r="B313">
            <v>39605</v>
          </cell>
          <cell r="C313" t="str">
            <v>Past</v>
          </cell>
          <cell r="D313">
            <v>48.42</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48.42</v>
          </cell>
          <cell r="Q313">
            <v>7.8118429999999996</v>
          </cell>
          <cell r="R313" t="e">
            <v>#N/A</v>
          </cell>
        </row>
        <row r="314">
          <cell r="A314">
            <v>39608</v>
          </cell>
          <cell r="B314">
            <v>39608</v>
          </cell>
          <cell r="C314" t="str">
            <v>Past</v>
          </cell>
          <cell r="D314">
            <v>48.18</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48.18</v>
          </cell>
          <cell r="Q314">
            <v>6.4204279999999994</v>
          </cell>
          <cell r="R314" t="e">
            <v>#N/A</v>
          </cell>
        </row>
        <row r="315">
          <cell r="A315">
            <v>39609</v>
          </cell>
          <cell r="B315">
            <v>39609</v>
          </cell>
          <cell r="C315" t="str">
            <v>Past</v>
          </cell>
          <cell r="D315">
            <v>47.94</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47.94</v>
          </cell>
          <cell r="Q315">
            <v>5.1661869999999999</v>
          </cell>
          <cell r="R315" t="e">
            <v>#N/A</v>
          </cell>
        </row>
        <row r="316">
          <cell r="A316">
            <v>39610</v>
          </cell>
          <cell r="B316">
            <v>39610</v>
          </cell>
          <cell r="C316" t="str">
            <v>Past</v>
          </cell>
          <cell r="D316">
            <v>47.43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47.43</v>
          </cell>
          <cell r="Q316">
            <v>4.0563459999999996</v>
          </cell>
          <cell r="R316" t="e">
            <v>#N/A</v>
          </cell>
        </row>
        <row r="317">
          <cell r="A317">
            <v>39611</v>
          </cell>
          <cell r="B317">
            <v>39611</v>
          </cell>
          <cell r="C317" t="str">
            <v>Past</v>
          </cell>
          <cell r="D317">
            <v>47.7</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47.7</v>
          </cell>
          <cell r="Q317">
            <v>4.5953330000000001</v>
          </cell>
          <cell r="R317" t="e">
            <v>#N/A</v>
          </cell>
        </row>
        <row r="318">
          <cell r="A318">
            <v>39612</v>
          </cell>
          <cell r="B318">
            <v>39612</v>
          </cell>
          <cell r="C318" t="str">
            <v>Past</v>
          </cell>
          <cell r="D318">
            <v>48.33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48.33</v>
          </cell>
          <cell r="Q318">
            <v>4.2988210000000002</v>
          </cell>
          <cell r="R318" t="e">
            <v>#N/A</v>
          </cell>
        </row>
        <row r="319">
          <cell r="A319">
            <v>39615</v>
          </cell>
          <cell r="B319">
            <v>39615</v>
          </cell>
          <cell r="C319" t="str">
            <v>Past</v>
          </cell>
          <cell r="D319">
            <v>47.85</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47.85</v>
          </cell>
          <cell r="Q319">
            <v>5.5685279999999997</v>
          </cell>
          <cell r="R319" t="e">
            <v>#N/A</v>
          </cell>
        </row>
        <row r="320">
          <cell r="A320">
            <v>39616</v>
          </cell>
          <cell r="B320">
            <v>39616</v>
          </cell>
          <cell r="C320" t="str">
            <v>Past</v>
          </cell>
          <cell r="D320">
            <v>47.78</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47.78</v>
          </cell>
          <cell r="Q320">
            <v>3.4322689999999998</v>
          </cell>
          <cell r="R320" t="e">
            <v>#N/A</v>
          </cell>
        </row>
        <row r="321">
          <cell r="A321">
            <v>39617</v>
          </cell>
          <cell r="B321">
            <v>39617</v>
          </cell>
          <cell r="C321" t="str">
            <v>Past</v>
          </cell>
          <cell r="D321">
            <v>46.97</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46.97</v>
          </cell>
          <cell r="Q321">
            <v>4.2175900000000004</v>
          </cell>
          <cell r="R321" t="e">
            <v>#N/A</v>
          </cell>
        </row>
        <row r="322">
          <cell r="A322">
            <v>39618</v>
          </cell>
          <cell r="B322">
            <v>39618</v>
          </cell>
          <cell r="C322" t="str">
            <v>Past</v>
          </cell>
          <cell r="D322">
            <v>47.79</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47.79</v>
          </cell>
          <cell r="Q322">
            <v>8.2233280000000004</v>
          </cell>
          <cell r="R322" t="e">
            <v>#N/A</v>
          </cell>
        </row>
        <row r="323">
          <cell r="A323">
            <v>39619</v>
          </cell>
          <cell r="B323">
            <v>39619</v>
          </cell>
          <cell r="C323" t="str">
            <v>Past</v>
          </cell>
          <cell r="D323">
            <v>46.93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46.93</v>
          </cell>
          <cell r="Q323">
            <v>7.4238809999999997</v>
          </cell>
          <cell r="R323" t="e">
            <v>#N/A</v>
          </cell>
        </row>
        <row r="324">
          <cell r="A324">
            <v>39622</v>
          </cell>
          <cell r="B324">
            <v>39622</v>
          </cell>
          <cell r="C324" t="str">
            <v>Past</v>
          </cell>
          <cell r="D324">
            <v>47.6</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47.6</v>
          </cell>
          <cell r="Q324">
            <v>5.4291179999999999</v>
          </cell>
          <cell r="R324" t="e">
            <v>#N/A</v>
          </cell>
        </row>
        <row r="325">
          <cell r="A325">
            <v>39623</v>
          </cell>
          <cell r="B325">
            <v>39623</v>
          </cell>
          <cell r="C325" t="str">
            <v>Past</v>
          </cell>
          <cell r="D325">
            <v>46.94</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46.94</v>
          </cell>
          <cell r="Q325">
            <v>9.2603100000000005</v>
          </cell>
          <cell r="R325" t="e">
            <v>#N/A</v>
          </cell>
        </row>
        <row r="326">
          <cell r="A326">
            <v>39624</v>
          </cell>
          <cell r="B326">
            <v>39624</v>
          </cell>
          <cell r="C326" t="str">
            <v>Past</v>
          </cell>
          <cell r="D326">
            <v>47</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47</v>
          </cell>
          <cell r="Q326">
            <v>6.0174319999999994</v>
          </cell>
          <cell r="R326" t="e">
            <v>#N/A</v>
          </cell>
        </row>
        <row r="327">
          <cell r="A327">
            <v>39625</v>
          </cell>
          <cell r="B327">
            <v>39625</v>
          </cell>
          <cell r="C327" t="str">
            <v>Past</v>
          </cell>
          <cell r="D327">
            <v>46.02</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46.02</v>
          </cell>
          <cell r="Q327">
            <v>6.5172559999999997</v>
          </cell>
          <cell r="R327" t="e">
            <v>#N/A</v>
          </cell>
        </row>
        <row r="328">
          <cell r="A328">
            <v>39626</v>
          </cell>
          <cell r="B328">
            <v>39626</v>
          </cell>
          <cell r="C328" t="str">
            <v>Past</v>
          </cell>
          <cell r="D328">
            <v>45.61</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45.61</v>
          </cell>
          <cell r="Q328">
            <v>7.4178179999999996</v>
          </cell>
          <cell r="R328" t="e">
            <v>#N/A</v>
          </cell>
        </row>
        <row r="329">
          <cell r="A329">
            <v>39629</v>
          </cell>
          <cell r="B329">
            <v>39629</v>
          </cell>
          <cell r="C329" t="str">
            <v>Past</v>
          </cell>
          <cell r="D329">
            <v>46.16</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46.16</v>
          </cell>
          <cell r="Q329">
            <v>5.4170349999999994</v>
          </cell>
          <cell r="R329" t="e">
            <v>#N/A</v>
          </cell>
        </row>
        <row r="330">
          <cell r="A330">
            <v>39630</v>
          </cell>
          <cell r="B330">
            <v>39630</v>
          </cell>
          <cell r="C330" t="str">
            <v>Past</v>
          </cell>
          <cell r="D330">
            <v>46.1</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46.1</v>
          </cell>
          <cell r="Q330">
            <v>6.4543559999999998</v>
          </cell>
          <cell r="R330" t="e">
            <v>#N/A</v>
          </cell>
        </row>
        <row r="331">
          <cell r="A331">
            <v>39631</v>
          </cell>
          <cell r="B331">
            <v>39631</v>
          </cell>
          <cell r="C331" t="str">
            <v>Past</v>
          </cell>
          <cell r="D331">
            <v>46.09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46.09</v>
          </cell>
          <cell r="Q331">
            <v>4.656085</v>
          </cell>
          <cell r="R331" t="e">
            <v>#N/A</v>
          </cell>
        </row>
        <row r="332">
          <cell r="A332">
            <v>39632</v>
          </cell>
          <cell r="B332">
            <v>39632</v>
          </cell>
          <cell r="C332" t="str">
            <v>Past</v>
          </cell>
          <cell r="D332">
            <v>46.98</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46.98</v>
          </cell>
          <cell r="Q332">
            <v>4.531256</v>
          </cell>
          <cell r="R332" t="e">
            <v>#N/A</v>
          </cell>
        </row>
        <row r="333">
          <cell r="A333">
            <v>39636</v>
          </cell>
          <cell r="B333">
            <v>39636</v>
          </cell>
          <cell r="C333" t="str">
            <v>Past</v>
          </cell>
          <cell r="D333">
            <v>46.21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46.21</v>
          </cell>
          <cell r="Q333">
            <v>6.0968329999999993</v>
          </cell>
          <cell r="R333" t="e">
            <v>#N/A</v>
          </cell>
        </row>
        <row r="334">
          <cell r="A334">
            <v>39637</v>
          </cell>
          <cell r="B334">
            <v>39637</v>
          </cell>
          <cell r="C334" t="str">
            <v>Past</v>
          </cell>
          <cell r="D334">
            <v>48.46</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48.46</v>
          </cell>
          <cell r="Q334">
            <v>9.3727459999999994</v>
          </cell>
          <cell r="R334" t="e">
            <v>#N/A</v>
          </cell>
        </row>
        <row r="335">
          <cell r="A335">
            <v>39638</v>
          </cell>
          <cell r="B335">
            <v>39638</v>
          </cell>
          <cell r="C335" t="str">
            <v>Past</v>
          </cell>
          <cell r="D335">
            <v>48.37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48.37</v>
          </cell>
          <cell r="Q335">
            <v>6.5000749999999998</v>
          </cell>
          <cell r="R335" t="e">
            <v>#N/A</v>
          </cell>
        </row>
        <row r="336">
          <cell r="A336">
            <v>39639</v>
          </cell>
          <cell r="B336">
            <v>39639</v>
          </cell>
          <cell r="C336" t="str">
            <v>Past</v>
          </cell>
          <cell r="D336">
            <v>48.16</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48.16</v>
          </cell>
          <cell r="Q336">
            <v>7.3747479999999994</v>
          </cell>
          <cell r="R336" t="e">
            <v>#N/A</v>
          </cell>
        </row>
        <row r="337">
          <cell r="A337">
            <v>39640</v>
          </cell>
          <cell r="B337">
            <v>39640</v>
          </cell>
          <cell r="C337" t="str">
            <v>Past</v>
          </cell>
          <cell r="D337">
            <v>47.67</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47.67</v>
          </cell>
          <cell r="Q337">
            <v>4.5388700000000002</v>
          </cell>
          <cell r="R337" t="e">
            <v>#N/A</v>
          </cell>
        </row>
        <row r="338">
          <cell r="A338">
            <v>39643</v>
          </cell>
          <cell r="B338">
            <v>39643</v>
          </cell>
          <cell r="C338" t="str">
            <v>Past</v>
          </cell>
          <cell r="D338">
            <v>48.01</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48.01</v>
          </cell>
          <cell r="Q338">
            <v>5.7160969999999995</v>
          </cell>
          <cell r="R338" t="e">
            <v>#N/A</v>
          </cell>
        </row>
        <row r="339">
          <cell r="A339">
            <v>39644</v>
          </cell>
          <cell r="B339">
            <v>39644</v>
          </cell>
          <cell r="C339" t="str">
            <v>Past</v>
          </cell>
          <cell r="D339">
            <v>48.11</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48.11</v>
          </cell>
          <cell r="Q339">
            <v>8.1845389999999991</v>
          </cell>
          <cell r="R339" t="e">
            <v>#N/A</v>
          </cell>
        </row>
        <row r="340">
          <cell r="A340">
            <v>39645</v>
          </cell>
          <cell r="B340">
            <v>39645</v>
          </cell>
          <cell r="C340" t="str">
            <v>Past</v>
          </cell>
          <cell r="D340">
            <v>48.28</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48.28</v>
          </cell>
          <cell r="Q340">
            <v>6.356236</v>
          </cell>
          <cell r="R340" t="e">
            <v>#N/A</v>
          </cell>
        </row>
        <row r="341">
          <cell r="A341">
            <v>39646</v>
          </cell>
          <cell r="B341">
            <v>39646</v>
          </cell>
          <cell r="C341" t="str">
            <v>Past</v>
          </cell>
          <cell r="D341">
            <v>48.38</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48.38</v>
          </cell>
          <cell r="Q341">
            <v>6.514837</v>
          </cell>
          <cell r="R341" t="e">
            <v>#N/A</v>
          </cell>
        </row>
        <row r="342">
          <cell r="A342">
            <v>39647</v>
          </cell>
          <cell r="B342">
            <v>39647</v>
          </cell>
          <cell r="C342" t="str">
            <v>Past</v>
          </cell>
          <cell r="D342">
            <v>47.91</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47.91</v>
          </cell>
          <cell r="Q342">
            <v>6.4213829999999996</v>
          </cell>
          <cell r="R342" t="e">
            <v>#N/A</v>
          </cell>
        </row>
        <row r="343">
          <cell r="A343">
            <v>39650</v>
          </cell>
          <cell r="B343">
            <v>39650</v>
          </cell>
          <cell r="C343" t="str">
            <v>Past</v>
          </cell>
          <cell r="D343">
            <v>47.18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47.18</v>
          </cell>
          <cell r="Q343">
            <v>4.7416919999999996</v>
          </cell>
          <cell r="R343" t="e">
            <v>#N/A</v>
          </cell>
        </row>
        <row r="344">
          <cell r="A344">
            <v>39651</v>
          </cell>
          <cell r="B344">
            <v>39651</v>
          </cell>
          <cell r="C344" t="str">
            <v>Past</v>
          </cell>
          <cell r="D344">
            <v>46.73</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46.73</v>
          </cell>
          <cell r="Q344">
            <v>6.6683329999999996</v>
          </cell>
          <cell r="R344" t="e">
            <v>#N/A</v>
          </cell>
        </row>
        <row r="345">
          <cell r="A345">
            <v>39652</v>
          </cell>
          <cell r="B345">
            <v>39652</v>
          </cell>
          <cell r="C345" t="str">
            <v>Past</v>
          </cell>
          <cell r="D345">
            <v>47.62</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47.62</v>
          </cell>
          <cell r="Q345">
            <v>5.6084069999999997</v>
          </cell>
          <cell r="R345" t="e">
            <v>#N/A</v>
          </cell>
        </row>
        <row r="346">
          <cell r="A346">
            <v>39653</v>
          </cell>
          <cell r="B346">
            <v>39653</v>
          </cell>
          <cell r="C346" t="str">
            <v>Past</v>
          </cell>
          <cell r="D346">
            <v>48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48</v>
          </cell>
          <cell r="Q346">
            <v>4.9491429999999994</v>
          </cell>
          <cell r="R346" t="e">
            <v>#N/A</v>
          </cell>
        </row>
        <row r="347">
          <cell r="A347">
            <v>39654</v>
          </cell>
          <cell r="B347">
            <v>39654</v>
          </cell>
          <cell r="C347" t="str">
            <v>Past</v>
          </cell>
          <cell r="D347">
            <v>47.81</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47.81</v>
          </cell>
          <cell r="Q347">
            <v>4.2006809999999994</v>
          </cell>
          <cell r="R347" t="e">
            <v>#N/A</v>
          </cell>
        </row>
        <row r="348">
          <cell r="A348">
            <v>39657</v>
          </cell>
          <cell r="B348">
            <v>39657</v>
          </cell>
          <cell r="C348" t="str">
            <v>Past</v>
          </cell>
          <cell r="D348">
            <v>47.62</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47.62</v>
          </cell>
          <cell r="Q348">
            <v>5.1311879999999999</v>
          </cell>
          <cell r="R348" t="e">
            <v>#N/A</v>
          </cell>
        </row>
        <row r="349">
          <cell r="A349">
            <v>39658</v>
          </cell>
          <cell r="B349">
            <v>39658</v>
          </cell>
          <cell r="C349" t="str">
            <v>Past</v>
          </cell>
          <cell r="D349">
            <v>48.26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48.26</v>
          </cell>
          <cell r="Q349">
            <v>5.5355879999999997</v>
          </cell>
          <cell r="R349" t="e">
            <v>#N/A</v>
          </cell>
        </row>
        <row r="350">
          <cell r="A350">
            <v>39659</v>
          </cell>
          <cell r="B350">
            <v>39659</v>
          </cell>
          <cell r="C350" t="str">
            <v>Past</v>
          </cell>
          <cell r="D350">
            <v>47.41</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47.41</v>
          </cell>
          <cell r="Q350">
            <v>7.4262059999999996</v>
          </cell>
          <cell r="R350" t="e">
            <v>#N/A</v>
          </cell>
        </row>
        <row r="351">
          <cell r="A351">
            <v>39660</v>
          </cell>
          <cell r="B351">
            <v>39660</v>
          </cell>
          <cell r="C351" t="str">
            <v>Past</v>
          </cell>
          <cell r="D351">
            <v>47.11</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47.11</v>
          </cell>
          <cell r="Q351">
            <v>4.9318520000000001</v>
          </cell>
          <cell r="R351" t="e">
            <v>#N/A</v>
          </cell>
        </row>
        <row r="352">
          <cell r="A352">
            <v>39661</v>
          </cell>
          <cell r="B352">
            <v>39661</v>
          </cell>
          <cell r="C352" t="str">
            <v>Past</v>
          </cell>
          <cell r="D352">
            <v>47.04</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47.04</v>
          </cell>
          <cell r="Q352">
            <v>4.3291810000000002</v>
          </cell>
          <cell r="R352" t="e">
            <v>#N/A</v>
          </cell>
        </row>
        <row r="353">
          <cell r="A353">
            <v>39664</v>
          </cell>
          <cell r="B353">
            <v>39664</v>
          </cell>
          <cell r="C353" t="str">
            <v>Past</v>
          </cell>
          <cell r="D353">
            <v>47.37</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47.37</v>
          </cell>
          <cell r="Q353">
            <v>4.7518129999999994</v>
          </cell>
          <cell r="R353" t="e">
            <v>#N/A</v>
          </cell>
        </row>
        <row r="354">
          <cell r="A354">
            <v>39665</v>
          </cell>
          <cell r="B354">
            <v>39665</v>
          </cell>
          <cell r="C354" t="str">
            <v>Past</v>
          </cell>
          <cell r="D354">
            <v>47.79</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47.79</v>
          </cell>
          <cell r="Q354">
            <v>6.4860509999999998</v>
          </cell>
          <cell r="R354" t="e">
            <v>#N/A</v>
          </cell>
        </row>
        <row r="355">
          <cell r="A355">
            <v>39666</v>
          </cell>
          <cell r="B355">
            <v>39666</v>
          </cell>
          <cell r="C355" t="str">
            <v>Past</v>
          </cell>
          <cell r="D355">
            <v>48</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48</v>
          </cell>
          <cell r="Q355">
            <v>3.5196000000000001</v>
          </cell>
          <cell r="R355" t="e">
            <v>#N/A</v>
          </cell>
        </row>
        <row r="356">
          <cell r="A356">
            <v>39667</v>
          </cell>
          <cell r="B356">
            <v>39667</v>
          </cell>
          <cell r="C356" t="str">
            <v>Past</v>
          </cell>
          <cell r="D356">
            <v>47.58</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47.58</v>
          </cell>
          <cell r="Q356">
            <v>4.5968609999999996</v>
          </cell>
          <cell r="R356" t="e">
            <v>#N/A</v>
          </cell>
        </row>
        <row r="357">
          <cell r="A357">
            <v>39668</v>
          </cell>
          <cell r="B357">
            <v>39668</v>
          </cell>
          <cell r="C357" t="str">
            <v>Past</v>
          </cell>
          <cell r="D357">
            <v>48.51</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48.51</v>
          </cell>
          <cell r="Q357">
            <v>4.1587300000000003</v>
          </cell>
          <cell r="R357" t="e">
            <v>#N/A</v>
          </cell>
        </row>
        <row r="358">
          <cell r="A358">
            <v>39671</v>
          </cell>
          <cell r="B358">
            <v>39671</v>
          </cell>
          <cell r="C358" t="str">
            <v>Past</v>
          </cell>
          <cell r="D358">
            <v>49.05</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49.05</v>
          </cell>
          <cell r="Q358">
            <v>6.1157829999999995</v>
          </cell>
          <cell r="R358" t="e">
            <v>#N/A</v>
          </cell>
        </row>
        <row r="359">
          <cell r="A359">
            <v>39672</v>
          </cell>
          <cell r="B359">
            <v>39672</v>
          </cell>
          <cell r="C359" t="str">
            <v>Past</v>
          </cell>
          <cell r="D359">
            <v>49.25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49.25</v>
          </cell>
          <cell r="Q359">
            <v>6.038087</v>
          </cell>
          <cell r="R359" t="e">
            <v>#N/A</v>
          </cell>
        </row>
        <row r="360">
          <cell r="A360">
            <v>39673</v>
          </cell>
          <cell r="B360">
            <v>39673</v>
          </cell>
          <cell r="C360" t="str">
            <v>Past</v>
          </cell>
          <cell r="D360">
            <v>48.38</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48.38</v>
          </cell>
          <cell r="Q360">
            <v>4.9549279999999998</v>
          </cell>
          <cell r="R360" t="e">
            <v>#N/A</v>
          </cell>
        </row>
        <row r="361">
          <cell r="A361">
            <v>39674</v>
          </cell>
          <cell r="B361">
            <v>39674</v>
          </cell>
          <cell r="C361" t="str">
            <v>Past</v>
          </cell>
          <cell r="D361">
            <v>48.34</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48.34</v>
          </cell>
          <cell r="Q361">
            <v>4.7061489999999999</v>
          </cell>
          <cell r="R361" t="e">
            <v>#N/A</v>
          </cell>
        </row>
        <row r="362">
          <cell r="A362">
            <v>39675</v>
          </cell>
          <cell r="B362">
            <v>39675</v>
          </cell>
          <cell r="C362" t="str">
            <v>Past</v>
          </cell>
          <cell r="D362">
            <v>48.78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48.78</v>
          </cell>
          <cell r="Q362">
            <v>4.6113580000000001</v>
          </cell>
          <cell r="R362" t="e">
            <v>#N/A</v>
          </cell>
        </row>
        <row r="363">
          <cell r="A363">
            <v>39678</v>
          </cell>
          <cell r="B363">
            <v>39678</v>
          </cell>
          <cell r="C363" t="str">
            <v>Past</v>
          </cell>
          <cell r="D363">
            <v>48.05</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48.05</v>
          </cell>
          <cell r="Q363">
            <v>6.2457180000000001</v>
          </cell>
          <cell r="R363" t="e">
            <v>#N/A</v>
          </cell>
        </row>
        <row r="364">
          <cell r="A364">
            <v>39679</v>
          </cell>
          <cell r="B364">
            <v>39679</v>
          </cell>
          <cell r="C364" t="str">
            <v>Past</v>
          </cell>
          <cell r="D364">
            <v>47.8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47.8</v>
          </cell>
          <cell r="Q364">
            <v>5.4486829999999999</v>
          </cell>
          <cell r="R364" t="e">
            <v>#N/A</v>
          </cell>
        </row>
        <row r="365">
          <cell r="A365">
            <v>39680</v>
          </cell>
          <cell r="B365">
            <v>39680</v>
          </cell>
          <cell r="C365" t="str">
            <v>Past</v>
          </cell>
          <cell r="D365">
            <v>47.41</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47.41</v>
          </cell>
          <cell r="Q365">
            <v>4.5450109999999997</v>
          </cell>
          <cell r="R365" t="e">
            <v>#N/A</v>
          </cell>
        </row>
        <row r="366">
          <cell r="A366">
            <v>39681</v>
          </cell>
          <cell r="B366">
            <v>39681</v>
          </cell>
          <cell r="C366" t="str">
            <v>Past</v>
          </cell>
          <cell r="D366">
            <v>47.17</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47.17</v>
          </cell>
          <cell r="Q366">
            <v>4.1615440000000001</v>
          </cell>
          <cell r="R366" t="e">
            <v>#N/A</v>
          </cell>
        </row>
        <row r="367">
          <cell r="A367">
            <v>39682</v>
          </cell>
          <cell r="B367">
            <v>39682</v>
          </cell>
          <cell r="C367" t="str">
            <v>Past</v>
          </cell>
          <cell r="D367">
            <v>48.03</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48.03</v>
          </cell>
          <cell r="Q367">
            <v>5.1343179999999995</v>
          </cell>
          <cell r="R367" t="e">
            <v>#N/A</v>
          </cell>
        </row>
        <row r="368">
          <cell r="A368">
            <v>39685</v>
          </cell>
          <cell r="B368">
            <v>39685</v>
          </cell>
          <cell r="C368" t="str">
            <v>Past</v>
          </cell>
          <cell r="D368">
            <v>47.52</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47.52</v>
          </cell>
          <cell r="Q368">
            <v>3.9402059999999999</v>
          </cell>
          <cell r="R368" t="e">
            <v>#N/A</v>
          </cell>
        </row>
        <row r="369">
          <cell r="A369">
            <v>39686</v>
          </cell>
          <cell r="B369">
            <v>39686</v>
          </cell>
          <cell r="C369" t="str">
            <v>Past</v>
          </cell>
          <cell r="D369">
            <v>47.02</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47.02</v>
          </cell>
          <cell r="Q369">
            <v>3.3715219999999997</v>
          </cell>
          <cell r="R369" t="e">
            <v>#N/A</v>
          </cell>
        </row>
        <row r="370">
          <cell r="A370">
            <v>39687</v>
          </cell>
          <cell r="B370">
            <v>39687</v>
          </cell>
          <cell r="C370" t="str">
            <v>Past</v>
          </cell>
          <cell r="D370">
            <v>46.87</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46.87</v>
          </cell>
          <cell r="Q370">
            <v>5.5200829999999996</v>
          </cell>
          <cell r="R370" t="e">
            <v>#N/A</v>
          </cell>
        </row>
        <row r="371">
          <cell r="A371">
            <v>39688</v>
          </cell>
          <cell r="B371">
            <v>39688</v>
          </cell>
          <cell r="C371" t="str">
            <v>Past</v>
          </cell>
          <cell r="D371">
            <v>46.91</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46.91</v>
          </cell>
          <cell r="Q371">
            <v>4.285463</v>
          </cell>
          <cell r="R371" t="e">
            <v>#N/A</v>
          </cell>
        </row>
        <row r="372">
          <cell r="A372">
            <v>39689</v>
          </cell>
          <cell r="B372">
            <v>39689</v>
          </cell>
          <cell r="C372" t="str">
            <v>Past</v>
          </cell>
          <cell r="D372">
            <v>46.65</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46.65</v>
          </cell>
          <cell r="Q372">
            <v>4.7651479999999999</v>
          </cell>
          <cell r="R372" t="e">
            <v>#N/A</v>
          </cell>
        </row>
        <row r="373">
          <cell r="A373">
            <v>39693</v>
          </cell>
          <cell r="B373">
            <v>39693</v>
          </cell>
          <cell r="C373" t="str">
            <v>Past</v>
          </cell>
          <cell r="D373">
            <v>46.66</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46.66</v>
          </cell>
          <cell r="Q373">
            <v>5.2418079999999998</v>
          </cell>
          <cell r="R373" t="e">
            <v>#N/A</v>
          </cell>
        </row>
        <row r="374">
          <cell r="A374">
            <v>39694</v>
          </cell>
          <cell r="B374">
            <v>39694</v>
          </cell>
          <cell r="C374" t="str">
            <v>Past</v>
          </cell>
          <cell r="D374">
            <v>46.91</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46.91</v>
          </cell>
          <cell r="Q374">
            <v>4.4258259999999998</v>
          </cell>
          <cell r="R374" t="e">
            <v>#N/A</v>
          </cell>
        </row>
        <row r="375">
          <cell r="A375">
            <v>39695</v>
          </cell>
          <cell r="B375">
            <v>39695</v>
          </cell>
          <cell r="C375" t="str">
            <v>Past</v>
          </cell>
          <cell r="D375">
            <v>46.09</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46.09</v>
          </cell>
          <cell r="Q375">
            <v>4.7143489999999995</v>
          </cell>
          <cell r="R375" t="e">
            <v>#N/A</v>
          </cell>
        </row>
        <row r="376">
          <cell r="A376">
            <v>39696</v>
          </cell>
          <cell r="B376">
            <v>39696</v>
          </cell>
          <cell r="C376" t="str">
            <v>Past</v>
          </cell>
          <cell r="D376">
            <v>45.44</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45.44</v>
          </cell>
          <cell r="Q376">
            <v>5.1277609999999996</v>
          </cell>
          <cell r="R376" t="e">
            <v>#N/A</v>
          </cell>
        </row>
        <row r="377">
          <cell r="A377">
            <v>39699</v>
          </cell>
          <cell r="B377">
            <v>39699</v>
          </cell>
          <cell r="C377" t="str">
            <v>Past</v>
          </cell>
          <cell r="D377">
            <v>46.67</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46.67</v>
          </cell>
          <cell r="Q377">
            <v>5.791283</v>
          </cell>
          <cell r="R377" t="e">
            <v>#N/A</v>
          </cell>
        </row>
        <row r="378">
          <cell r="A378">
            <v>39700</v>
          </cell>
          <cell r="B378">
            <v>39700</v>
          </cell>
          <cell r="C378" t="str">
            <v>Past</v>
          </cell>
          <cell r="D378">
            <v>46.46</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46.46</v>
          </cell>
          <cell r="Q378">
            <v>7.8215509999999995</v>
          </cell>
          <cell r="R378" t="e">
            <v>#N/A</v>
          </cell>
        </row>
        <row r="379">
          <cell r="A379">
            <v>39701</v>
          </cell>
          <cell r="B379">
            <v>39701</v>
          </cell>
          <cell r="C379" t="str">
            <v>Past</v>
          </cell>
          <cell r="D379">
            <v>46.73</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46.73</v>
          </cell>
          <cell r="Q379">
            <v>6.1061689999999995</v>
          </cell>
          <cell r="R379" t="e">
            <v>#N/A</v>
          </cell>
        </row>
        <row r="380">
          <cell r="A380">
            <v>39702</v>
          </cell>
          <cell r="B380">
            <v>39702</v>
          </cell>
          <cell r="C380" t="str">
            <v>Past</v>
          </cell>
          <cell r="D380">
            <v>46.72</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46.72</v>
          </cell>
          <cell r="Q380">
            <v>4.7126969999999995</v>
          </cell>
          <cell r="R380" t="e">
            <v>#N/A</v>
          </cell>
        </row>
        <row r="381">
          <cell r="A381">
            <v>39703</v>
          </cell>
          <cell r="B381">
            <v>39703</v>
          </cell>
          <cell r="C381" t="str">
            <v>Past</v>
          </cell>
          <cell r="D381">
            <v>46.6</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46.6</v>
          </cell>
          <cell r="Q381">
            <v>4.2716479999999999</v>
          </cell>
          <cell r="R381" t="e">
            <v>#N/A</v>
          </cell>
        </row>
        <row r="382">
          <cell r="A382">
            <v>39706</v>
          </cell>
          <cell r="B382">
            <v>39706</v>
          </cell>
          <cell r="C382" t="str">
            <v>Past</v>
          </cell>
          <cell r="D382">
            <v>46.04</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46.04</v>
          </cell>
          <cell r="Q382">
            <v>5.3281909999999995</v>
          </cell>
          <cell r="R382" t="e">
            <v>#N/A</v>
          </cell>
        </row>
        <row r="383">
          <cell r="A383">
            <v>39707</v>
          </cell>
          <cell r="B383">
            <v>39707</v>
          </cell>
          <cell r="C383" t="str">
            <v>Past</v>
          </cell>
          <cell r="D383">
            <v>45.26</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45.26</v>
          </cell>
          <cell r="Q383">
            <v>10.0488</v>
          </cell>
          <cell r="R383" t="e">
            <v>#N/A</v>
          </cell>
        </row>
        <row r="384">
          <cell r="A384">
            <v>39708</v>
          </cell>
          <cell r="B384">
            <v>39708</v>
          </cell>
          <cell r="C384" t="str">
            <v>Past</v>
          </cell>
          <cell r="D384">
            <v>43.92</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43.92</v>
          </cell>
          <cell r="Q384">
            <v>7.1758479999999993</v>
          </cell>
          <cell r="R384" t="e">
            <v>#N/A</v>
          </cell>
        </row>
        <row r="385">
          <cell r="A385">
            <v>39709</v>
          </cell>
          <cell r="B385">
            <v>39709</v>
          </cell>
          <cell r="C385" t="str">
            <v>Past</v>
          </cell>
          <cell r="D385">
            <v>45.42</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45.42</v>
          </cell>
          <cell r="Q385">
            <v>9.9173390000000001</v>
          </cell>
          <cell r="R385" t="e">
            <v>#N/A</v>
          </cell>
        </row>
        <row r="386">
          <cell r="A386">
            <v>39710</v>
          </cell>
          <cell r="B386">
            <v>39710</v>
          </cell>
          <cell r="C386" t="str">
            <v>Past</v>
          </cell>
          <cell r="D386">
            <v>46.69</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46.69</v>
          </cell>
          <cell r="Q386">
            <v>12.047700000000001</v>
          </cell>
          <cell r="R386" t="e">
            <v>#N/A</v>
          </cell>
        </row>
        <row r="387">
          <cell r="A387">
            <v>39713</v>
          </cell>
          <cell r="B387">
            <v>39713</v>
          </cell>
          <cell r="C387" t="str">
            <v>Past</v>
          </cell>
          <cell r="D387">
            <v>45.9</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45.9</v>
          </cell>
          <cell r="Q387">
            <v>5.7838919999999998</v>
          </cell>
          <cell r="R387" t="e">
            <v>#N/A</v>
          </cell>
        </row>
        <row r="388">
          <cell r="A388">
            <v>39714</v>
          </cell>
          <cell r="B388">
            <v>39714</v>
          </cell>
          <cell r="C388" t="str">
            <v>Past</v>
          </cell>
          <cell r="D388">
            <v>45.73</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45.73</v>
          </cell>
          <cell r="Q388">
            <v>7.8780429999999999</v>
          </cell>
          <cell r="R388" t="e">
            <v>#N/A</v>
          </cell>
        </row>
        <row r="389">
          <cell r="A389">
            <v>39715</v>
          </cell>
          <cell r="B389">
            <v>39715</v>
          </cell>
          <cell r="C389" t="str">
            <v>Past</v>
          </cell>
          <cell r="D389">
            <v>46.34</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46.34</v>
          </cell>
          <cell r="Q389">
            <v>7.2406400000000009</v>
          </cell>
          <cell r="R389" t="e">
            <v>#N/A</v>
          </cell>
        </row>
        <row r="390">
          <cell r="A390">
            <v>39716</v>
          </cell>
          <cell r="B390">
            <v>39716</v>
          </cell>
          <cell r="C390" t="str">
            <v>Past</v>
          </cell>
          <cell r="D390">
            <v>46.6</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46.6</v>
          </cell>
          <cell r="Q390">
            <v>9.338139</v>
          </cell>
          <cell r="R390" t="e">
            <v>#N/A</v>
          </cell>
        </row>
        <row r="391">
          <cell r="A391">
            <v>39717</v>
          </cell>
          <cell r="B391">
            <v>39717</v>
          </cell>
          <cell r="C391" t="str">
            <v>Past</v>
          </cell>
          <cell r="D391">
            <v>46.82</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46.82</v>
          </cell>
          <cell r="Q391">
            <v>5.7698029999999996</v>
          </cell>
          <cell r="R391" t="e">
            <v>#N/A</v>
          </cell>
        </row>
        <row r="392">
          <cell r="A392">
            <v>39720</v>
          </cell>
          <cell r="B392">
            <v>39720</v>
          </cell>
          <cell r="C392" t="str">
            <v>Past</v>
          </cell>
          <cell r="D392">
            <v>43.92</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43.92</v>
          </cell>
          <cell r="Q392">
            <v>9.7914779999999997</v>
          </cell>
          <cell r="R392" t="e">
            <v>#N/A</v>
          </cell>
        </row>
        <row r="393">
          <cell r="A393">
            <v>39721</v>
          </cell>
          <cell r="B393">
            <v>39721</v>
          </cell>
          <cell r="C393" t="str">
            <v>Past</v>
          </cell>
          <cell r="D393">
            <v>44.03</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44.03</v>
          </cell>
          <cell r="Q393">
            <v>8.43872</v>
          </cell>
          <cell r="R393" t="e">
            <v>#N/A</v>
          </cell>
        </row>
        <row r="394">
          <cell r="A394">
            <v>39722</v>
          </cell>
          <cell r="B394">
            <v>39722</v>
          </cell>
          <cell r="C394" t="str">
            <v>Past</v>
          </cell>
          <cell r="D394">
            <v>43.69</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43.69</v>
          </cell>
          <cell r="Q394">
            <v>6.3403209999999994</v>
          </cell>
          <cell r="R394" t="e">
            <v>#N/A</v>
          </cell>
        </row>
        <row r="395">
          <cell r="A395">
            <v>39723</v>
          </cell>
          <cell r="B395">
            <v>39723</v>
          </cell>
          <cell r="C395" t="str">
            <v>Past</v>
          </cell>
          <cell r="D395">
            <v>42.55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42.55</v>
          </cell>
          <cell r="Q395">
            <v>6.5659789999999996</v>
          </cell>
          <cell r="R395" t="e">
            <v>#N/A</v>
          </cell>
        </row>
        <row r="396">
          <cell r="A396">
            <v>39724</v>
          </cell>
          <cell r="B396">
            <v>39724</v>
          </cell>
          <cell r="C396" t="str">
            <v>Past</v>
          </cell>
          <cell r="D396">
            <v>41.31</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41.31</v>
          </cell>
          <cell r="Q396">
            <v>9.4462289999999989</v>
          </cell>
          <cell r="R396" t="e">
            <v>#N/A</v>
          </cell>
        </row>
        <row r="397">
          <cell r="A397">
            <v>39727</v>
          </cell>
          <cell r="B397">
            <v>39727</v>
          </cell>
          <cell r="C397" t="str">
            <v>Past</v>
          </cell>
          <cell r="D397">
            <v>38.42</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38.42</v>
          </cell>
          <cell r="Q397">
            <v>18.989150000000002</v>
          </cell>
          <cell r="R397" t="e">
            <v>#N/A</v>
          </cell>
        </row>
        <row r="398">
          <cell r="A398">
            <v>39728</v>
          </cell>
          <cell r="B398">
            <v>39728</v>
          </cell>
          <cell r="C398" t="str">
            <v>Past</v>
          </cell>
          <cell r="D398">
            <v>38.61</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38.61</v>
          </cell>
          <cell r="Q398">
            <v>12.466280000000001</v>
          </cell>
          <cell r="R398" t="e">
            <v>#N/A</v>
          </cell>
        </row>
        <row r="399">
          <cell r="A399">
            <v>39729</v>
          </cell>
          <cell r="B399">
            <v>39729</v>
          </cell>
          <cell r="C399" t="str">
            <v>Past</v>
          </cell>
          <cell r="D399">
            <v>37.9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37.9</v>
          </cell>
          <cell r="Q399">
            <v>8.946200000000001</v>
          </cell>
          <cell r="R399" t="e">
            <v>#N/A</v>
          </cell>
        </row>
        <row r="400">
          <cell r="A400">
            <v>39730</v>
          </cell>
          <cell r="B400">
            <v>39730</v>
          </cell>
          <cell r="C400" t="str">
            <v>Past</v>
          </cell>
          <cell r="D400">
            <v>33.22</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33.22</v>
          </cell>
          <cell r="Q400">
            <v>13.833860000000001</v>
          </cell>
          <cell r="R400" t="e">
            <v>#N/A</v>
          </cell>
        </row>
        <row r="401">
          <cell r="A401">
            <v>39731</v>
          </cell>
          <cell r="B401">
            <v>39731</v>
          </cell>
          <cell r="C401" t="str">
            <v>Past</v>
          </cell>
          <cell r="D401">
            <v>31.36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31.36</v>
          </cell>
          <cell r="Q401">
            <v>15.866700000000002</v>
          </cell>
          <cell r="R401" t="e">
            <v>#N/A</v>
          </cell>
        </row>
        <row r="402">
          <cell r="A402">
            <v>39734</v>
          </cell>
          <cell r="B402">
            <v>39734</v>
          </cell>
          <cell r="C402" t="str">
            <v>Past</v>
          </cell>
          <cell r="D402">
            <v>35.86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35.86</v>
          </cell>
          <cell r="Q402">
            <v>8.2861390000000004</v>
          </cell>
          <cell r="R402" t="e">
            <v>#N/A</v>
          </cell>
        </row>
        <row r="403">
          <cell r="A403">
            <v>39735</v>
          </cell>
          <cell r="B403">
            <v>39735</v>
          </cell>
          <cell r="C403" t="str">
            <v>Past</v>
          </cell>
          <cell r="D403">
            <v>34.94</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34.94</v>
          </cell>
          <cell r="Q403">
            <v>10.643370000000001</v>
          </cell>
          <cell r="R403" t="e">
            <v>#N/A</v>
          </cell>
        </row>
        <row r="404">
          <cell r="A404">
            <v>39736</v>
          </cell>
          <cell r="B404">
            <v>39736</v>
          </cell>
          <cell r="C404" t="str">
            <v>Past</v>
          </cell>
          <cell r="D404">
            <v>32.54</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32.54</v>
          </cell>
          <cell r="Q404">
            <v>10.602690000000001</v>
          </cell>
          <cell r="R404" t="e">
            <v>#N/A</v>
          </cell>
        </row>
        <row r="405">
          <cell r="A405">
            <v>39737</v>
          </cell>
          <cell r="B405">
            <v>39737</v>
          </cell>
          <cell r="C405" t="str">
            <v>Past</v>
          </cell>
          <cell r="D405">
            <v>34.380000000000003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34.380000000000003</v>
          </cell>
          <cell r="Q405">
            <v>10.297870000000001</v>
          </cell>
          <cell r="R405" t="e">
            <v>#N/A</v>
          </cell>
        </row>
        <row r="406">
          <cell r="A406">
            <v>39738</v>
          </cell>
          <cell r="B406">
            <v>39738</v>
          </cell>
          <cell r="C406" t="str">
            <v>Past</v>
          </cell>
          <cell r="D406">
            <v>32.200000000000003</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32.200000000000003</v>
          </cell>
          <cell r="Q406">
            <v>9.1611349999999998</v>
          </cell>
          <cell r="R406" t="e">
            <v>#N/A</v>
          </cell>
        </row>
        <row r="407">
          <cell r="A407">
            <v>39741</v>
          </cell>
          <cell r="B407">
            <v>39741</v>
          </cell>
          <cell r="C407" t="str">
            <v>Past</v>
          </cell>
          <cell r="D407">
            <v>34.1</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34.1</v>
          </cell>
          <cell r="Q407">
            <v>9.0492119999999989</v>
          </cell>
          <cell r="R407" t="e">
            <v>#N/A</v>
          </cell>
        </row>
        <row r="408">
          <cell r="A408">
            <v>39742</v>
          </cell>
          <cell r="B408">
            <v>39742</v>
          </cell>
          <cell r="C408" t="str">
            <v>Past</v>
          </cell>
          <cell r="D408">
            <v>33.68</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33.68</v>
          </cell>
          <cell r="Q408">
            <v>7.7329600000000003</v>
          </cell>
          <cell r="R408" t="e">
            <v>#N/A</v>
          </cell>
        </row>
        <row r="409">
          <cell r="A409">
            <v>39743</v>
          </cell>
          <cell r="B409">
            <v>39743</v>
          </cell>
          <cell r="C409" t="str">
            <v>Past</v>
          </cell>
          <cell r="D409">
            <v>32.11</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32.11</v>
          </cell>
          <cell r="Q409">
            <v>6.6719949999999999</v>
          </cell>
          <cell r="R409" t="e">
            <v>#N/A</v>
          </cell>
        </row>
        <row r="410">
          <cell r="A410">
            <v>39744</v>
          </cell>
          <cell r="B410">
            <v>39744</v>
          </cell>
          <cell r="C410" t="str">
            <v>Past</v>
          </cell>
          <cell r="D410">
            <v>33.479999999999997</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33.479999999999997</v>
          </cell>
          <cell r="Q410">
            <v>8.7292550000000002</v>
          </cell>
          <cell r="R410" t="e">
            <v>#N/A</v>
          </cell>
        </row>
        <row r="411">
          <cell r="A411">
            <v>39745</v>
          </cell>
          <cell r="B411">
            <v>39745</v>
          </cell>
          <cell r="C411" t="str">
            <v>Past</v>
          </cell>
          <cell r="D411">
            <v>31.73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31.73</v>
          </cell>
          <cell r="Q411">
            <v>7.2242579999999998</v>
          </cell>
          <cell r="R411" t="e">
            <v>#N/A</v>
          </cell>
        </row>
        <row r="412">
          <cell r="A412">
            <v>39748</v>
          </cell>
          <cell r="B412">
            <v>39748</v>
          </cell>
          <cell r="C412" t="str">
            <v>Past</v>
          </cell>
          <cell r="D412">
            <v>30.4</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30.4</v>
          </cell>
          <cell r="Q412">
            <v>7.5269170000000001</v>
          </cell>
          <cell r="R412" t="e">
            <v>#N/A</v>
          </cell>
        </row>
        <row r="413">
          <cell r="A413">
            <v>39749</v>
          </cell>
          <cell r="B413">
            <v>39749</v>
          </cell>
          <cell r="C413" t="str">
            <v>Past</v>
          </cell>
          <cell r="D413">
            <v>33.380000000000003</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33.380000000000003</v>
          </cell>
          <cell r="Q413">
            <v>8.3281400000000012</v>
          </cell>
          <cell r="R413" t="e">
            <v>#N/A</v>
          </cell>
        </row>
        <row r="414">
          <cell r="A414">
            <v>39750</v>
          </cell>
          <cell r="B414">
            <v>39750</v>
          </cell>
          <cell r="C414" t="str">
            <v>Past</v>
          </cell>
          <cell r="D414">
            <v>32.03</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32.03</v>
          </cell>
          <cell r="Q414">
            <v>9.1801659999999998</v>
          </cell>
          <cell r="R414" t="e">
            <v>#N/A</v>
          </cell>
        </row>
        <row r="415">
          <cell r="A415">
            <v>39751</v>
          </cell>
          <cell r="B415">
            <v>39751</v>
          </cell>
          <cell r="C415" t="str">
            <v>Past</v>
          </cell>
          <cell r="D415">
            <v>32.83</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32.83</v>
          </cell>
          <cell r="Q415">
            <v>7.3632809999999997</v>
          </cell>
          <cell r="R415" t="e">
            <v>#N/A</v>
          </cell>
        </row>
        <row r="416">
          <cell r="A416">
            <v>39752</v>
          </cell>
          <cell r="B416">
            <v>39752</v>
          </cell>
          <cell r="C416" t="str">
            <v>Past</v>
          </cell>
          <cell r="D416">
            <v>33.82</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33.82</v>
          </cell>
          <cell r="Q416">
            <v>6.8747219999999993</v>
          </cell>
          <cell r="R416" t="e">
            <v>#N/A</v>
          </cell>
        </row>
        <row r="417">
          <cell r="A417">
            <v>39755</v>
          </cell>
          <cell r="B417">
            <v>39755</v>
          </cell>
          <cell r="C417" t="str">
            <v>Past</v>
          </cell>
          <cell r="D417">
            <v>34.01</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34.01</v>
          </cell>
          <cell r="Q417">
            <v>4.8018919999999996</v>
          </cell>
          <cell r="R417" t="e">
            <v>#N/A</v>
          </cell>
        </row>
        <row r="418">
          <cell r="A418">
            <v>39756</v>
          </cell>
          <cell r="B418">
            <v>39756</v>
          </cell>
          <cell r="C418" t="str">
            <v>Past</v>
          </cell>
          <cell r="D418">
            <v>35.15</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35.15</v>
          </cell>
          <cell r="Q418">
            <v>7.7893819999999998</v>
          </cell>
          <cell r="R418" t="e">
            <v>#N/A</v>
          </cell>
        </row>
        <row r="419">
          <cell r="A419">
            <v>39757</v>
          </cell>
          <cell r="B419">
            <v>39757</v>
          </cell>
          <cell r="C419" t="str">
            <v>Past</v>
          </cell>
          <cell r="D419">
            <v>33.76</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33.76</v>
          </cell>
          <cell r="Q419">
            <v>5.8583129999999999</v>
          </cell>
          <cell r="R419" t="e">
            <v>#N/A</v>
          </cell>
        </row>
        <row r="420">
          <cell r="A420">
            <v>39758</v>
          </cell>
          <cell r="B420">
            <v>39758</v>
          </cell>
          <cell r="C420" t="str">
            <v>Past</v>
          </cell>
          <cell r="D420">
            <v>32.869999999999997</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32.869999999999997</v>
          </cell>
          <cell r="Q420">
            <v>6.4474269999999994</v>
          </cell>
          <cell r="R420" t="e">
            <v>#N/A</v>
          </cell>
        </row>
        <row r="421">
          <cell r="A421">
            <v>39759</v>
          </cell>
          <cell r="B421">
            <v>39759</v>
          </cell>
          <cell r="C421" t="str">
            <v>Past</v>
          </cell>
          <cell r="D421">
            <v>34.200000000000003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34.200000000000003</v>
          </cell>
          <cell r="Q421">
            <v>4.023854</v>
          </cell>
          <cell r="R421" t="e">
            <v>#N/A</v>
          </cell>
        </row>
        <row r="422">
          <cell r="A422">
            <v>39762</v>
          </cell>
          <cell r="B422">
            <v>39762</v>
          </cell>
          <cell r="C422" t="str">
            <v>Past</v>
          </cell>
          <cell r="D422">
            <v>34.869999999999997</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34.869999999999997</v>
          </cell>
          <cell r="Q422">
            <v>5.9272800000000005</v>
          </cell>
          <cell r="R422" t="e">
            <v>#N/A</v>
          </cell>
        </row>
        <row r="423">
          <cell r="A423">
            <v>39763</v>
          </cell>
          <cell r="B423">
            <v>39763</v>
          </cell>
          <cell r="C423" t="str">
            <v>Past</v>
          </cell>
          <cell r="D423">
            <v>33.97</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33.97</v>
          </cell>
          <cell r="Q423">
            <v>4.9625000000000004</v>
          </cell>
          <cell r="R423" t="e">
            <v>#N/A</v>
          </cell>
        </row>
        <row r="424">
          <cell r="A424">
            <v>39764</v>
          </cell>
          <cell r="B424">
            <v>39764</v>
          </cell>
          <cell r="C424" t="str">
            <v>Past</v>
          </cell>
          <cell r="D424">
            <v>31.99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31.99</v>
          </cell>
          <cell r="Q424">
            <v>6.1608130000000001</v>
          </cell>
          <cell r="R424" t="e">
            <v>#N/A</v>
          </cell>
        </row>
        <row r="425">
          <cell r="A425">
            <v>39765</v>
          </cell>
          <cell r="B425">
            <v>39765</v>
          </cell>
          <cell r="C425" t="str">
            <v>Past</v>
          </cell>
          <cell r="D425">
            <v>34.119999999999997</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34.119999999999997</v>
          </cell>
          <cell r="Q425">
            <v>13.039400000000001</v>
          </cell>
          <cell r="R425" t="e">
            <v>#N/A</v>
          </cell>
        </row>
        <row r="426">
          <cell r="A426">
            <v>39766</v>
          </cell>
          <cell r="B426">
            <v>39766</v>
          </cell>
          <cell r="C426" t="str">
            <v>Past</v>
          </cell>
          <cell r="D426">
            <v>32.06</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32.06</v>
          </cell>
          <cell r="Q426">
            <v>8.1136920000000003</v>
          </cell>
          <cell r="R426" t="e">
            <v>#N/A</v>
          </cell>
        </row>
        <row r="427">
          <cell r="A427">
            <v>39769</v>
          </cell>
          <cell r="B427">
            <v>39769</v>
          </cell>
          <cell r="C427" t="str">
            <v>Past</v>
          </cell>
          <cell r="D427">
            <v>32.130000000000003</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32.130000000000003</v>
          </cell>
          <cell r="Q427">
            <v>6.4393359999999999</v>
          </cell>
          <cell r="R427" t="e">
            <v>#N/A</v>
          </cell>
        </row>
        <row r="428">
          <cell r="A428">
            <v>39770</v>
          </cell>
          <cell r="B428">
            <v>39770</v>
          </cell>
          <cell r="C428" t="str">
            <v>Past</v>
          </cell>
          <cell r="D428">
            <v>33.340000000000003</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33.340000000000003</v>
          </cell>
          <cell r="Q428">
            <v>6.5812459999999993</v>
          </cell>
          <cell r="R428" t="e">
            <v>#N/A</v>
          </cell>
        </row>
        <row r="429">
          <cell r="A429">
            <v>39771</v>
          </cell>
          <cell r="B429">
            <v>39771</v>
          </cell>
          <cell r="C429" t="str">
            <v>Past</v>
          </cell>
          <cell r="D429">
            <v>31.41</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31.41</v>
          </cell>
          <cell r="Q429">
            <v>7.1641959999999996</v>
          </cell>
          <cell r="R429" t="e">
            <v>#N/A</v>
          </cell>
        </row>
        <row r="430">
          <cell r="A430">
            <v>39772</v>
          </cell>
          <cell r="B430">
            <v>39772</v>
          </cell>
          <cell r="C430" t="str">
            <v>Past</v>
          </cell>
          <cell r="D430">
            <v>29.91</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29.91</v>
          </cell>
          <cell r="Q430">
            <v>7.9666109999999994</v>
          </cell>
          <cell r="R430" t="e">
            <v>#N/A</v>
          </cell>
        </row>
        <row r="431">
          <cell r="A431">
            <v>39773</v>
          </cell>
          <cell r="B431">
            <v>39773</v>
          </cell>
          <cell r="C431" t="str">
            <v>Past</v>
          </cell>
          <cell r="D431">
            <v>30.43</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30.43</v>
          </cell>
          <cell r="Q431">
            <v>9.9475600000000011</v>
          </cell>
          <cell r="R431" t="e">
            <v>#N/A</v>
          </cell>
        </row>
        <row r="432">
          <cell r="A432">
            <v>39776</v>
          </cell>
          <cell r="B432">
            <v>39776</v>
          </cell>
          <cell r="C432" t="str">
            <v>Past</v>
          </cell>
          <cell r="D432">
            <v>32.08</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32.08</v>
          </cell>
          <cell r="Q432">
            <v>7.845186</v>
          </cell>
          <cell r="R432" t="e">
            <v>#N/A</v>
          </cell>
        </row>
        <row r="433">
          <cell r="A433">
            <v>39777</v>
          </cell>
          <cell r="B433">
            <v>39777</v>
          </cell>
          <cell r="C433" t="str">
            <v>Past</v>
          </cell>
          <cell r="D433">
            <v>32.799999999999997</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32.799999999999997</v>
          </cell>
          <cell r="Q433">
            <v>6.4954510000000001</v>
          </cell>
          <cell r="R433" t="e">
            <v>#N/A</v>
          </cell>
        </row>
        <row r="434">
          <cell r="A434">
            <v>39778</v>
          </cell>
          <cell r="B434">
            <v>39778</v>
          </cell>
          <cell r="C434" t="str">
            <v>Past</v>
          </cell>
          <cell r="D434">
            <v>32.869999999999997</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32.869999999999997</v>
          </cell>
          <cell r="Q434">
            <v>5.8867069999999995</v>
          </cell>
          <cell r="R434" t="e">
            <v>#N/A</v>
          </cell>
        </row>
        <row r="435">
          <cell r="A435">
            <v>39780</v>
          </cell>
          <cell r="B435">
            <v>39780</v>
          </cell>
          <cell r="C435" t="str">
            <v>Past</v>
          </cell>
          <cell r="D435">
            <v>34.15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34.15</v>
          </cell>
          <cell r="Q435">
            <v>2.7362479999999998</v>
          </cell>
          <cell r="R435" t="e">
            <v>#N/A</v>
          </cell>
        </row>
        <row r="436">
          <cell r="A436">
            <v>39783</v>
          </cell>
          <cell r="B436">
            <v>39783</v>
          </cell>
          <cell r="C436" t="str">
            <v>Past</v>
          </cell>
          <cell r="D436">
            <v>31.12</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31.12</v>
          </cell>
          <cell r="Q436">
            <v>6.3300539999999996</v>
          </cell>
          <cell r="R436" t="e">
            <v>#N/A</v>
          </cell>
        </row>
        <row r="437">
          <cell r="A437">
            <v>39784</v>
          </cell>
          <cell r="B437">
            <v>39784</v>
          </cell>
          <cell r="C437" t="str">
            <v>Past</v>
          </cell>
          <cell r="D437">
            <v>33.19</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33.19</v>
          </cell>
          <cell r="Q437">
            <v>6.817895</v>
          </cell>
          <cell r="R437" t="e">
            <v>#N/A</v>
          </cell>
        </row>
        <row r="438">
          <cell r="A438">
            <v>39785</v>
          </cell>
          <cell r="B438">
            <v>39785</v>
          </cell>
          <cell r="C438" t="str">
            <v>Past</v>
          </cell>
          <cell r="D438">
            <v>34.97</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34.97</v>
          </cell>
          <cell r="Q438">
            <v>7.7707500000000005</v>
          </cell>
          <cell r="R438" t="e">
            <v>#N/A</v>
          </cell>
        </row>
        <row r="439">
          <cell r="A439">
            <v>39786</v>
          </cell>
          <cell r="B439">
            <v>39786</v>
          </cell>
          <cell r="C439" t="str">
            <v>Past</v>
          </cell>
          <cell r="D439">
            <v>33.89</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33.89</v>
          </cell>
          <cell r="Q439">
            <v>6.8564449999999999</v>
          </cell>
          <cell r="R439" t="e">
            <v>#N/A</v>
          </cell>
        </row>
        <row r="440">
          <cell r="A440">
            <v>39787</v>
          </cell>
          <cell r="B440">
            <v>39787</v>
          </cell>
          <cell r="C440" t="str">
            <v>Past</v>
          </cell>
          <cell r="D440">
            <v>34.94</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34.94</v>
          </cell>
          <cell r="Q440">
            <v>7.5709859999999995</v>
          </cell>
          <cell r="R440" t="e">
            <v>#N/A</v>
          </cell>
        </row>
        <row r="441">
          <cell r="A441">
            <v>39790</v>
          </cell>
          <cell r="B441">
            <v>39790</v>
          </cell>
          <cell r="C441" t="str">
            <v>Past</v>
          </cell>
          <cell r="D441">
            <v>34.86</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34.86</v>
          </cell>
          <cell r="Q441">
            <v>6.8849669999999996</v>
          </cell>
          <cell r="R441" t="e">
            <v>#N/A</v>
          </cell>
        </row>
        <row r="442">
          <cell r="A442">
            <v>39791</v>
          </cell>
          <cell r="B442">
            <v>39791</v>
          </cell>
          <cell r="C442" t="str">
            <v>Past</v>
          </cell>
          <cell r="D442">
            <v>34.57</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34.57</v>
          </cell>
          <cell r="Q442">
            <v>4.4716059999999995</v>
          </cell>
          <cell r="R442" t="e">
            <v>#N/A</v>
          </cell>
        </row>
        <row r="443">
          <cell r="A443">
            <v>39792</v>
          </cell>
          <cell r="B443">
            <v>39792</v>
          </cell>
          <cell r="C443" t="str">
            <v>Past</v>
          </cell>
          <cell r="D443">
            <v>35.01</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35.01</v>
          </cell>
          <cell r="Q443">
            <v>4.8541800000000004</v>
          </cell>
          <cell r="R443" t="e">
            <v>#N/A</v>
          </cell>
        </row>
        <row r="444">
          <cell r="A444">
            <v>39793</v>
          </cell>
          <cell r="B444">
            <v>39793</v>
          </cell>
          <cell r="C444" t="str">
            <v>Past</v>
          </cell>
          <cell r="D444">
            <v>35.619999999999997</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35.619999999999997</v>
          </cell>
          <cell r="Q444">
            <v>8.0255299999999998</v>
          </cell>
          <cell r="R444" t="e">
            <v>#N/A</v>
          </cell>
        </row>
        <row r="445">
          <cell r="A445">
            <v>39794</v>
          </cell>
          <cell r="B445">
            <v>39794</v>
          </cell>
          <cell r="C445" t="str">
            <v>Past</v>
          </cell>
          <cell r="D445">
            <v>36.409999999999997</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36.409999999999997</v>
          </cell>
          <cell r="Q445">
            <v>6.6373489999999995</v>
          </cell>
          <cell r="R445" t="e">
            <v>#N/A</v>
          </cell>
        </row>
        <row r="446">
          <cell r="A446">
            <v>39797</v>
          </cell>
          <cell r="B446">
            <v>39797</v>
          </cell>
          <cell r="C446" t="str">
            <v>Past</v>
          </cell>
          <cell r="D446">
            <v>35.32</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35.32</v>
          </cell>
          <cell r="Q446">
            <v>5.7284609999999994</v>
          </cell>
          <cell r="R446" t="e">
            <v>#N/A</v>
          </cell>
        </row>
        <row r="447">
          <cell r="A447">
            <v>39798</v>
          </cell>
          <cell r="B447">
            <v>39798</v>
          </cell>
          <cell r="C447" t="str">
            <v>Past</v>
          </cell>
          <cell r="D447">
            <v>37.21</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37.21</v>
          </cell>
          <cell r="Q447">
            <v>6.1563619999999997</v>
          </cell>
          <cell r="R447" t="e">
            <v>#N/A</v>
          </cell>
        </row>
        <row r="448">
          <cell r="A448">
            <v>39799</v>
          </cell>
          <cell r="B448">
            <v>39799</v>
          </cell>
          <cell r="C448" t="str">
            <v>Past</v>
          </cell>
          <cell r="D448">
            <v>36.94</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36.94</v>
          </cell>
          <cell r="Q448">
            <v>5.2769369999999993</v>
          </cell>
          <cell r="R448" t="e">
            <v>#N/A</v>
          </cell>
        </row>
        <row r="449">
          <cell r="A449">
            <v>39800</v>
          </cell>
          <cell r="B449">
            <v>39800</v>
          </cell>
          <cell r="C449" t="str">
            <v>Past</v>
          </cell>
          <cell r="D449">
            <v>36.869999999999997</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36.869999999999997</v>
          </cell>
          <cell r="Q449">
            <v>6.6499489999999994</v>
          </cell>
          <cell r="R449" t="e">
            <v>#N/A</v>
          </cell>
        </row>
        <row r="450">
          <cell r="A450">
            <v>39801</v>
          </cell>
          <cell r="B450">
            <v>39801</v>
          </cell>
          <cell r="C450" t="str">
            <v>Past</v>
          </cell>
          <cell r="D450">
            <v>38.26</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38.26</v>
          </cell>
          <cell r="Q450">
            <v>10.252540000000002</v>
          </cell>
          <cell r="R450" t="e">
            <v>#N/A</v>
          </cell>
        </row>
        <row r="451">
          <cell r="A451">
            <v>39804</v>
          </cell>
          <cell r="B451">
            <v>39804</v>
          </cell>
          <cell r="C451" t="str">
            <v>Past</v>
          </cell>
          <cell r="D451">
            <v>37.340000000000003</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37.340000000000003</v>
          </cell>
          <cell r="Q451">
            <v>5.0688139999999997</v>
          </cell>
          <cell r="R451" t="e">
            <v>#N/A</v>
          </cell>
        </row>
        <row r="452">
          <cell r="A452">
            <v>39805</v>
          </cell>
          <cell r="B452">
            <v>39805</v>
          </cell>
          <cell r="C452" t="str">
            <v>Past</v>
          </cell>
          <cell r="D452">
            <v>37.49</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37.49</v>
          </cell>
          <cell r="Q452">
            <v>4.2378779999999994</v>
          </cell>
          <cell r="R452" t="e">
            <v>#N/A</v>
          </cell>
        </row>
        <row r="453">
          <cell r="A453">
            <v>39806</v>
          </cell>
          <cell r="B453">
            <v>39806</v>
          </cell>
          <cell r="C453" t="str">
            <v>Past</v>
          </cell>
          <cell r="D453">
            <v>37.799999999999997</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37.799999999999997</v>
          </cell>
          <cell r="Q453">
            <v>1.2376589999999998</v>
          </cell>
          <cell r="R453" t="e">
            <v>#N/A</v>
          </cell>
        </row>
        <row r="454">
          <cell r="A454">
            <v>39808</v>
          </cell>
          <cell r="B454">
            <v>39808</v>
          </cell>
          <cell r="C454" t="str">
            <v>Past</v>
          </cell>
          <cell r="D454">
            <v>37.979999999999997</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37.979999999999997</v>
          </cell>
          <cell r="Q454">
            <v>1.6140219999999998</v>
          </cell>
          <cell r="R454" t="e">
            <v>#N/A</v>
          </cell>
        </row>
        <row r="455">
          <cell r="A455">
            <v>39811</v>
          </cell>
          <cell r="B455">
            <v>39811</v>
          </cell>
          <cell r="C455" t="str">
            <v>Past</v>
          </cell>
          <cell r="D455">
            <v>38.479999999999997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38.479999999999997</v>
          </cell>
          <cell r="Q455">
            <v>4.0112319999999997</v>
          </cell>
          <cell r="R455" t="e">
            <v>#N/A</v>
          </cell>
        </row>
        <row r="456">
          <cell r="A456">
            <v>39812</v>
          </cell>
          <cell r="B456">
            <v>39812</v>
          </cell>
          <cell r="C456" t="str">
            <v>Past</v>
          </cell>
          <cell r="D456">
            <v>39.67</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39.67</v>
          </cell>
          <cell r="Q456">
            <v>4.7436539999999994</v>
          </cell>
          <cell r="R456" t="e">
            <v>#N/A</v>
          </cell>
        </row>
        <row r="457">
          <cell r="A457">
            <v>39813</v>
          </cell>
          <cell r="B457">
            <v>39813</v>
          </cell>
          <cell r="C457" t="str">
            <v>Past</v>
          </cell>
          <cell r="D457">
            <v>40.270000000000003</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40.270000000000003</v>
          </cell>
          <cell r="Q457">
            <v>4.7353500000000004</v>
          </cell>
          <cell r="R457" t="e">
            <v>#N/A</v>
          </cell>
        </row>
        <row r="458">
          <cell r="A458">
            <v>39815</v>
          </cell>
          <cell r="B458">
            <v>39815</v>
          </cell>
          <cell r="C458" t="str">
            <v>Past</v>
          </cell>
          <cell r="D458">
            <v>40.57</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40.57</v>
          </cell>
          <cell r="Q458">
            <v>6.0319430000000001</v>
          </cell>
          <cell r="R458" t="e">
            <v>#N/A</v>
          </cell>
        </row>
        <row r="459">
          <cell r="A459">
            <v>39818</v>
          </cell>
          <cell r="B459">
            <v>39818</v>
          </cell>
          <cell r="C459" t="str">
            <v>Past</v>
          </cell>
          <cell r="D459">
            <v>39.46</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39.46</v>
          </cell>
          <cell r="Q459">
            <v>6.8690400000000009</v>
          </cell>
          <cell r="R459" t="e">
            <v>#N/A</v>
          </cell>
        </row>
        <row r="460">
          <cell r="A460">
            <v>39819</v>
          </cell>
          <cell r="B460">
            <v>39819</v>
          </cell>
          <cell r="C460" t="str">
            <v>Past</v>
          </cell>
          <cell r="D460">
            <v>39.57</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39.57</v>
          </cell>
          <cell r="Q460">
            <v>9.0501200000000015</v>
          </cell>
          <cell r="R460" t="e">
            <v>#N/A</v>
          </cell>
        </row>
        <row r="461">
          <cell r="A461">
            <v>39820</v>
          </cell>
          <cell r="B461">
            <v>39820</v>
          </cell>
          <cell r="C461" t="str">
            <v>Past</v>
          </cell>
          <cell r="D461">
            <v>38.619999999999997</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38.619999999999997</v>
          </cell>
          <cell r="Q461">
            <v>6.3655789999999994</v>
          </cell>
          <cell r="R461" t="e">
            <v>#N/A</v>
          </cell>
        </row>
        <row r="462">
          <cell r="A462">
            <v>39821</v>
          </cell>
          <cell r="B462">
            <v>39821</v>
          </cell>
          <cell r="C462" t="str">
            <v>Past</v>
          </cell>
          <cell r="D462">
            <v>38.81</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38.81</v>
          </cell>
          <cell r="Q462">
            <v>5.6269049999999998</v>
          </cell>
          <cell r="R462" t="e">
            <v>#N/A</v>
          </cell>
        </row>
        <row r="463">
          <cell r="A463">
            <v>39822</v>
          </cell>
          <cell r="B463">
            <v>39822</v>
          </cell>
          <cell r="C463" t="str">
            <v>Past</v>
          </cell>
          <cell r="D463">
            <v>38.479999999999997</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38.479999999999997</v>
          </cell>
          <cell r="Q463">
            <v>5.9375529999999994</v>
          </cell>
          <cell r="R463" t="e">
            <v>#N/A</v>
          </cell>
        </row>
        <row r="464">
          <cell r="A464">
            <v>39825</v>
          </cell>
          <cell r="B464">
            <v>39825</v>
          </cell>
          <cell r="C464" t="str">
            <v>Past</v>
          </cell>
          <cell r="D464">
            <v>38.130000000000003</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38.130000000000003</v>
          </cell>
          <cell r="Q464">
            <v>5.1992759999999993</v>
          </cell>
          <cell r="R464" t="e">
            <v>#N/A</v>
          </cell>
        </row>
        <row r="465">
          <cell r="A465">
            <v>39826</v>
          </cell>
          <cell r="B465">
            <v>39826</v>
          </cell>
          <cell r="C465" t="str">
            <v>Past</v>
          </cell>
          <cell r="D465">
            <v>38.520000000000003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38.520000000000003</v>
          </cell>
          <cell r="Q465">
            <v>5.3014000000000001</v>
          </cell>
          <cell r="R465" t="e">
            <v>#N/A</v>
          </cell>
        </row>
        <row r="466">
          <cell r="A466">
            <v>39827</v>
          </cell>
          <cell r="B466">
            <v>39827</v>
          </cell>
          <cell r="C466" t="str">
            <v>Past</v>
          </cell>
          <cell r="D466">
            <v>37.47</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37.47</v>
          </cell>
          <cell r="Q466">
            <v>6.5570919999999999</v>
          </cell>
          <cell r="R466" t="e">
            <v>#N/A</v>
          </cell>
        </row>
        <row r="467">
          <cell r="A467">
            <v>39828</v>
          </cell>
          <cell r="B467">
            <v>39828</v>
          </cell>
          <cell r="C467" t="str">
            <v>Past</v>
          </cell>
          <cell r="D467">
            <v>37.549999999999997</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37.549999999999997</v>
          </cell>
          <cell r="Q467">
            <v>4.9573479999999996</v>
          </cell>
          <cell r="R467" t="e">
            <v>#N/A</v>
          </cell>
        </row>
        <row r="468">
          <cell r="A468">
            <v>39829</v>
          </cell>
          <cell r="B468">
            <v>39829</v>
          </cell>
          <cell r="C468" t="str">
            <v>Past</v>
          </cell>
          <cell r="D468">
            <v>38.130000000000003</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38.130000000000003</v>
          </cell>
          <cell r="Q468">
            <v>5.4438930000000001</v>
          </cell>
          <cell r="R468" t="e">
            <v>#N/A</v>
          </cell>
        </row>
        <row r="469">
          <cell r="A469">
            <v>39833</v>
          </cell>
          <cell r="B469">
            <v>39833</v>
          </cell>
          <cell r="C469" t="str">
            <v>Past</v>
          </cell>
          <cell r="D469">
            <v>37.39</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37.39</v>
          </cell>
          <cell r="Q469">
            <v>9.4422870000000003</v>
          </cell>
          <cell r="R469" t="e">
            <v>#N/A</v>
          </cell>
        </row>
        <row r="470">
          <cell r="A470">
            <v>39834</v>
          </cell>
          <cell r="B470">
            <v>39834</v>
          </cell>
          <cell r="C470" t="str">
            <v>Past</v>
          </cell>
          <cell r="D470">
            <v>38.24</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38.24</v>
          </cell>
          <cell r="Q470">
            <v>6.8359109999999994</v>
          </cell>
          <cell r="R470" t="e">
            <v>#N/A</v>
          </cell>
        </row>
        <row r="471">
          <cell r="A471">
            <v>39835</v>
          </cell>
          <cell r="B471">
            <v>39835</v>
          </cell>
          <cell r="C471" t="str">
            <v>Past</v>
          </cell>
          <cell r="D471">
            <v>37.799999999999997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37.799999999999997</v>
          </cell>
          <cell r="Q471">
            <v>5.5477039999999995</v>
          </cell>
          <cell r="R471" t="e">
            <v>#N/A</v>
          </cell>
        </row>
        <row r="472">
          <cell r="A472">
            <v>39836</v>
          </cell>
          <cell r="B472">
            <v>39836</v>
          </cell>
          <cell r="C472" t="str">
            <v>Past</v>
          </cell>
          <cell r="D472">
            <v>37.42</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37.42</v>
          </cell>
          <cell r="Q472">
            <v>6.2286000000000001</v>
          </cell>
          <cell r="R472" t="e">
            <v>#N/A</v>
          </cell>
        </row>
        <row r="473">
          <cell r="A473">
            <v>39839</v>
          </cell>
          <cell r="B473">
            <v>39839</v>
          </cell>
          <cell r="C473" t="str">
            <v>Past</v>
          </cell>
          <cell r="D473">
            <v>37.57</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37.57</v>
          </cell>
          <cell r="Q473">
            <v>6.7665639999999998</v>
          </cell>
          <cell r="R473" t="e">
            <v>#N/A</v>
          </cell>
        </row>
        <row r="474">
          <cell r="A474">
            <v>39840</v>
          </cell>
          <cell r="B474">
            <v>39840</v>
          </cell>
          <cell r="C474" t="str">
            <v>Past</v>
          </cell>
          <cell r="D474">
            <v>38.61</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38.61</v>
          </cell>
          <cell r="Q474">
            <v>5.4036520000000001</v>
          </cell>
          <cell r="R474" t="e">
            <v>#N/A</v>
          </cell>
        </row>
        <row r="475">
          <cell r="A475">
            <v>39841</v>
          </cell>
          <cell r="B475">
            <v>39841</v>
          </cell>
          <cell r="C475" t="str">
            <v>Past</v>
          </cell>
          <cell r="D475">
            <v>39.090000000000003</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39.090000000000003</v>
          </cell>
          <cell r="Q475">
            <v>5.3712</v>
          </cell>
          <cell r="R475" t="e">
            <v>#N/A</v>
          </cell>
        </row>
        <row r="476">
          <cell r="A476">
            <v>39842</v>
          </cell>
          <cell r="B476">
            <v>39842</v>
          </cell>
          <cell r="C476" t="str">
            <v>Past</v>
          </cell>
          <cell r="D476">
            <v>37.97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37.97</v>
          </cell>
          <cell r="Q476">
            <v>6.4738359999999995</v>
          </cell>
          <cell r="R476" t="e">
            <v>#N/A</v>
          </cell>
        </row>
        <row r="477">
          <cell r="A477">
            <v>39843</v>
          </cell>
          <cell r="B477">
            <v>39843</v>
          </cell>
          <cell r="C477" t="str">
            <v>Past</v>
          </cell>
          <cell r="D477">
            <v>36.82</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36.82</v>
          </cell>
          <cell r="Q477">
            <v>9.5991330000000001</v>
          </cell>
          <cell r="R477" t="e">
            <v>#N/A</v>
          </cell>
        </row>
        <row r="478">
          <cell r="A478">
            <v>39846</v>
          </cell>
          <cell r="B478">
            <v>39846</v>
          </cell>
          <cell r="C478" t="str">
            <v>Past</v>
          </cell>
          <cell r="D478">
            <v>37.270000000000003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37.270000000000003</v>
          </cell>
          <cell r="Q478">
            <v>5.5051160000000001</v>
          </cell>
          <cell r="R478" t="e">
            <v>#N/A</v>
          </cell>
        </row>
        <row r="479">
          <cell r="A479">
            <v>39847</v>
          </cell>
          <cell r="B479">
            <v>39847</v>
          </cell>
          <cell r="C479" t="str">
            <v>Past</v>
          </cell>
          <cell r="D479">
            <v>38.69</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38.69</v>
          </cell>
          <cell r="Q479">
            <v>10.013140000000002</v>
          </cell>
          <cell r="R479" t="e">
            <v>#N/A</v>
          </cell>
        </row>
        <row r="480">
          <cell r="A480">
            <v>39848</v>
          </cell>
          <cell r="B480">
            <v>39848</v>
          </cell>
          <cell r="C480" t="str">
            <v>Past</v>
          </cell>
          <cell r="D480">
            <v>38.01</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38.01</v>
          </cell>
          <cell r="Q480">
            <v>7.4171279999999999</v>
          </cell>
          <cell r="R480" t="e">
            <v>#N/A</v>
          </cell>
        </row>
        <row r="481">
          <cell r="A481">
            <v>39849</v>
          </cell>
          <cell r="B481">
            <v>39849</v>
          </cell>
          <cell r="C481" t="str">
            <v>Past</v>
          </cell>
          <cell r="D481">
            <v>38.159999999999997</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38.159999999999997</v>
          </cell>
          <cell r="Q481">
            <v>5.0512559999999995</v>
          </cell>
          <cell r="R481" t="e">
            <v>#N/A</v>
          </cell>
        </row>
        <row r="482">
          <cell r="A482">
            <v>39850</v>
          </cell>
          <cell r="B482">
            <v>39850</v>
          </cell>
          <cell r="C482" t="str">
            <v>Past</v>
          </cell>
          <cell r="D482">
            <v>38.18</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38.18</v>
          </cell>
          <cell r="Q482">
            <v>4.9782630000000001</v>
          </cell>
          <cell r="R482" t="e">
            <v>#N/A</v>
          </cell>
        </row>
        <row r="483">
          <cell r="A483">
            <v>39853</v>
          </cell>
          <cell r="B483">
            <v>39853</v>
          </cell>
          <cell r="C483" t="str">
            <v>Past</v>
          </cell>
          <cell r="D483">
            <v>38.119999999999997</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38.119999999999997</v>
          </cell>
          <cell r="Q483">
            <v>4.1329539999999998</v>
          </cell>
          <cell r="R483" t="e">
            <v>#N/A</v>
          </cell>
        </row>
        <row r="484">
          <cell r="A484">
            <v>39854</v>
          </cell>
          <cell r="B484">
            <v>39854</v>
          </cell>
          <cell r="C484" t="str">
            <v>Past</v>
          </cell>
          <cell r="D484">
            <v>36.94</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36.94</v>
          </cell>
          <cell r="Q484">
            <v>5.7219000000000007</v>
          </cell>
          <cell r="R484" t="e">
            <v>#N/A</v>
          </cell>
        </row>
        <row r="485">
          <cell r="A485">
            <v>39855</v>
          </cell>
          <cell r="B485">
            <v>39855</v>
          </cell>
          <cell r="C485" t="str">
            <v>Past</v>
          </cell>
          <cell r="D485">
            <v>36.72</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36.72</v>
          </cell>
          <cell r="Q485">
            <v>4.2443919999999995</v>
          </cell>
          <cell r="R485" t="e">
            <v>#N/A</v>
          </cell>
        </row>
        <row r="486">
          <cell r="A486">
            <v>39856</v>
          </cell>
          <cell r="B486">
            <v>39856</v>
          </cell>
          <cell r="C486" t="str">
            <v>Past</v>
          </cell>
          <cell r="D486">
            <v>36.340000000000003</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36.340000000000003</v>
          </cell>
          <cell r="Q486">
            <v>6.0982659999999997</v>
          </cell>
          <cell r="R486" t="e">
            <v>#N/A</v>
          </cell>
        </row>
        <row r="487">
          <cell r="A487">
            <v>39857</v>
          </cell>
          <cell r="B487">
            <v>39857</v>
          </cell>
          <cell r="C487" t="str">
            <v>Past</v>
          </cell>
          <cell r="D487">
            <v>35.43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35.43</v>
          </cell>
          <cell r="Q487">
            <v>6.0230549999999994</v>
          </cell>
          <cell r="R487" t="e">
            <v>#N/A</v>
          </cell>
        </row>
        <row r="488">
          <cell r="A488">
            <v>39861</v>
          </cell>
          <cell r="B488">
            <v>39861</v>
          </cell>
          <cell r="C488" t="str">
            <v>Past</v>
          </cell>
          <cell r="D488">
            <v>34.58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34.58</v>
          </cell>
          <cell r="Q488">
            <v>7.4004500000000002</v>
          </cell>
          <cell r="R488" t="e">
            <v>#N/A</v>
          </cell>
        </row>
        <row r="489">
          <cell r="A489">
            <v>39862</v>
          </cell>
          <cell r="B489">
            <v>39862</v>
          </cell>
          <cell r="C489" t="str">
            <v>Past</v>
          </cell>
          <cell r="D489">
            <v>34.4</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34.4</v>
          </cell>
          <cell r="Q489">
            <v>5.9168149999999997</v>
          </cell>
          <cell r="R489" t="e">
            <v>#N/A</v>
          </cell>
        </row>
        <row r="490">
          <cell r="A490">
            <v>39863</v>
          </cell>
          <cell r="B490">
            <v>39863</v>
          </cell>
          <cell r="C490" t="str">
            <v>Past</v>
          </cell>
          <cell r="D490">
            <v>34.479999999999997</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34.479999999999997</v>
          </cell>
          <cell r="Q490">
            <v>4.241352</v>
          </cell>
          <cell r="R490" t="e">
            <v>#N/A</v>
          </cell>
        </row>
        <row r="491">
          <cell r="A491">
            <v>39864</v>
          </cell>
          <cell r="B491">
            <v>39864</v>
          </cell>
          <cell r="C491" t="str">
            <v>Past</v>
          </cell>
          <cell r="D491">
            <v>33.24</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33.24</v>
          </cell>
          <cell r="Q491">
            <v>8.3610439999999997</v>
          </cell>
          <cell r="R491" t="e">
            <v>#N/A</v>
          </cell>
        </row>
        <row r="492">
          <cell r="A492">
            <v>39867</v>
          </cell>
          <cell r="B492">
            <v>39867</v>
          </cell>
          <cell r="C492" t="str">
            <v>Past</v>
          </cell>
          <cell r="D492">
            <v>32.31</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32.31</v>
          </cell>
          <cell r="Q492">
            <v>5.5451389999999998</v>
          </cell>
          <cell r="R492" t="e">
            <v>#N/A</v>
          </cell>
        </row>
        <row r="493">
          <cell r="A493">
            <v>39868</v>
          </cell>
          <cell r="B493">
            <v>39868</v>
          </cell>
          <cell r="C493" t="str">
            <v>Past</v>
          </cell>
          <cell r="D493">
            <v>32.909999999999997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32.909999999999997</v>
          </cell>
          <cell r="Q493">
            <v>7.3455969999999997</v>
          </cell>
          <cell r="R493" t="e">
            <v>#N/A</v>
          </cell>
        </row>
        <row r="494">
          <cell r="A494">
            <v>39869</v>
          </cell>
          <cell r="B494">
            <v>39869</v>
          </cell>
          <cell r="C494" t="str">
            <v>Past</v>
          </cell>
          <cell r="D494">
            <v>32.56</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32.56</v>
          </cell>
          <cell r="Q494">
            <v>6.9441649999999999</v>
          </cell>
          <cell r="R494" t="e">
            <v>#N/A</v>
          </cell>
        </row>
        <row r="495">
          <cell r="A495">
            <v>39870</v>
          </cell>
          <cell r="B495">
            <v>39870</v>
          </cell>
          <cell r="C495" t="str">
            <v>Past</v>
          </cell>
          <cell r="D495">
            <v>31.04</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31.04</v>
          </cell>
          <cell r="Q495">
            <v>12.1358</v>
          </cell>
          <cell r="R495" t="e">
            <v>#N/A</v>
          </cell>
        </row>
        <row r="496">
          <cell r="A496">
            <v>39871</v>
          </cell>
          <cell r="B496">
            <v>39871</v>
          </cell>
          <cell r="C496" t="str">
            <v>Past</v>
          </cell>
          <cell r="D496">
            <v>29.38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29.38</v>
          </cell>
          <cell r="Q496">
            <v>9.5235319999999994</v>
          </cell>
          <cell r="R496" t="e">
            <v>#N/A</v>
          </cell>
        </row>
        <row r="497">
          <cell r="A497">
            <v>39874</v>
          </cell>
          <cell r="B497">
            <v>39874</v>
          </cell>
          <cell r="C497" t="str">
            <v>Past</v>
          </cell>
          <cell r="D497">
            <v>27.75</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27.75</v>
          </cell>
          <cell r="Q497">
            <v>13.436470000000002</v>
          </cell>
          <cell r="R497" t="e">
            <v>#N/A</v>
          </cell>
        </row>
        <row r="498">
          <cell r="A498">
            <v>39875</v>
          </cell>
          <cell r="B498">
            <v>39875</v>
          </cell>
          <cell r="C498" t="str">
            <v>Past</v>
          </cell>
          <cell r="D498">
            <v>27.49</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27.49</v>
          </cell>
          <cell r="Q498">
            <v>9.490162999999999</v>
          </cell>
          <cell r="R498" t="e">
            <v>#N/A</v>
          </cell>
        </row>
        <row r="499">
          <cell r="A499">
            <v>39876</v>
          </cell>
          <cell r="B499">
            <v>39876</v>
          </cell>
          <cell r="C499" t="str">
            <v>Past</v>
          </cell>
          <cell r="D499">
            <v>28.5</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28.5</v>
          </cell>
          <cell r="Q499">
            <v>8.8650219999999997</v>
          </cell>
          <cell r="R499" t="e">
            <v>#N/A</v>
          </cell>
        </row>
        <row r="500">
          <cell r="A500">
            <v>39877</v>
          </cell>
          <cell r="B500">
            <v>39877</v>
          </cell>
          <cell r="C500" t="str">
            <v>Past</v>
          </cell>
          <cell r="D500">
            <v>27.47</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27.47</v>
          </cell>
          <cell r="Q500">
            <v>9.0288579999999996</v>
          </cell>
          <cell r="R500" t="e">
            <v>#N/A</v>
          </cell>
        </row>
        <row r="501">
          <cell r="A501">
            <v>39878</v>
          </cell>
          <cell r="B501">
            <v>39878</v>
          </cell>
          <cell r="C501" t="str">
            <v>Past</v>
          </cell>
          <cell r="D501">
            <v>27.98</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27.98</v>
          </cell>
          <cell r="Q501">
            <v>8.7001270000000002</v>
          </cell>
          <cell r="R501" t="e">
            <v>#N/A</v>
          </cell>
        </row>
        <row r="502">
          <cell r="A502">
            <v>39881</v>
          </cell>
          <cell r="B502">
            <v>39881</v>
          </cell>
          <cell r="C502" t="str">
            <v>Past</v>
          </cell>
          <cell r="D502">
            <v>27.97</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27.97</v>
          </cell>
          <cell r="Q502">
            <v>8.6357489999999988</v>
          </cell>
          <cell r="R502" t="e">
            <v>#N/A</v>
          </cell>
        </row>
        <row r="503">
          <cell r="A503">
            <v>39882</v>
          </cell>
          <cell r="B503">
            <v>39882</v>
          </cell>
          <cell r="C503" t="str">
            <v>Past</v>
          </cell>
          <cell r="D503">
            <v>29.72</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29.72</v>
          </cell>
          <cell r="Q503">
            <v>10.124770000000002</v>
          </cell>
          <cell r="R503" t="e">
            <v>#N/A</v>
          </cell>
        </row>
        <row r="504">
          <cell r="A504">
            <v>39883</v>
          </cell>
          <cell r="B504">
            <v>39883</v>
          </cell>
          <cell r="C504" t="str">
            <v>Past</v>
          </cell>
          <cell r="D504">
            <v>28.85</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28.85</v>
          </cell>
          <cell r="Q504">
            <v>9.624606</v>
          </cell>
          <cell r="R504" t="e">
            <v>#N/A</v>
          </cell>
        </row>
        <row r="505">
          <cell r="A505">
            <v>39884</v>
          </cell>
          <cell r="B505">
            <v>39884</v>
          </cell>
          <cell r="C505" t="str">
            <v>Past</v>
          </cell>
          <cell r="D505">
            <v>30.03</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30.03</v>
          </cell>
          <cell r="Q505">
            <v>6.3600959999999995</v>
          </cell>
          <cell r="R505" t="e">
            <v>#N/A</v>
          </cell>
        </row>
        <row r="506">
          <cell r="A506">
            <v>39885</v>
          </cell>
          <cell r="B506">
            <v>39885</v>
          </cell>
          <cell r="C506" t="str">
            <v>Past</v>
          </cell>
          <cell r="D506">
            <v>30.64</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30.64</v>
          </cell>
          <cell r="Q506">
            <v>6.790419</v>
          </cell>
          <cell r="R506" t="e">
            <v>#N/A</v>
          </cell>
        </row>
        <row r="507">
          <cell r="A507">
            <v>39888</v>
          </cell>
          <cell r="B507">
            <v>39888</v>
          </cell>
          <cell r="C507" t="str">
            <v>Past</v>
          </cell>
          <cell r="D507">
            <v>30.81</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30.81</v>
          </cell>
          <cell r="Q507">
            <v>6.6244000000000005</v>
          </cell>
          <cell r="R507" t="e">
            <v>#N/A</v>
          </cell>
        </row>
        <row r="508">
          <cell r="A508">
            <v>39889</v>
          </cell>
          <cell r="B508">
            <v>39889</v>
          </cell>
          <cell r="C508" t="str">
            <v>Past</v>
          </cell>
          <cell r="D508">
            <v>31.76</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31.76</v>
          </cell>
          <cell r="Q508">
            <v>5.0318000000000005</v>
          </cell>
          <cell r="R508" t="e">
            <v>#N/A</v>
          </cell>
        </row>
        <row r="509">
          <cell r="A509">
            <v>39890</v>
          </cell>
          <cell r="B509">
            <v>39890</v>
          </cell>
          <cell r="C509" t="str">
            <v>Past</v>
          </cell>
          <cell r="D509">
            <v>32.5</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32.5</v>
          </cell>
          <cell r="Q509">
            <v>6.5189179999999993</v>
          </cell>
          <cell r="R509" t="e">
            <v>#N/A</v>
          </cell>
        </row>
        <row r="510">
          <cell r="A510">
            <v>39891</v>
          </cell>
          <cell r="B510">
            <v>39891</v>
          </cell>
          <cell r="C510" t="str">
            <v>Past</v>
          </cell>
          <cell r="D510">
            <v>31.83</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31.83</v>
          </cell>
          <cell r="Q510">
            <v>5.1708379999999998</v>
          </cell>
          <cell r="R510" t="e">
            <v>#N/A</v>
          </cell>
        </row>
        <row r="511">
          <cell r="A511">
            <v>39892</v>
          </cell>
          <cell r="B511">
            <v>39892</v>
          </cell>
          <cell r="C511" t="str">
            <v>Past</v>
          </cell>
          <cell r="D511">
            <v>32.549999999999997</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32.549999999999997</v>
          </cell>
          <cell r="Q511">
            <v>10.262180000000001</v>
          </cell>
          <cell r="R511" t="e">
            <v>#N/A</v>
          </cell>
        </row>
        <row r="512">
          <cell r="A512">
            <v>39895</v>
          </cell>
          <cell r="B512">
            <v>39895</v>
          </cell>
          <cell r="C512" t="str">
            <v>Past</v>
          </cell>
          <cell r="D512">
            <v>34.090000000000003</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34.090000000000003</v>
          </cell>
          <cell r="Q512">
            <v>6.6119249999999994</v>
          </cell>
          <cell r="R512" t="e">
            <v>#N/A</v>
          </cell>
        </row>
        <row r="513">
          <cell r="A513">
            <v>39896</v>
          </cell>
          <cell r="B513">
            <v>39896</v>
          </cell>
          <cell r="C513" t="str">
            <v>Past</v>
          </cell>
          <cell r="D513">
            <v>33.17</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33.17</v>
          </cell>
          <cell r="Q513">
            <v>8.4878</v>
          </cell>
          <cell r="R513" t="e">
            <v>#N/A</v>
          </cell>
        </row>
        <row r="514">
          <cell r="A514">
            <v>39897</v>
          </cell>
          <cell r="B514">
            <v>39897</v>
          </cell>
          <cell r="C514" t="str">
            <v>Past</v>
          </cell>
          <cell r="D514">
            <v>33.53</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33.53</v>
          </cell>
          <cell r="Q514">
            <v>7.747814</v>
          </cell>
          <cell r="R514" t="e">
            <v>#N/A</v>
          </cell>
        </row>
        <row r="515">
          <cell r="A515">
            <v>39898</v>
          </cell>
          <cell r="B515">
            <v>39898</v>
          </cell>
          <cell r="C515" t="str">
            <v>Past</v>
          </cell>
          <cell r="D515">
            <v>34.22</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34.22</v>
          </cell>
          <cell r="Q515">
            <v>7.406955</v>
          </cell>
          <cell r="R515" t="e">
            <v>#N/A</v>
          </cell>
        </row>
        <row r="516">
          <cell r="A516">
            <v>39899</v>
          </cell>
          <cell r="B516">
            <v>39899</v>
          </cell>
          <cell r="C516" t="str">
            <v>Past</v>
          </cell>
          <cell r="D516">
            <v>33.75</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33.75</v>
          </cell>
          <cell r="Q516">
            <v>5.4617819999999995</v>
          </cell>
          <cell r="R516" t="e">
            <v>#N/A</v>
          </cell>
        </row>
        <row r="517">
          <cell r="A517">
            <v>39902</v>
          </cell>
          <cell r="B517">
            <v>39902</v>
          </cell>
          <cell r="C517" t="str">
            <v>Past</v>
          </cell>
          <cell r="D517">
            <v>32.840000000000003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32.840000000000003</v>
          </cell>
          <cell r="Q517">
            <v>7.1063069999999993</v>
          </cell>
          <cell r="R517" t="e">
            <v>#N/A</v>
          </cell>
        </row>
        <row r="518">
          <cell r="A518">
            <v>39903</v>
          </cell>
          <cell r="B518">
            <v>39903</v>
          </cell>
          <cell r="C518" t="str">
            <v>Past</v>
          </cell>
          <cell r="D518">
            <v>33.409999999999997</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33.409999999999997</v>
          </cell>
          <cell r="Q518">
            <v>6.7019339999999996</v>
          </cell>
          <cell r="R518" t="e">
            <v>#N/A</v>
          </cell>
        </row>
        <row r="519">
          <cell r="A519">
            <v>39904</v>
          </cell>
          <cell r="B519">
            <v>39904</v>
          </cell>
          <cell r="C519" t="str">
            <v>Past</v>
          </cell>
          <cell r="D519">
            <v>33.78</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33.78</v>
          </cell>
          <cell r="Q519">
            <v>5.4834000000000005</v>
          </cell>
          <cell r="R519" t="e">
            <v>#N/A</v>
          </cell>
        </row>
        <row r="520">
          <cell r="A520">
            <v>39905</v>
          </cell>
          <cell r="B520">
            <v>39905</v>
          </cell>
          <cell r="C520" t="str">
            <v>Past</v>
          </cell>
          <cell r="D520">
            <v>33.9</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33.9</v>
          </cell>
          <cell r="Q520">
            <v>6.6657339999999996</v>
          </cell>
          <cell r="R520" t="e">
            <v>#N/A</v>
          </cell>
        </row>
        <row r="521">
          <cell r="A521">
            <v>39906</v>
          </cell>
          <cell r="B521">
            <v>39906</v>
          </cell>
          <cell r="C521" t="str">
            <v>Past</v>
          </cell>
          <cell r="D521">
            <v>33.01</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33.01</v>
          </cell>
          <cell r="Q521">
            <v>7.124409</v>
          </cell>
          <cell r="R521" t="e">
            <v>#N/A</v>
          </cell>
        </row>
        <row r="522">
          <cell r="A522">
            <v>39909</v>
          </cell>
          <cell r="B522">
            <v>39909</v>
          </cell>
          <cell r="C522" t="str">
            <v>Past</v>
          </cell>
          <cell r="D522">
            <v>32.840000000000003</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32.840000000000003</v>
          </cell>
          <cell r="Q522">
            <v>6.6188349999999998</v>
          </cell>
          <cell r="R522" t="e">
            <v>#N/A</v>
          </cell>
        </row>
        <row r="523">
          <cell r="A523">
            <v>39910</v>
          </cell>
          <cell r="B523">
            <v>39910</v>
          </cell>
          <cell r="C523" t="str">
            <v>Past</v>
          </cell>
          <cell r="D523">
            <v>31.88</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31.88</v>
          </cell>
          <cell r="Q523">
            <v>6.0334700000000003</v>
          </cell>
          <cell r="R523" t="e">
            <v>#N/A</v>
          </cell>
        </row>
        <row r="524">
          <cell r="A524">
            <v>39911</v>
          </cell>
          <cell r="B524">
            <v>39911</v>
          </cell>
          <cell r="C524" t="str">
            <v>Past</v>
          </cell>
          <cell r="D524">
            <v>32.340000000000003</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32.340000000000003</v>
          </cell>
          <cell r="Q524">
            <v>5.2268109999999997</v>
          </cell>
          <cell r="R524" t="e">
            <v>#N/A</v>
          </cell>
        </row>
        <row r="525">
          <cell r="A525">
            <v>39912</v>
          </cell>
          <cell r="B525">
            <v>39912</v>
          </cell>
          <cell r="C525" t="str">
            <v>Past</v>
          </cell>
          <cell r="D525">
            <v>32.64</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32.64</v>
          </cell>
          <cell r="Q525">
            <v>4.9841300000000004</v>
          </cell>
          <cell r="R525" t="e">
            <v>#N/A</v>
          </cell>
        </row>
        <row r="526">
          <cell r="A526">
            <v>39916</v>
          </cell>
          <cell r="B526">
            <v>39916</v>
          </cell>
          <cell r="C526" t="str">
            <v>Past</v>
          </cell>
          <cell r="D526">
            <v>32.57</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32.57</v>
          </cell>
          <cell r="Q526">
            <v>3.405227</v>
          </cell>
          <cell r="R526" t="e">
            <v>#N/A</v>
          </cell>
        </row>
        <row r="527">
          <cell r="A527">
            <v>39917</v>
          </cell>
          <cell r="B527">
            <v>39917</v>
          </cell>
          <cell r="C527" t="str">
            <v>Past</v>
          </cell>
          <cell r="D527">
            <v>32.15</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32.15</v>
          </cell>
          <cell r="Q527">
            <v>5.2493910000000001</v>
          </cell>
          <cell r="R527" t="e">
            <v>#N/A</v>
          </cell>
        </row>
        <row r="528">
          <cell r="A528">
            <v>39918</v>
          </cell>
          <cell r="B528">
            <v>39918</v>
          </cell>
          <cell r="C528" t="str">
            <v>Past</v>
          </cell>
          <cell r="D528">
            <v>32.81</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32.81</v>
          </cell>
          <cell r="Q528">
            <v>6.1552609999999994</v>
          </cell>
          <cell r="R528" t="e">
            <v>#N/A</v>
          </cell>
        </row>
        <row r="529">
          <cell r="A529">
            <v>39919</v>
          </cell>
          <cell r="B529">
            <v>39919</v>
          </cell>
          <cell r="C529" t="str">
            <v>Past</v>
          </cell>
          <cell r="D529">
            <v>33.270000000000003</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33.270000000000003</v>
          </cell>
          <cell r="Q529">
            <v>4.9672969999999994</v>
          </cell>
          <cell r="R529" t="e">
            <v>#N/A</v>
          </cell>
        </row>
        <row r="530">
          <cell r="A530">
            <v>39920</v>
          </cell>
          <cell r="B530">
            <v>39920</v>
          </cell>
          <cell r="C530" t="str">
            <v>Past</v>
          </cell>
          <cell r="D530">
            <v>33.75</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33.75</v>
          </cell>
          <cell r="Q530">
            <v>6.6703789999999996</v>
          </cell>
          <cell r="R530" t="e">
            <v>#N/A</v>
          </cell>
        </row>
        <row r="531">
          <cell r="A531">
            <v>39923</v>
          </cell>
          <cell r="B531">
            <v>39923</v>
          </cell>
          <cell r="C531" t="str">
            <v>Past</v>
          </cell>
          <cell r="D531">
            <v>32.99</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32.99</v>
          </cell>
          <cell r="Q531">
            <v>9.7992270000000001</v>
          </cell>
          <cell r="R531" t="e">
            <v>#N/A</v>
          </cell>
        </row>
        <row r="532">
          <cell r="A532">
            <v>39924</v>
          </cell>
          <cell r="B532">
            <v>39924</v>
          </cell>
          <cell r="C532" t="str">
            <v>Past</v>
          </cell>
          <cell r="D532">
            <v>33.340000000000003</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33.340000000000003</v>
          </cell>
          <cell r="Q532">
            <v>6.4096329999999995</v>
          </cell>
          <cell r="R532" t="e">
            <v>#N/A</v>
          </cell>
        </row>
        <row r="533">
          <cell r="A533">
            <v>39925</v>
          </cell>
          <cell r="B533">
            <v>39925</v>
          </cell>
          <cell r="C533" t="str">
            <v>Past</v>
          </cell>
          <cell r="D533">
            <v>32.74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32.74</v>
          </cell>
          <cell r="Q533">
            <v>11.130370000000001</v>
          </cell>
          <cell r="R533" t="e">
            <v>#N/A</v>
          </cell>
        </row>
        <row r="534">
          <cell r="A534">
            <v>39926</v>
          </cell>
          <cell r="B534">
            <v>39926</v>
          </cell>
          <cell r="C534" t="str">
            <v>Past</v>
          </cell>
          <cell r="D534">
            <v>32.880000000000003</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32.880000000000003</v>
          </cell>
          <cell r="Q534">
            <v>8.591372999999999</v>
          </cell>
          <cell r="R534" t="e">
            <v>#N/A</v>
          </cell>
        </row>
        <row r="535">
          <cell r="A535">
            <v>39927</v>
          </cell>
          <cell r="B535">
            <v>39927</v>
          </cell>
          <cell r="C535" t="str">
            <v>Past</v>
          </cell>
          <cell r="D535">
            <v>33.01</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33.01</v>
          </cell>
          <cell r="Q535">
            <v>8.328225999999999</v>
          </cell>
          <cell r="R535" t="e">
            <v>#N/A</v>
          </cell>
        </row>
        <row r="536">
          <cell r="A536">
            <v>39930</v>
          </cell>
          <cell r="B536">
            <v>39930</v>
          </cell>
          <cell r="C536" t="str">
            <v>Past</v>
          </cell>
          <cell r="D536">
            <v>33.130000000000003</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33.130000000000003</v>
          </cell>
          <cell r="Q536">
            <v>4.16866</v>
          </cell>
          <cell r="R536" t="e">
            <v>#N/A</v>
          </cell>
        </row>
        <row r="537">
          <cell r="A537">
            <v>39931</v>
          </cell>
          <cell r="B537">
            <v>39931</v>
          </cell>
          <cell r="C537" t="str">
            <v>Past</v>
          </cell>
          <cell r="D537">
            <v>33.200000000000003</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33.200000000000003</v>
          </cell>
          <cell r="Q537">
            <v>7.6634069999999994</v>
          </cell>
          <cell r="R537" t="e">
            <v>#N/A</v>
          </cell>
        </row>
        <row r="538">
          <cell r="A538">
            <v>39932</v>
          </cell>
          <cell r="B538">
            <v>39932</v>
          </cell>
          <cell r="C538" t="str">
            <v>Past</v>
          </cell>
          <cell r="D538">
            <v>33.36</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33.36</v>
          </cell>
          <cell r="Q538">
            <v>6.7499750000000001</v>
          </cell>
          <cell r="R538" t="e">
            <v>#N/A</v>
          </cell>
        </row>
        <row r="539">
          <cell r="A539">
            <v>39933</v>
          </cell>
          <cell r="B539">
            <v>39933</v>
          </cell>
          <cell r="C539" t="str">
            <v>Past</v>
          </cell>
          <cell r="D539">
            <v>32.92</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32.92</v>
          </cell>
          <cell r="Q539">
            <v>8.2910430000000002</v>
          </cell>
          <cell r="R539" t="e">
            <v>#N/A</v>
          </cell>
        </row>
        <row r="540">
          <cell r="A540">
            <v>39934</v>
          </cell>
          <cell r="B540">
            <v>39934</v>
          </cell>
          <cell r="C540" t="str">
            <v>Past</v>
          </cell>
          <cell r="D540">
            <v>33.49</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33.49</v>
          </cell>
          <cell r="Q540">
            <v>5.4118600000000008</v>
          </cell>
          <cell r="R540" t="e">
            <v>#N/A</v>
          </cell>
        </row>
        <row r="541">
          <cell r="A541">
            <v>39937</v>
          </cell>
          <cell r="B541">
            <v>39937</v>
          </cell>
          <cell r="C541" t="str">
            <v>Past</v>
          </cell>
          <cell r="D541">
            <v>33.81</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33.81</v>
          </cell>
          <cell r="Q541">
            <v>5.3630269999999998</v>
          </cell>
          <cell r="R541" t="e">
            <v>#N/A</v>
          </cell>
        </row>
        <row r="542">
          <cell r="A542">
            <v>39938</v>
          </cell>
          <cell r="B542">
            <v>39938</v>
          </cell>
          <cell r="C542" t="str">
            <v>Past</v>
          </cell>
          <cell r="D542">
            <v>34.54</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34.54</v>
          </cell>
          <cell r="Q542">
            <v>8.3934090000000001</v>
          </cell>
          <cell r="R542" t="e">
            <v>#N/A</v>
          </cell>
        </row>
        <row r="543">
          <cell r="A543">
            <v>39939</v>
          </cell>
          <cell r="B543">
            <v>39939</v>
          </cell>
          <cell r="C543" t="str">
            <v>Past</v>
          </cell>
          <cell r="D543">
            <v>34.43</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34.43</v>
          </cell>
          <cell r="Q543">
            <v>5.6968429999999994</v>
          </cell>
          <cell r="R543" t="e">
            <v>#N/A</v>
          </cell>
        </row>
        <row r="544">
          <cell r="A544">
            <v>39940</v>
          </cell>
          <cell r="B544">
            <v>39940</v>
          </cell>
          <cell r="C544" t="str">
            <v>Past</v>
          </cell>
          <cell r="D544">
            <v>35.85</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35.85</v>
          </cell>
          <cell r="Q544">
            <v>11.239310000000001</v>
          </cell>
          <cell r="R544" t="e">
            <v>#N/A</v>
          </cell>
        </row>
        <row r="545">
          <cell r="A545">
            <v>39941</v>
          </cell>
          <cell r="B545">
            <v>39941</v>
          </cell>
          <cell r="C545" t="str">
            <v>Past</v>
          </cell>
          <cell r="D545">
            <v>35.950000000000003</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35.950000000000003</v>
          </cell>
          <cell r="Q545">
            <v>7.1747929999999993</v>
          </cell>
          <cell r="R545" t="e">
            <v>#N/A</v>
          </cell>
        </row>
        <row r="546">
          <cell r="A546">
            <v>39944</v>
          </cell>
          <cell r="B546">
            <v>39944</v>
          </cell>
          <cell r="C546" t="str">
            <v>Past</v>
          </cell>
          <cell r="D546">
            <v>35.35</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35.35</v>
          </cell>
          <cell r="Q546">
            <v>6.3392400000000002</v>
          </cell>
          <cell r="R546" t="e">
            <v>#N/A</v>
          </cell>
        </row>
        <row r="547">
          <cell r="A547">
            <v>39945</v>
          </cell>
          <cell r="B547">
            <v>39945</v>
          </cell>
          <cell r="C547" t="str">
            <v>Past</v>
          </cell>
          <cell r="D547">
            <v>35.9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35.9</v>
          </cell>
          <cell r="Q547">
            <v>6.4275129999999994</v>
          </cell>
          <cell r="R547" t="e">
            <v>#N/A</v>
          </cell>
        </row>
        <row r="548">
          <cell r="A548">
            <v>39946</v>
          </cell>
          <cell r="B548">
            <v>39946</v>
          </cell>
          <cell r="C548" t="str">
            <v>Past</v>
          </cell>
          <cell r="D548">
            <v>35.15</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35.15</v>
          </cell>
          <cell r="Q548">
            <v>6.0419159999999996</v>
          </cell>
          <cell r="R548" t="e">
            <v>#N/A</v>
          </cell>
        </row>
        <row r="549">
          <cell r="A549">
            <v>39947</v>
          </cell>
          <cell r="B549">
            <v>39947</v>
          </cell>
          <cell r="C549" t="str">
            <v>Past</v>
          </cell>
          <cell r="D549">
            <v>35.119999999999997</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35.119999999999997</v>
          </cell>
          <cell r="Q549">
            <v>4.6474060000000001</v>
          </cell>
          <cell r="R549" t="e">
            <v>#N/A</v>
          </cell>
        </row>
        <row r="550">
          <cell r="A550">
            <v>39948</v>
          </cell>
          <cell r="B550">
            <v>39948</v>
          </cell>
          <cell r="C550" t="str">
            <v>Past</v>
          </cell>
          <cell r="D550">
            <v>34.17</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34.17</v>
          </cell>
          <cell r="Q550">
            <v>6.1764999999999999</v>
          </cell>
          <cell r="R550" t="e">
            <v>#N/A</v>
          </cell>
        </row>
        <row r="551">
          <cell r="A551">
            <v>39951</v>
          </cell>
          <cell r="B551">
            <v>39951</v>
          </cell>
          <cell r="C551" t="str">
            <v>Past</v>
          </cell>
          <cell r="D551">
            <v>34.67</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34.67</v>
          </cell>
          <cell r="Q551">
            <v>5.5593709999999996</v>
          </cell>
          <cell r="R551" t="e">
            <v>#N/A</v>
          </cell>
        </row>
        <row r="552">
          <cell r="A552">
            <v>39952</v>
          </cell>
          <cell r="B552">
            <v>39952</v>
          </cell>
          <cell r="C552" t="str">
            <v>Past</v>
          </cell>
          <cell r="D552">
            <v>34.53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34.53</v>
          </cell>
          <cell r="Q552">
            <v>4.3698869999999994</v>
          </cell>
          <cell r="R552" t="e">
            <v>#N/A</v>
          </cell>
        </row>
        <row r="553">
          <cell r="A553">
            <v>39953</v>
          </cell>
          <cell r="B553">
            <v>39953</v>
          </cell>
          <cell r="C553" t="str">
            <v>Past</v>
          </cell>
          <cell r="D553">
            <v>34.729999999999997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34.729999999999997</v>
          </cell>
          <cell r="Q553">
            <v>4.7807459999999997</v>
          </cell>
          <cell r="R553" t="e">
            <v>#N/A</v>
          </cell>
        </row>
        <row r="554">
          <cell r="A554">
            <v>39954</v>
          </cell>
          <cell r="B554">
            <v>39954</v>
          </cell>
          <cell r="C554" t="str">
            <v>Past</v>
          </cell>
          <cell r="D554">
            <v>34.619999999999997</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34.619999999999997</v>
          </cell>
          <cell r="Q554">
            <v>5.2200850000000001</v>
          </cell>
          <cell r="R554" t="e">
            <v>#N/A</v>
          </cell>
        </row>
        <row r="555">
          <cell r="A555">
            <v>39955</v>
          </cell>
          <cell r="B555">
            <v>39955</v>
          </cell>
          <cell r="C555" t="str">
            <v>Past</v>
          </cell>
          <cell r="D555">
            <v>34.340000000000003</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34.340000000000003</v>
          </cell>
          <cell r="Q555">
            <v>3.3391259999999998</v>
          </cell>
          <cell r="R555" t="e">
            <v>#N/A</v>
          </cell>
        </row>
        <row r="556">
          <cell r="A556">
            <v>39959</v>
          </cell>
          <cell r="B556">
            <v>39959</v>
          </cell>
          <cell r="C556" t="str">
            <v>Past</v>
          </cell>
          <cell r="D556">
            <v>34.85</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34.85</v>
          </cell>
          <cell r="Q556">
            <v>3.953217</v>
          </cell>
          <cell r="R556" t="e">
            <v>#N/A</v>
          </cell>
        </row>
        <row r="557">
          <cell r="A557">
            <v>39960</v>
          </cell>
          <cell r="B557">
            <v>39960</v>
          </cell>
          <cell r="C557" t="str">
            <v>Past</v>
          </cell>
          <cell r="D557">
            <v>33.67</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33.67</v>
          </cell>
          <cell r="Q557">
            <v>5.1936239999999998</v>
          </cell>
          <cell r="R557" t="e">
            <v>#N/A</v>
          </cell>
        </row>
        <row r="558">
          <cell r="A558">
            <v>39961</v>
          </cell>
          <cell r="B558">
            <v>39961</v>
          </cell>
          <cell r="C558" t="str">
            <v>Past</v>
          </cell>
          <cell r="D558">
            <v>33.78</v>
          </cell>
          <cell r="E558" t="e">
            <v>#N/A</v>
          </cell>
          <cell r="F558" t="e">
            <v>#N/A</v>
          </cell>
          <cell r="G558" t="e">
            <v>#N/A</v>
          </cell>
          <cell r="H558" t="e">
            <v>#N/A</v>
          </cell>
          <cell r="I558" t="e">
            <v>#N/A</v>
          </cell>
          <cell r="J558" t="e">
            <v>#N/A</v>
          </cell>
          <cell r="K558" t="e">
            <v>#N/A</v>
          </cell>
          <cell r="L558" t="e">
            <v>#N/A</v>
          </cell>
          <cell r="M558" t="e">
            <v>#N/A</v>
          </cell>
          <cell r="N558" t="e">
            <v>#N/A</v>
          </cell>
          <cell r="O558">
            <v>0</v>
          </cell>
          <cell r="P558">
            <v>33.78</v>
          </cell>
          <cell r="Q558">
            <v>4.4986489999999995</v>
          </cell>
          <cell r="R558" t="e">
            <v>#N/A</v>
          </cell>
        </row>
        <row r="559">
          <cell r="A559">
            <v>39962</v>
          </cell>
          <cell r="B559">
            <v>39962</v>
          </cell>
          <cell r="C559" t="str">
            <v>Current</v>
          </cell>
          <cell r="D559">
            <v>34.57</v>
          </cell>
          <cell r="E559">
            <v>34.57</v>
          </cell>
          <cell r="F559">
            <v>34.57</v>
          </cell>
          <cell r="G559">
            <v>34.57</v>
          </cell>
          <cell r="H559">
            <v>34.57</v>
          </cell>
          <cell r="I559">
            <v>34.57</v>
          </cell>
          <cell r="J559" t="e">
            <v>#N/A</v>
          </cell>
          <cell r="K559" t="e">
            <v>#N/A</v>
          </cell>
          <cell r="L559" t="e">
            <v>#N/A</v>
          </cell>
          <cell r="M559" t="e">
            <v>#N/A</v>
          </cell>
          <cell r="N559" t="e">
            <v>#N/A</v>
          </cell>
          <cell r="O559">
            <v>114.16500000000001</v>
          </cell>
          <cell r="P559">
            <v>34.57</v>
          </cell>
          <cell r="Q559">
            <v>4.873189</v>
          </cell>
          <cell r="R559" t="e">
            <v>#N/A</v>
          </cell>
        </row>
        <row r="560">
          <cell r="A560">
            <v>39965</v>
          </cell>
          <cell r="B560">
            <v>39965</v>
          </cell>
          <cell r="C560" t="str">
            <v>Future</v>
          </cell>
          <cell r="D560" t="e">
            <v>#N/A</v>
          </cell>
          <cell r="E560">
            <v>34.433359683794464</v>
          </cell>
          <cell r="F560">
            <v>34.599367588932807</v>
          </cell>
          <cell r="G560">
            <v>34.559841897233198</v>
          </cell>
          <cell r="H560">
            <v>34.559841897233198</v>
          </cell>
          <cell r="I560" t="e">
            <v>#N/A</v>
          </cell>
          <cell r="J560" t="e">
            <v>#N/A</v>
          </cell>
          <cell r="K560" t="e">
            <v>#N/A</v>
          </cell>
          <cell r="L560" t="e">
            <v>#N/A</v>
          </cell>
          <cell r="M560" t="e">
            <v>#N/A</v>
          </cell>
          <cell r="N560" t="e">
            <v>#N/A</v>
          </cell>
          <cell r="O560" t="e">
            <v>#N/A</v>
          </cell>
          <cell r="P560">
            <v>34.65</v>
          </cell>
          <cell r="Q560">
            <v>5.3196200000000005</v>
          </cell>
          <cell r="R560" t="e">
            <v>#N/A</v>
          </cell>
        </row>
        <row r="561">
          <cell r="A561">
            <v>39966</v>
          </cell>
          <cell r="B561">
            <v>39966</v>
          </cell>
          <cell r="C561" t="str">
            <v>Future</v>
          </cell>
          <cell r="D561" t="e">
            <v>#N/A</v>
          </cell>
          <cell r="E561">
            <v>34.296719367588928</v>
          </cell>
          <cell r="F561">
            <v>34.628735177865615</v>
          </cell>
          <cell r="G561">
            <v>34.549683794466397</v>
          </cell>
          <cell r="H561">
            <v>34.549683794466397</v>
          </cell>
          <cell r="I561" t="e">
            <v>#N/A</v>
          </cell>
          <cell r="J561" t="e">
            <v>#N/A</v>
          </cell>
          <cell r="K561" t="e">
            <v>#N/A</v>
          </cell>
          <cell r="L561" t="e">
            <v>#N/A</v>
          </cell>
          <cell r="M561" t="e">
            <v>#N/A</v>
          </cell>
          <cell r="N561" t="e">
            <v>#N/A</v>
          </cell>
          <cell r="O561" t="e">
            <v>#N/A</v>
          </cell>
          <cell r="P561">
            <v>34.65</v>
          </cell>
          <cell r="Q561" t="str">
            <v/>
          </cell>
          <cell r="R561" t="e">
            <v>#N/A</v>
          </cell>
        </row>
        <row r="562">
          <cell r="A562">
            <v>39967</v>
          </cell>
          <cell r="B562">
            <v>39967</v>
          </cell>
          <cell r="C562" t="str">
            <v>Future</v>
          </cell>
          <cell r="D562" t="e">
            <v>#N/A</v>
          </cell>
          <cell r="E562">
            <v>34.160079051383391</v>
          </cell>
          <cell r="F562">
            <v>34.658102766798422</v>
          </cell>
          <cell r="G562">
            <v>34.539525691699595</v>
          </cell>
          <cell r="H562">
            <v>34.539525691699595</v>
          </cell>
          <cell r="I562" t="e">
            <v>#N/A</v>
          </cell>
          <cell r="J562" t="e">
            <v>#N/A</v>
          </cell>
          <cell r="K562" t="e">
            <v>#N/A</v>
          </cell>
          <cell r="L562" t="e">
            <v>#N/A</v>
          </cell>
          <cell r="M562" t="e">
            <v>#N/A</v>
          </cell>
          <cell r="N562" t="e">
            <v>#N/A</v>
          </cell>
          <cell r="O562" t="e">
            <v>#N/A</v>
          </cell>
          <cell r="P562">
            <v>34.65</v>
          </cell>
          <cell r="Q562" t="str">
            <v/>
          </cell>
          <cell r="R562" t="e">
            <v>#N/A</v>
          </cell>
        </row>
        <row r="563">
          <cell r="A563">
            <v>39968</v>
          </cell>
          <cell r="B563">
            <v>39968</v>
          </cell>
          <cell r="C563" t="str">
            <v>Future</v>
          </cell>
          <cell r="D563" t="e">
            <v>#N/A</v>
          </cell>
          <cell r="E563">
            <v>34.023438735177855</v>
          </cell>
          <cell r="F563">
            <v>34.687470355731229</v>
          </cell>
          <cell r="G563">
            <v>34.529367588932793</v>
          </cell>
          <cell r="H563">
            <v>34.529367588932793</v>
          </cell>
          <cell r="I563" t="e">
            <v>#N/A</v>
          </cell>
          <cell r="J563" t="e">
            <v>#N/A</v>
          </cell>
          <cell r="K563" t="e">
            <v>#N/A</v>
          </cell>
          <cell r="L563" t="e">
            <v>#N/A</v>
          </cell>
          <cell r="M563" t="e">
            <v>#N/A</v>
          </cell>
          <cell r="N563" t="e">
            <v>#N/A</v>
          </cell>
          <cell r="O563" t="e">
            <v>#N/A</v>
          </cell>
          <cell r="P563">
            <v>34.65</v>
          </cell>
          <cell r="Q563" t="str">
            <v/>
          </cell>
          <cell r="R563" t="e">
            <v>#N/A</v>
          </cell>
        </row>
        <row r="564">
          <cell r="A564">
            <v>39969</v>
          </cell>
          <cell r="B564">
            <v>39969</v>
          </cell>
          <cell r="C564" t="str">
            <v>Future</v>
          </cell>
          <cell r="D564" t="e">
            <v>#N/A</v>
          </cell>
          <cell r="E564">
            <v>33.886798418972319</v>
          </cell>
          <cell r="F564">
            <v>34.716837944664036</v>
          </cell>
          <cell r="G564">
            <v>34.519209486165991</v>
          </cell>
          <cell r="H564">
            <v>34.519209486165991</v>
          </cell>
          <cell r="I564" t="e">
            <v>#N/A</v>
          </cell>
          <cell r="J564" t="e">
            <v>#N/A</v>
          </cell>
          <cell r="K564" t="e">
            <v>#N/A</v>
          </cell>
          <cell r="L564" t="e">
            <v>#N/A</v>
          </cell>
          <cell r="M564" t="e">
            <v>#N/A</v>
          </cell>
          <cell r="N564" t="e">
            <v>#N/A</v>
          </cell>
          <cell r="O564" t="e">
            <v>#N/A</v>
          </cell>
          <cell r="P564">
            <v>34.65</v>
          </cell>
          <cell r="Q564" t="str">
            <v/>
          </cell>
          <cell r="R564" t="e">
            <v>#N/A</v>
          </cell>
        </row>
        <row r="565">
          <cell r="A565">
            <v>39972</v>
          </cell>
          <cell r="B565">
            <v>39972</v>
          </cell>
          <cell r="C565" t="str">
            <v>Future</v>
          </cell>
          <cell r="D565" t="e">
            <v>#N/A</v>
          </cell>
          <cell r="E565">
            <v>33.750158102766783</v>
          </cell>
          <cell r="F565">
            <v>34.746205533596843</v>
          </cell>
          <cell r="G565">
            <v>34.509051383399189</v>
          </cell>
          <cell r="H565">
            <v>34.509051383399189</v>
          </cell>
          <cell r="I565" t="e">
            <v>#N/A</v>
          </cell>
          <cell r="J565" t="e">
            <v>#N/A</v>
          </cell>
          <cell r="K565" t="e">
            <v>#N/A</v>
          </cell>
          <cell r="L565" t="e">
            <v>#N/A</v>
          </cell>
          <cell r="M565" t="e">
            <v>#N/A</v>
          </cell>
          <cell r="N565" t="e">
            <v>#N/A</v>
          </cell>
          <cell r="O565" t="e">
            <v>#N/A</v>
          </cell>
          <cell r="P565">
            <v>34.65</v>
          </cell>
          <cell r="Q565" t="str">
            <v/>
          </cell>
          <cell r="R565" t="e">
            <v>#N/A</v>
          </cell>
        </row>
        <row r="566">
          <cell r="A566">
            <v>39973</v>
          </cell>
          <cell r="B566">
            <v>39973</v>
          </cell>
          <cell r="C566" t="str">
            <v>Future</v>
          </cell>
          <cell r="D566" t="e">
            <v>#N/A</v>
          </cell>
          <cell r="E566">
            <v>33.613517786561246</v>
          </cell>
          <cell r="F566">
            <v>34.77557312252965</v>
          </cell>
          <cell r="G566">
            <v>34.498893280632387</v>
          </cell>
          <cell r="H566">
            <v>34.498893280632387</v>
          </cell>
          <cell r="I566" t="e">
            <v>#N/A</v>
          </cell>
          <cell r="J566" t="e">
            <v>#N/A</v>
          </cell>
          <cell r="K566" t="e">
            <v>#N/A</v>
          </cell>
          <cell r="L566" t="e">
            <v>#N/A</v>
          </cell>
          <cell r="M566" t="e">
            <v>#N/A</v>
          </cell>
          <cell r="N566" t="e">
            <v>#N/A</v>
          </cell>
          <cell r="O566" t="e">
            <v>#N/A</v>
          </cell>
          <cell r="P566">
            <v>34.65</v>
          </cell>
          <cell r="Q566" t="str">
            <v/>
          </cell>
          <cell r="R566" t="e">
            <v>#N/A</v>
          </cell>
        </row>
        <row r="567">
          <cell r="A567">
            <v>39974</v>
          </cell>
          <cell r="B567">
            <v>39974</v>
          </cell>
          <cell r="C567" t="str">
            <v>Future</v>
          </cell>
          <cell r="D567" t="e">
            <v>#N/A</v>
          </cell>
          <cell r="E567">
            <v>33.47687747035571</v>
          </cell>
          <cell r="F567">
            <v>34.804940711462457</v>
          </cell>
          <cell r="G567">
            <v>34.488735177865586</v>
          </cell>
          <cell r="H567">
            <v>34.488735177865586</v>
          </cell>
          <cell r="I567" t="e">
            <v>#N/A</v>
          </cell>
          <cell r="J567" t="e">
            <v>#N/A</v>
          </cell>
          <cell r="K567" t="e">
            <v>#N/A</v>
          </cell>
          <cell r="L567" t="e">
            <v>#N/A</v>
          </cell>
          <cell r="M567" t="e">
            <v>#N/A</v>
          </cell>
          <cell r="N567" t="e">
            <v>#N/A</v>
          </cell>
          <cell r="O567" t="e">
            <v>#N/A</v>
          </cell>
          <cell r="P567">
            <v>34.65</v>
          </cell>
          <cell r="Q567" t="str">
            <v/>
          </cell>
          <cell r="R567" t="e">
            <v>#N/A</v>
          </cell>
        </row>
        <row r="568">
          <cell r="A568">
            <v>39975</v>
          </cell>
          <cell r="B568">
            <v>39975</v>
          </cell>
          <cell r="C568" t="str">
            <v>Future</v>
          </cell>
          <cell r="D568" t="e">
            <v>#N/A</v>
          </cell>
          <cell r="E568">
            <v>33.340237154150174</v>
          </cell>
          <cell r="F568">
            <v>34.834308300395264</v>
          </cell>
          <cell r="G568">
            <v>34.478577075098784</v>
          </cell>
          <cell r="H568">
            <v>34.478577075098784</v>
          </cell>
          <cell r="I568" t="e">
            <v>#N/A</v>
          </cell>
          <cell r="J568" t="e">
            <v>#N/A</v>
          </cell>
          <cell r="K568" t="e">
            <v>#N/A</v>
          </cell>
          <cell r="L568" t="e">
            <v>#N/A</v>
          </cell>
          <cell r="M568" t="e">
            <v>#N/A</v>
          </cell>
          <cell r="N568" t="e">
            <v>#N/A</v>
          </cell>
          <cell r="O568" t="e">
            <v>#N/A</v>
          </cell>
          <cell r="P568">
            <v>34.65</v>
          </cell>
          <cell r="Q568" t="str">
            <v/>
          </cell>
          <cell r="R568" t="e">
            <v>#N/A</v>
          </cell>
        </row>
        <row r="569">
          <cell r="A569">
            <v>39976</v>
          </cell>
          <cell r="B569">
            <v>39976</v>
          </cell>
          <cell r="C569" t="str">
            <v>Future</v>
          </cell>
          <cell r="D569" t="e">
            <v>#N/A</v>
          </cell>
          <cell r="E569">
            <v>33.203596837944637</v>
          </cell>
          <cell r="F569">
            <v>34.863675889328071</v>
          </cell>
          <cell r="G569">
            <v>34.468418972331982</v>
          </cell>
          <cell r="H569">
            <v>34.468418972331982</v>
          </cell>
          <cell r="I569" t="e">
            <v>#N/A</v>
          </cell>
          <cell r="J569" t="e">
            <v>#N/A</v>
          </cell>
          <cell r="K569" t="e">
            <v>#N/A</v>
          </cell>
          <cell r="L569" t="e">
            <v>#N/A</v>
          </cell>
          <cell r="M569" t="e">
            <v>#N/A</v>
          </cell>
          <cell r="N569" t="e">
            <v>#N/A</v>
          </cell>
          <cell r="O569" t="e">
            <v>#N/A</v>
          </cell>
          <cell r="P569">
            <v>34.65</v>
          </cell>
          <cell r="Q569" t="str">
            <v/>
          </cell>
          <cell r="R569" t="e">
            <v>#N/A</v>
          </cell>
        </row>
        <row r="570">
          <cell r="A570">
            <v>39979</v>
          </cell>
          <cell r="B570">
            <v>39979</v>
          </cell>
          <cell r="C570" t="str">
            <v>Future</v>
          </cell>
          <cell r="D570" t="e">
            <v>#N/A</v>
          </cell>
          <cell r="E570">
            <v>33.066956521739101</v>
          </cell>
          <cell r="F570">
            <v>34.893043478260878</v>
          </cell>
          <cell r="G570">
            <v>34.45826086956518</v>
          </cell>
          <cell r="H570">
            <v>34.45826086956518</v>
          </cell>
          <cell r="I570" t="e">
            <v>#N/A</v>
          </cell>
          <cell r="J570" t="e">
            <v>#N/A</v>
          </cell>
          <cell r="K570" t="e">
            <v>#N/A</v>
          </cell>
          <cell r="L570" t="e">
            <v>#N/A</v>
          </cell>
          <cell r="M570" t="e">
            <v>#N/A</v>
          </cell>
          <cell r="N570" t="e">
            <v>#N/A</v>
          </cell>
          <cell r="O570" t="e">
            <v>#N/A</v>
          </cell>
          <cell r="P570">
            <v>34.65</v>
          </cell>
          <cell r="Q570" t="str">
            <v/>
          </cell>
          <cell r="R570" t="e">
            <v>#N/A</v>
          </cell>
        </row>
        <row r="571">
          <cell r="A571">
            <v>39980</v>
          </cell>
          <cell r="B571">
            <v>39980</v>
          </cell>
          <cell r="C571" t="str">
            <v>Future</v>
          </cell>
          <cell r="D571" t="e">
            <v>#N/A</v>
          </cell>
          <cell r="E571">
            <v>32.930316205533565</v>
          </cell>
          <cell r="F571">
            <v>34.922411067193686</v>
          </cell>
          <cell r="G571">
            <v>34.448102766798378</v>
          </cell>
          <cell r="H571">
            <v>34.448102766798378</v>
          </cell>
          <cell r="I571" t="e">
            <v>#N/A</v>
          </cell>
          <cell r="J571" t="e">
            <v>#N/A</v>
          </cell>
          <cell r="K571" t="e">
            <v>#N/A</v>
          </cell>
          <cell r="L571" t="e">
            <v>#N/A</v>
          </cell>
          <cell r="M571" t="e">
            <v>#N/A</v>
          </cell>
          <cell r="N571" t="e">
            <v>#N/A</v>
          </cell>
          <cell r="O571" t="e">
            <v>#N/A</v>
          </cell>
          <cell r="P571">
            <v>34.65</v>
          </cell>
          <cell r="Q571" t="str">
            <v/>
          </cell>
          <cell r="R571" t="e">
            <v>#N/A</v>
          </cell>
        </row>
        <row r="572">
          <cell r="A572">
            <v>39981</v>
          </cell>
          <cell r="B572">
            <v>39981</v>
          </cell>
          <cell r="C572" t="str">
            <v>Future</v>
          </cell>
          <cell r="D572" t="e">
            <v>#N/A</v>
          </cell>
          <cell r="E572">
            <v>32.793675889328028</v>
          </cell>
          <cell r="F572">
            <v>34.951778656126493</v>
          </cell>
          <cell r="G572">
            <v>34.437944664031576</v>
          </cell>
          <cell r="H572">
            <v>34.437944664031576</v>
          </cell>
          <cell r="I572" t="e">
            <v>#N/A</v>
          </cell>
          <cell r="J572" t="e">
            <v>#N/A</v>
          </cell>
          <cell r="K572" t="e">
            <v>#N/A</v>
          </cell>
          <cell r="L572" t="e">
            <v>#N/A</v>
          </cell>
          <cell r="M572" t="e">
            <v>#N/A</v>
          </cell>
          <cell r="N572" t="e">
            <v>#N/A</v>
          </cell>
          <cell r="O572" t="e">
            <v>#N/A</v>
          </cell>
          <cell r="P572">
            <v>34.65</v>
          </cell>
          <cell r="Q572" t="str">
            <v/>
          </cell>
          <cell r="R572" t="e">
            <v>#N/A</v>
          </cell>
        </row>
        <row r="573">
          <cell r="A573">
            <v>39982</v>
          </cell>
          <cell r="B573">
            <v>39982</v>
          </cell>
          <cell r="C573" t="str">
            <v>Future</v>
          </cell>
          <cell r="D573" t="e">
            <v>#N/A</v>
          </cell>
          <cell r="E573">
            <v>32.657035573122492</v>
          </cell>
          <cell r="F573">
            <v>34.9811462450593</v>
          </cell>
          <cell r="G573">
            <v>34.427786561264774</v>
          </cell>
          <cell r="H573">
            <v>34.427786561264774</v>
          </cell>
          <cell r="I573" t="e">
            <v>#N/A</v>
          </cell>
          <cell r="J573" t="e">
            <v>#N/A</v>
          </cell>
          <cell r="K573" t="e">
            <v>#N/A</v>
          </cell>
          <cell r="L573" t="e">
            <v>#N/A</v>
          </cell>
          <cell r="M573" t="e">
            <v>#N/A</v>
          </cell>
          <cell r="N573" t="e">
            <v>#N/A</v>
          </cell>
          <cell r="O573" t="e">
            <v>#N/A</v>
          </cell>
          <cell r="P573">
            <v>34.65</v>
          </cell>
          <cell r="Q573" t="str">
            <v/>
          </cell>
          <cell r="R573" t="e">
            <v>#N/A</v>
          </cell>
        </row>
        <row r="574">
          <cell r="A574">
            <v>39983</v>
          </cell>
          <cell r="B574">
            <v>39983</v>
          </cell>
          <cell r="C574" t="str">
            <v>Future</v>
          </cell>
          <cell r="D574" t="e">
            <v>#N/A</v>
          </cell>
          <cell r="E574">
            <v>32.520395256916956</v>
          </cell>
          <cell r="F574">
            <v>35.010513833992107</v>
          </cell>
          <cell r="G574">
            <v>34.417628458497973</v>
          </cell>
          <cell r="H574">
            <v>34.417628458497973</v>
          </cell>
          <cell r="I574" t="e">
            <v>#N/A</v>
          </cell>
          <cell r="J574" t="e">
            <v>#N/A</v>
          </cell>
          <cell r="K574" t="e">
            <v>#N/A</v>
          </cell>
          <cell r="L574" t="e">
            <v>#N/A</v>
          </cell>
          <cell r="M574" t="e">
            <v>#N/A</v>
          </cell>
          <cell r="N574" t="e">
            <v>#N/A</v>
          </cell>
          <cell r="O574" t="e">
            <v>#N/A</v>
          </cell>
          <cell r="P574">
            <v>34.65</v>
          </cell>
          <cell r="Q574" t="str">
            <v/>
          </cell>
          <cell r="R574" t="e">
            <v>#N/A</v>
          </cell>
        </row>
        <row r="575">
          <cell r="A575">
            <v>39986</v>
          </cell>
          <cell r="B575">
            <v>39986</v>
          </cell>
          <cell r="C575" t="str">
            <v>Future</v>
          </cell>
          <cell r="D575" t="e">
            <v>#N/A</v>
          </cell>
          <cell r="E575">
            <v>32.38375494071142</v>
          </cell>
          <cell r="F575">
            <v>35.039881422924914</v>
          </cell>
          <cell r="G575">
            <v>34.407470355731171</v>
          </cell>
          <cell r="H575">
            <v>34.407470355731171</v>
          </cell>
          <cell r="I575" t="e">
            <v>#N/A</v>
          </cell>
          <cell r="J575" t="e">
            <v>#N/A</v>
          </cell>
          <cell r="K575" t="e">
            <v>#N/A</v>
          </cell>
          <cell r="L575" t="e">
            <v>#N/A</v>
          </cell>
          <cell r="M575" t="e">
            <v>#N/A</v>
          </cell>
          <cell r="N575" t="e">
            <v>#N/A</v>
          </cell>
          <cell r="O575" t="e">
            <v>#N/A</v>
          </cell>
          <cell r="P575">
            <v>34.65</v>
          </cell>
          <cell r="Q575" t="str">
            <v/>
          </cell>
          <cell r="R575" t="e">
            <v>#N/A</v>
          </cell>
        </row>
        <row r="576">
          <cell r="A576">
            <v>39987</v>
          </cell>
          <cell r="B576">
            <v>39987</v>
          </cell>
          <cell r="C576" t="str">
            <v>Future</v>
          </cell>
          <cell r="D576" t="e">
            <v>#N/A</v>
          </cell>
          <cell r="E576">
            <v>32.247114624505883</v>
          </cell>
          <cell r="F576">
            <v>35.069249011857721</v>
          </cell>
          <cell r="G576">
            <v>34.397312252964369</v>
          </cell>
          <cell r="H576">
            <v>34.397312252964369</v>
          </cell>
          <cell r="I576" t="e">
            <v>#N/A</v>
          </cell>
          <cell r="J576" t="e">
            <v>#N/A</v>
          </cell>
          <cell r="K576" t="e">
            <v>#N/A</v>
          </cell>
          <cell r="L576" t="e">
            <v>#N/A</v>
          </cell>
          <cell r="M576" t="e">
            <v>#N/A</v>
          </cell>
          <cell r="N576" t="e">
            <v>#N/A</v>
          </cell>
          <cell r="O576" t="e">
            <v>#N/A</v>
          </cell>
          <cell r="P576">
            <v>34.65</v>
          </cell>
          <cell r="Q576" t="str">
            <v/>
          </cell>
          <cell r="R576" t="e">
            <v>#N/A</v>
          </cell>
        </row>
        <row r="577">
          <cell r="A577">
            <v>39988</v>
          </cell>
          <cell r="B577">
            <v>39988</v>
          </cell>
          <cell r="C577" t="str">
            <v>Future</v>
          </cell>
          <cell r="D577" t="e">
            <v>#N/A</v>
          </cell>
          <cell r="E577">
            <v>32.110474308300347</v>
          </cell>
          <cell r="F577">
            <v>35.098616600790528</v>
          </cell>
          <cell r="G577">
            <v>34.387154150197567</v>
          </cell>
          <cell r="H577">
            <v>34.387154150197567</v>
          </cell>
          <cell r="I577" t="e">
            <v>#N/A</v>
          </cell>
          <cell r="J577" t="e">
            <v>#N/A</v>
          </cell>
          <cell r="K577" t="e">
            <v>#N/A</v>
          </cell>
          <cell r="L577" t="e">
            <v>#N/A</v>
          </cell>
          <cell r="M577" t="e">
            <v>#N/A</v>
          </cell>
          <cell r="N577" t="e">
            <v>#N/A</v>
          </cell>
          <cell r="O577" t="e">
            <v>#N/A</v>
          </cell>
          <cell r="P577">
            <v>34.65</v>
          </cell>
          <cell r="Q577" t="str">
            <v/>
          </cell>
          <cell r="R577" t="e">
            <v>#N/A</v>
          </cell>
        </row>
        <row r="578">
          <cell r="A578">
            <v>39989</v>
          </cell>
          <cell r="B578">
            <v>39989</v>
          </cell>
          <cell r="C578" t="str">
            <v>Future</v>
          </cell>
          <cell r="D578" t="e">
            <v>#N/A</v>
          </cell>
          <cell r="E578">
            <v>31.973833992094814</v>
          </cell>
          <cell r="F578">
            <v>35.127984189723335</v>
          </cell>
          <cell r="G578">
            <v>34.376996047430765</v>
          </cell>
          <cell r="H578">
            <v>34.376996047430765</v>
          </cell>
          <cell r="I578" t="e">
            <v>#N/A</v>
          </cell>
          <cell r="J578" t="e">
            <v>#N/A</v>
          </cell>
          <cell r="K578" t="e">
            <v>#N/A</v>
          </cell>
          <cell r="L578" t="e">
            <v>#N/A</v>
          </cell>
          <cell r="M578" t="e">
            <v>#N/A</v>
          </cell>
          <cell r="N578" t="e">
            <v>#N/A</v>
          </cell>
          <cell r="O578" t="e">
            <v>#N/A</v>
          </cell>
          <cell r="P578">
            <v>34.65</v>
          </cell>
          <cell r="Q578" t="str">
            <v/>
          </cell>
          <cell r="R578" t="e">
            <v>#N/A</v>
          </cell>
        </row>
        <row r="579">
          <cell r="A579">
            <v>39990</v>
          </cell>
          <cell r="B579">
            <v>39990</v>
          </cell>
          <cell r="C579" t="str">
            <v>Future</v>
          </cell>
          <cell r="D579" t="e">
            <v>#N/A</v>
          </cell>
          <cell r="E579">
            <v>31.837193675889282</v>
          </cell>
          <cell r="F579">
            <v>35.157351778656142</v>
          </cell>
          <cell r="G579">
            <v>34.366837944663963</v>
          </cell>
          <cell r="H579">
            <v>34.366837944663963</v>
          </cell>
          <cell r="I579" t="e">
            <v>#N/A</v>
          </cell>
          <cell r="J579" t="e">
            <v>#N/A</v>
          </cell>
          <cell r="K579" t="e">
            <v>#N/A</v>
          </cell>
          <cell r="L579" t="e">
            <v>#N/A</v>
          </cell>
          <cell r="M579" t="e">
            <v>#N/A</v>
          </cell>
          <cell r="N579" t="e">
            <v>#N/A</v>
          </cell>
          <cell r="O579" t="e">
            <v>#N/A</v>
          </cell>
          <cell r="P579">
            <v>34.65</v>
          </cell>
          <cell r="Q579" t="str">
            <v/>
          </cell>
          <cell r="R579" t="e">
            <v>#N/A</v>
          </cell>
        </row>
        <row r="580">
          <cell r="A580">
            <v>39993</v>
          </cell>
          <cell r="B580">
            <v>39993</v>
          </cell>
          <cell r="C580" t="str">
            <v>Future</v>
          </cell>
          <cell r="D580" t="e">
            <v>#N/A</v>
          </cell>
          <cell r="E580">
            <v>31.700553359683749</v>
          </cell>
          <cell r="F580">
            <v>35.18671936758895</v>
          </cell>
          <cell r="G580">
            <v>34.356679841897162</v>
          </cell>
          <cell r="H580">
            <v>34.356679841897162</v>
          </cell>
          <cell r="I580" t="e">
            <v>#N/A</v>
          </cell>
          <cell r="J580" t="e">
            <v>#N/A</v>
          </cell>
          <cell r="K580" t="e">
            <v>#N/A</v>
          </cell>
          <cell r="L580" t="e">
            <v>#N/A</v>
          </cell>
          <cell r="M580" t="e">
            <v>#N/A</v>
          </cell>
          <cell r="N580" t="e">
            <v>#N/A</v>
          </cell>
          <cell r="O580" t="e">
            <v>#N/A</v>
          </cell>
          <cell r="P580">
            <v>34.65</v>
          </cell>
          <cell r="Q580" t="str">
            <v/>
          </cell>
          <cell r="R580" t="e">
            <v>#N/A</v>
          </cell>
        </row>
        <row r="581">
          <cell r="A581">
            <v>39994</v>
          </cell>
          <cell r="B581">
            <v>39994</v>
          </cell>
          <cell r="C581" t="str">
            <v>Future</v>
          </cell>
          <cell r="D581" t="e">
            <v>#N/A</v>
          </cell>
          <cell r="E581">
            <v>31.563913043478216</v>
          </cell>
          <cell r="F581">
            <v>35.216086956521757</v>
          </cell>
          <cell r="G581">
            <v>34.34652173913036</v>
          </cell>
          <cell r="H581">
            <v>34.34652173913036</v>
          </cell>
          <cell r="I581" t="e">
            <v>#N/A</v>
          </cell>
          <cell r="J581" t="e">
            <v>#N/A</v>
          </cell>
          <cell r="K581" t="e">
            <v>#N/A</v>
          </cell>
          <cell r="L581" t="e">
            <v>#N/A</v>
          </cell>
          <cell r="M581" t="e">
            <v>#N/A</v>
          </cell>
          <cell r="N581" t="e">
            <v>#N/A</v>
          </cell>
          <cell r="O581" t="e">
            <v>#N/A</v>
          </cell>
          <cell r="P581">
            <v>34.65</v>
          </cell>
          <cell r="Q581" t="str">
            <v/>
          </cell>
          <cell r="R581" t="e">
            <v>#N/A</v>
          </cell>
        </row>
        <row r="582">
          <cell r="A582">
            <v>39995</v>
          </cell>
          <cell r="B582">
            <v>39995</v>
          </cell>
          <cell r="C582" t="str">
            <v>Future</v>
          </cell>
          <cell r="D582" t="e">
            <v>#N/A</v>
          </cell>
          <cell r="E582">
            <v>31.427272727272683</v>
          </cell>
          <cell r="F582">
            <v>35.245454545454564</v>
          </cell>
          <cell r="G582">
            <v>34.336363636363558</v>
          </cell>
          <cell r="H582">
            <v>34.336363636363558</v>
          </cell>
          <cell r="I582" t="e">
            <v>#N/A</v>
          </cell>
          <cell r="J582" t="e">
            <v>#N/A</v>
          </cell>
          <cell r="K582" t="e">
            <v>#N/A</v>
          </cell>
          <cell r="L582" t="e">
            <v>#N/A</v>
          </cell>
          <cell r="M582" t="e">
            <v>#N/A</v>
          </cell>
          <cell r="N582" t="e">
            <v>#N/A</v>
          </cell>
          <cell r="O582" t="e">
            <v>#N/A</v>
          </cell>
          <cell r="P582">
            <v>34.65</v>
          </cell>
          <cell r="Q582" t="str">
            <v/>
          </cell>
          <cell r="R582" t="e">
            <v>#N/A</v>
          </cell>
        </row>
        <row r="583">
          <cell r="A583">
            <v>39996</v>
          </cell>
          <cell r="B583">
            <v>39996</v>
          </cell>
          <cell r="C583" t="str">
            <v>Future</v>
          </cell>
          <cell r="D583" t="e">
            <v>#N/A</v>
          </cell>
          <cell r="E583">
            <v>31.290632411067151</v>
          </cell>
          <cell r="F583">
            <v>35.274822134387371</v>
          </cell>
          <cell r="G583">
            <v>34.326205533596756</v>
          </cell>
          <cell r="H583">
            <v>34.326205533596756</v>
          </cell>
          <cell r="I583" t="e">
            <v>#N/A</v>
          </cell>
          <cell r="J583" t="e">
            <v>#N/A</v>
          </cell>
          <cell r="K583" t="e">
            <v>#N/A</v>
          </cell>
          <cell r="L583" t="e">
            <v>#N/A</v>
          </cell>
          <cell r="M583" t="e">
            <v>#N/A</v>
          </cell>
          <cell r="N583" t="e">
            <v>#N/A</v>
          </cell>
          <cell r="O583" t="e">
            <v>#N/A</v>
          </cell>
          <cell r="P583">
            <v>34.65</v>
          </cell>
          <cell r="Q583" t="str">
            <v/>
          </cell>
          <cell r="R583" t="e">
            <v>#N/A</v>
          </cell>
        </row>
        <row r="584">
          <cell r="A584">
            <v>40000</v>
          </cell>
          <cell r="B584">
            <v>40000</v>
          </cell>
          <cell r="C584" t="str">
            <v>Future</v>
          </cell>
          <cell r="D584" t="e">
            <v>#N/A</v>
          </cell>
          <cell r="E584">
            <v>31.153992094861618</v>
          </cell>
          <cell r="F584">
            <v>35.304189723320178</v>
          </cell>
          <cell r="G584">
            <v>34.316047430829954</v>
          </cell>
          <cell r="H584">
            <v>34.316047430829954</v>
          </cell>
          <cell r="I584" t="e">
            <v>#N/A</v>
          </cell>
          <cell r="J584" t="e">
            <v>#N/A</v>
          </cell>
          <cell r="K584" t="e">
            <v>#N/A</v>
          </cell>
          <cell r="L584" t="e">
            <v>#N/A</v>
          </cell>
          <cell r="M584" t="e">
            <v>#N/A</v>
          </cell>
          <cell r="N584" t="e">
            <v>#N/A</v>
          </cell>
          <cell r="O584" t="e">
            <v>#N/A</v>
          </cell>
          <cell r="P584">
            <v>34.65</v>
          </cell>
          <cell r="Q584" t="str">
            <v/>
          </cell>
          <cell r="R584" t="e">
            <v>#N/A</v>
          </cell>
        </row>
        <row r="585">
          <cell r="A585">
            <v>40001</v>
          </cell>
          <cell r="B585">
            <v>40001</v>
          </cell>
          <cell r="C585" t="str">
            <v>Future</v>
          </cell>
          <cell r="D585" t="e">
            <v>#N/A</v>
          </cell>
          <cell r="E585">
            <v>31.017351778656085</v>
          </cell>
          <cell r="F585">
            <v>35.333557312252985</v>
          </cell>
          <cell r="G585">
            <v>34.305889328063152</v>
          </cell>
          <cell r="H585">
            <v>34.305889328063152</v>
          </cell>
          <cell r="I585" t="e">
            <v>#N/A</v>
          </cell>
          <cell r="J585" t="e">
            <v>#N/A</v>
          </cell>
          <cell r="K585" t="e">
            <v>#N/A</v>
          </cell>
          <cell r="L585" t="e">
            <v>#N/A</v>
          </cell>
          <cell r="M585" t="e">
            <v>#N/A</v>
          </cell>
          <cell r="N585" t="e">
            <v>#N/A</v>
          </cell>
          <cell r="O585" t="e">
            <v>#N/A</v>
          </cell>
          <cell r="P585">
            <v>34.65</v>
          </cell>
          <cell r="Q585" t="str">
            <v/>
          </cell>
          <cell r="R585" t="e">
            <v>#N/A</v>
          </cell>
        </row>
        <row r="586">
          <cell r="A586">
            <v>40002</v>
          </cell>
          <cell r="B586">
            <v>40002</v>
          </cell>
          <cell r="C586" t="str">
            <v>Future</v>
          </cell>
          <cell r="D586" t="e">
            <v>#N/A</v>
          </cell>
          <cell r="E586">
            <v>30.880711462450552</v>
          </cell>
          <cell r="F586">
            <v>35.362924901185792</v>
          </cell>
          <cell r="G586">
            <v>34.29573122529635</v>
          </cell>
          <cell r="H586">
            <v>34.29573122529635</v>
          </cell>
          <cell r="I586" t="e">
            <v>#N/A</v>
          </cell>
          <cell r="J586" t="e">
            <v>#N/A</v>
          </cell>
          <cell r="K586" t="e">
            <v>#N/A</v>
          </cell>
          <cell r="L586" t="e">
            <v>#N/A</v>
          </cell>
          <cell r="M586" t="e">
            <v>#N/A</v>
          </cell>
          <cell r="N586" t="e">
            <v>#N/A</v>
          </cell>
          <cell r="O586" t="e">
            <v>#N/A</v>
          </cell>
          <cell r="P586">
            <v>34.65</v>
          </cell>
          <cell r="Q586" t="str">
            <v/>
          </cell>
          <cell r="R586" t="e">
            <v>#N/A</v>
          </cell>
        </row>
        <row r="587">
          <cell r="A587">
            <v>40003</v>
          </cell>
          <cell r="B587">
            <v>40003</v>
          </cell>
          <cell r="C587" t="str">
            <v>Future</v>
          </cell>
          <cell r="D587" t="e">
            <v>#N/A</v>
          </cell>
          <cell r="E587">
            <v>30.74407114624502</v>
          </cell>
          <cell r="F587">
            <v>35.392292490118599</v>
          </cell>
          <cell r="G587">
            <v>34.285573122529549</v>
          </cell>
          <cell r="H587">
            <v>34.285573122529549</v>
          </cell>
          <cell r="I587" t="e">
            <v>#N/A</v>
          </cell>
          <cell r="J587" t="e">
            <v>#N/A</v>
          </cell>
          <cell r="K587" t="e">
            <v>#N/A</v>
          </cell>
          <cell r="L587" t="e">
            <v>#N/A</v>
          </cell>
          <cell r="M587" t="e">
            <v>#N/A</v>
          </cell>
          <cell r="N587" t="e">
            <v>#N/A</v>
          </cell>
          <cell r="O587" t="e">
            <v>#N/A</v>
          </cell>
          <cell r="P587">
            <v>34.65</v>
          </cell>
          <cell r="Q587" t="str">
            <v/>
          </cell>
          <cell r="R587" t="e">
            <v>#N/A</v>
          </cell>
        </row>
        <row r="588">
          <cell r="A588">
            <v>40004</v>
          </cell>
          <cell r="B588">
            <v>40004</v>
          </cell>
          <cell r="C588" t="str">
            <v>Future</v>
          </cell>
          <cell r="D588" t="e">
            <v>#N/A</v>
          </cell>
          <cell r="E588">
            <v>30.607430830039487</v>
          </cell>
          <cell r="F588">
            <v>35.421660079051406</v>
          </cell>
          <cell r="G588">
            <v>34.275415019762747</v>
          </cell>
          <cell r="H588">
            <v>34.275415019762747</v>
          </cell>
          <cell r="I588" t="e">
            <v>#N/A</v>
          </cell>
          <cell r="J588" t="e">
            <v>#N/A</v>
          </cell>
          <cell r="K588" t="e">
            <v>#N/A</v>
          </cell>
          <cell r="L588" t="e">
            <v>#N/A</v>
          </cell>
          <cell r="M588" t="e">
            <v>#N/A</v>
          </cell>
          <cell r="N588" t="e">
            <v>#N/A</v>
          </cell>
          <cell r="O588" t="e">
            <v>#N/A</v>
          </cell>
          <cell r="P588">
            <v>34.65</v>
          </cell>
          <cell r="Q588" t="str">
            <v/>
          </cell>
          <cell r="R588" t="e">
            <v>#N/A</v>
          </cell>
        </row>
        <row r="589">
          <cell r="A589">
            <v>40007</v>
          </cell>
          <cell r="B589">
            <v>40007</v>
          </cell>
          <cell r="C589" t="str">
            <v>Future</v>
          </cell>
          <cell r="D589" t="e">
            <v>#N/A</v>
          </cell>
          <cell r="E589">
            <v>30.470790513833954</v>
          </cell>
          <cell r="F589">
            <v>35.451027667984214</v>
          </cell>
          <cell r="G589">
            <v>34.265256916995945</v>
          </cell>
          <cell r="H589">
            <v>34.265256916995945</v>
          </cell>
          <cell r="I589" t="e">
            <v>#N/A</v>
          </cell>
          <cell r="J589" t="e">
            <v>#N/A</v>
          </cell>
          <cell r="K589" t="e">
            <v>#N/A</v>
          </cell>
          <cell r="L589" t="e">
            <v>#N/A</v>
          </cell>
          <cell r="M589" t="e">
            <v>#N/A</v>
          </cell>
          <cell r="N589" t="e">
            <v>#N/A</v>
          </cell>
          <cell r="O589" t="e">
            <v>#N/A</v>
          </cell>
          <cell r="P589">
            <v>34.65</v>
          </cell>
          <cell r="Q589" t="str">
            <v/>
          </cell>
          <cell r="R589" t="e">
            <v>#N/A</v>
          </cell>
        </row>
        <row r="590">
          <cell r="A590">
            <v>40008</v>
          </cell>
          <cell r="B590">
            <v>40008</v>
          </cell>
          <cell r="C590" t="str">
            <v>Future</v>
          </cell>
          <cell r="D590" t="e">
            <v>#N/A</v>
          </cell>
          <cell r="E590">
            <v>30.334150197628421</v>
          </cell>
          <cell r="F590">
            <v>35.480395256917021</v>
          </cell>
          <cell r="G590">
            <v>34.255098814229143</v>
          </cell>
          <cell r="H590">
            <v>34.255098814229143</v>
          </cell>
          <cell r="I590" t="e">
            <v>#N/A</v>
          </cell>
          <cell r="J590" t="e">
            <v>#N/A</v>
          </cell>
          <cell r="K590" t="e">
            <v>#N/A</v>
          </cell>
          <cell r="L590" t="e">
            <v>#N/A</v>
          </cell>
          <cell r="M590" t="e">
            <v>#N/A</v>
          </cell>
          <cell r="N590" t="e">
            <v>#N/A</v>
          </cell>
          <cell r="O590" t="e">
            <v>#N/A</v>
          </cell>
          <cell r="P590">
            <v>34.65</v>
          </cell>
          <cell r="Q590" t="str">
            <v/>
          </cell>
          <cell r="R590" t="e">
            <v>#N/A</v>
          </cell>
        </row>
        <row r="591">
          <cell r="A591">
            <v>40009</v>
          </cell>
          <cell r="B591">
            <v>40009</v>
          </cell>
          <cell r="C591" t="str">
            <v>Future</v>
          </cell>
          <cell r="D591" t="e">
            <v>#N/A</v>
          </cell>
          <cell r="E591">
            <v>30.197509881422889</v>
          </cell>
          <cell r="F591">
            <v>35.509762845849828</v>
          </cell>
          <cell r="G591">
            <v>34.244940711462341</v>
          </cell>
          <cell r="H591">
            <v>34.244940711462341</v>
          </cell>
          <cell r="I591" t="e">
            <v>#N/A</v>
          </cell>
          <cell r="J591" t="e">
            <v>#N/A</v>
          </cell>
          <cell r="K591" t="e">
            <v>#N/A</v>
          </cell>
          <cell r="L591" t="e">
            <v>#N/A</v>
          </cell>
          <cell r="M591" t="e">
            <v>#N/A</v>
          </cell>
          <cell r="N591" t="e">
            <v>#N/A</v>
          </cell>
          <cell r="O591" t="e">
            <v>#N/A</v>
          </cell>
          <cell r="P591">
            <v>34.65</v>
          </cell>
          <cell r="Q591" t="str">
            <v/>
          </cell>
          <cell r="R591" t="e">
            <v>#N/A</v>
          </cell>
        </row>
        <row r="592">
          <cell r="A592">
            <v>40010</v>
          </cell>
          <cell r="B592">
            <v>40010</v>
          </cell>
          <cell r="C592" t="str">
            <v>Future</v>
          </cell>
          <cell r="D592" t="e">
            <v>#N/A</v>
          </cell>
          <cell r="E592">
            <v>30.060869565217356</v>
          </cell>
          <cell r="F592">
            <v>35.539130434782635</v>
          </cell>
          <cell r="G592">
            <v>34.234782608695539</v>
          </cell>
          <cell r="H592">
            <v>34.234782608695539</v>
          </cell>
          <cell r="I592" t="e">
            <v>#N/A</v>
          </cell>
          <cell r="J592" t="e">
            <v>#N/A</v>
          </cell>
          <cell r="K592" t="e">
            <v>#N/A</v>
          </cell>
          <cell r="L592" t="e">
            <v>#N/A</v>
          </cell>
          <cell r="M592" t="e">
            <v>#N/A</v>
          </cell>
          <cell r="N592" t="e">
            <v>#N/A</v>
          </cell>
          <cell r="O592" t="e">
            <v>#N/A</v>
          </cell>
          <cell r="P592">
            <v>34.65</v>
          </cell>
          <cell r="Q592" t="str">
            <v/>
          </cell>
          <cell r="R592" t="e">
            <v>#N/A</v>
          </cell>
        </row>
        <row r="593">
          <cell r="A593">
            <v>40011</v>
          </cell>
          <cell r="B593">
            <v>40011</v>
          </cell>
          <cell r="C593" t="str">
            <v>Future</v>
          </cell>
          <cell r="D593" t="e">
            <v>#N/A</v>
          </cell>
          <cell r="E593">
            <v>29.924229249011823</v>
          </cell>
          <cell r="F593">
            <v>35.568498023715442</v>
          </cell>
          <cell r="G593">
            <v>34.224624505928738</v>
          </cell>
          <cell r="H593">
            <v>34.224624505928738</v>
          </cell>
          <cell r="I593" t="e">
            <v>#N/A</v>
          </cell>
          <cell r="J593" t="e">
            <v>#N/A</v>
          </cell>
          <cell r="K593" t="e">
            <v>#N/A</v>
          </cell>
          <cell r="L593" t="e">
            <v>#N/A</v>
          </cell>
          <cell r="M593" t="e">
            <v>#N/A</v>
          </cell>
          <cell r="N593" t="e">
            <v>#N/A</v>
          </cell>
          <cell r="O593" t="e">
            <v>#N/A</v>
          </cell>
          <cell r="P593">
            <v>34.65</v>
          </cell>
          <cell r="Q593" t="str">
            <v/>
          </cell>
          <cell r="R593" t="e">
            <v>#N/A</v>
          </cell>
        </row>
        <row r="594">
          <cell r="A594">
            <v>40014</v>
          </cell>
          <cell r="B594">
            <v>40014</v>
          </cell>
          <cell r="C594" t="str">
            <v>Future</v>
          </cell>
          <cell r="D594" t="e">
            <v>#N/A</v>
          </cell>
          <cell r="E594">
            <v>29.78758893280629</v>
          </cell>
          <cell r="F594">
            <v>35.597865612648249</v>
          </cell>
          <cell r="G594">
            <v>34.214466403161936</v>
          </cell>
          <cell r="H594">
            <v>34.214466403161936</v>
          </cell>
          <cell r="I594" t="e">
            <v>#N/A</v>
          </cell>
          <cell r="J594" t="e">
            <v>#N/A</v>
          </cell>
          <cell r="K594" t="e">
            <v>#N/A</v>
          </cell>
          <cell r="L594" t="e">
            <v>#N/A</v>
          </cell>
          <cell r="M594" t="e">
            <v>#N/A</v>
          </cell>
          <cell r="N594" t="e">
            <v>#N/A</v>
          </cell>
          <cell r="O594" t="e">
            <v>#N/A</v>
          </cell>
          <cell r="P594">
            <v>34.65</v>
          </cell>
          <cell r="Q594" t="str">
            <v/>
          </cell>
          <cell r="R594" t="e">
            <v>#N/A</v>
          </cell>
        </row>
        <row r="595">
          <cell r="A595">
            <v>40015</v>
          </cell>
          <cell r="B595">
            <v>40015</v>
          </cell>
          <cell r="C595" t="str">
            <v>Future</v>
          </cell>
          <cell r="D595" t="e">
            <v>#N/A</v>
          </cell>
          <cell r="E595">
            <v>29.650948616600758</v>
          </cell>
          <cell r="F595">
            <v>35.627233201581056</v>
          </cell>
          <cell r="G595">
            <v>34.204308300395134</v>
          </cell>
          <cell r="H595">
            <v>34.204308300395134</v>
          </cell>
          <cell r="I595" t="e">
            <v>#N/A</v>
          </cell>
          <cell r="J595" t="e">
            <v>#N/A</v>
          </cell>
          <cell r="K595" t="e">
            <v>#N/A</v>
          </cell>
          <cell r="L595" t="e">
            <v>#N/A</v>
          </cell>
          <cell r="M595" t="e">
            <v>#N/A</v>
          </cell>
          <cell r="N595" t="e">
            <v>#N/A</v>
          </cell>
          <cell r="O595" t="e">
            <v>#N/A</v>
          </cell>
          <cell r="P595">
            <v>34.65</v>
          </cell>
          <cell r="Q595" t="str">
            <v/>
          </cell>
          <cell r="R595" t="e">
            <v>#N/A</v>
          </cell>
        </row>
        <row r="596">
          <cell r="A596">
            <v>40016</v>
          </cell>
          <cell r="B596">
            <v>40016</v>
          </cell>
          <cell r="C596" t="str">
            <v>Future</v>
          </cell>
          <cell r="D596" t="e">
            <v>#N/A</v>
          </cell>
          <cell r="E596">
            <v>29.514308300395225</v>
          </cell>
          <cell r="F596">
            <v>35.656600790513863</v>
          </cell>
          <cell r="G596">
            <v>34.194150197628332</v>
          </cell>
          <cell r="H596">
            <v>34.194150197628332</v>
          </cell>
          <cell r="I596" t="e">
            <v>#N/A</v>
          </cell>
          <cell r="J596" t="e">
            <v>#N/A</v>
          </cell>
          <cell r="K596" t="e">
            <v>#N/A</v>
          </cell>
          <cell r="L596" t="e">
            <v>#N/A</v>
          </cell>
          <cell r="M596" t="e">
            <v>#N/A</v>
          </cell>
          <cell r="N596" t="e">
            <v>#N/A</v>
          </cell>
          <cell r="O596" t="e">
            <v>#N/A</v>
          </cell>
          <cell r="P596">
            <v>34.65</v>
          </cell>
          <cell r="Q596" t="str">
            <v/>
          </cell>
          <cell r="R596" t="e">
            <v>#N/A</v>
          </cell>
        </row>
        <row r="597">
          <cell r="A597">
            <v>40017</v>
          </cell>
          <cell r="B597">
            <v>40017</v>
          </cell>
          <cell r="C597" t="str">
            <v>Future</v>
          </cell>
          <cell r="D597" t="e">
            <v>#N/A</v>
          </cell>
          <cell r="E597">
            <v>29.377667984189692</v>
          </cell>
          <cell r="F597">
            <v>35.68596837944667</v>
          </cell>
          <cell r="G597">
            <v>34.18399209486153</v>
          </cell>
          <cell r="H597">
            <v>34.18399209486153</v>
          </cell>
          <cell r="I597" t="e">
            <v>#N/A</v>
          </cell>
          <cell r="J597" t="e">
            <v>#N/A</v>
          </cell>
          <cell r="K597" t="e">
            <v>#N/A</v>
          </cell>
          <cell r="L597" t="e">
            <v>#N/A</v>
          </cell>
          <cell r="M597" t="e">
            <v>#N/A</v>
          </cell>
          <cell r="N597" t="e">
            <v>#N/A</v>
          </cell>
          <cell r="O597" t="e">
            <v>#N/A</v>
          </cell>
          <cell r="P597">
            <v>34.65</v>
          </cell>
          <cell r="Q597" t="str">
            <v/>
          </cell>
          <cell r="R597" t="e">
            <v>#N/A</v>
          </cell>
        </row>
        <row r="598">
          <cell r="A598">
            <v>40018</v>
          </cell>
          <cell r="B598">
            <v>40018</v>
          </cell>
          <cell r="C598" t="str">
            <v>Future</v>
          </cell>
          <cell r="D598" t="e">
            <v>#N/A</v>
          </cell>
          <cell r="E598">
            <v>29.241027667984159</v>
          </cell>
          <cell r="F598">
            <v>35.715335968379478</v>
          </cell>
          <cell r="G598">
            <v>34.173833992094728</v>
          </cell>
          <cell r="H598">
            <v>34.173833992094728</v>
          </cell>
          <cell r="I598" t="e">
            <v>#N/A</v>
          </cell>
          <cell r="J598" t="e">
            <v>#N/A</v>
          </cell>
          <cell r="K598" t="e">
            <v>#N/A</v>
          </cell>
          <cell r="L598" t="e">
            <v>#N/A</v>
          </cell>
          <cell r="M598" t="e">
            <v>#N/A</v>
          </cell>
          <cell r="N598" t="e">
            <v>#N/A</v>
          </cell>
          <cell r="O598" t="e">
            <v>#N/A</v>
          </cell>
          <cell r="P598">
            <v>34.65</v>
          </cell>
          <cell r="Q598" t="str">
            <v/>
          </cell>
          <cell r="R598" t="e">
            <v>#N/A</v>
          </cell>
        </row>
        <row r="599">
          <cell r="A599">
            <v>40021</v>
          </cell>
          <cell r="B599">
            <v>40021</v>
          </cell>
          <cell r="C599" t="str">
            <v>Future</v>
          </cell>
          <cell r="D599" t="e">
            <v>#N/A</v>
          </cell>
          <cell r="E599">
            <v>29.104387351778627</v>
          </cell>
          <cell r="F599">
            <v>35.744703557312285</v>
          </cell>
          <cell r="G599">
            <v>34.163675889327926</v>
          </cell>
          <cell r="H599">
            <v>34.163675889327926</v>
          </cell>
          <cell r="I599" t="e">
            <v>#N/A</v>
          </cell>
          <cell r="J599" t="e">
            <v>#N/A</v>
          </cell>
          <cell r="K599" t="e">
            <v>#N/A</v>
          </cell>
          <cell r="L599" t="e">
            <v>#N/A</v>
          </cell>
          <cell r="M599" t="e">
            <v>#N/A</v>
          </cell>
          <cell r="N599" t="e">
            <v>#N/A</v>
          </cell>
          <cell r="O599" t="e">
            <v>#N/A</v>
          </cell>
          <cell r="P599">
            <v>34.65</v>
          </cell>
          <cell r="Q599" t="str">
            <v/>
          </cell>
          <cell r="R599" t="e">
            <v>#N/A</v>
          </cell>
        </row>
        <row r="600">
          <cell r="A600">
            <v>40022</v>
          </cell>
          <cell r="B600">
            <v>40022</v>
          </cell>
          <cell r="C600" t="str">
            <v>Future</v>
          </cell>
          <cell r="D600" t="e">
            <v>#N/A</v>
          </cell>
          <cell r="E600">
            <v>28.967747035573094</v>
          </cell>
          <cell r="F600">
            <v>35.774071146245092</v>
          </cell>
          <cell r="G600">
            <v>34.153517786561125</v>
          </cell>
          <cell r="H600">
            <v>34.153517786561125</v>
          </cell>
          <cell r="I600" t="e">
            <v>#N/A</v>
          </cell>
          <cell r="J600" t="e">
            <v>#N/A</v>
          </cell>
          <cell r="K600" t="e">
            <v>#N/A</v>
          </cell>
          <cell r="L600" t="e">
            <v>#N/A</v>
          </cell>
          <cell r="M600" t="e">
            <v>#N/A</v>
          </cell>
          <cell r="N600" t="e">
            <v>#N/A</v>
          </cell>
          <cell r="O600" t="e">
            <v>#N/A</v>
          </cell>
          <cell r="P600">
            <v>34.65</v>
          </cell>
          <cell r="Q600" t="str">
            <v/>
          </cell>
          <cell r="R600" t="e">
            <v>#N/A</v>
          </cell>
        </row>
        <row r="601">
          <cell r="A601">
            <v>40023</v>
          </cell>
          <cell r="B601">
            <v>40023</v>
          </cell>
          <cell r="C601" t="str">
            <v>Future</v>
          </cell>
          <cell r="D601" t="e">
            <v>#N/A</v>
          </cell>
          <cell r="E601">
            <v>28.831106719367561</v>
          </cell>
          <cell r="F601">
            <v>35.803438735177899</v>
          </cell>
          <cell r="G601">
            <v>34.143359683794323</v>
          </cell>
          <cell r="H601">
            <v>34.143359683794323</v>
          </cell>
          <cell r="I601" t="e">
            <v>#N/A</v>
          </cell>
          <cell r="J601" t="e">
            <v>#N/A</v>
          </cell>
          <cell r="K601" t="e">
            <v>#N/A</v>
          </cell>
          <cell r="L601" t="e">
            <v>#N/A</v>
          </cell>
          <cell r="M601" t="e">
            <v>#N/A</v>
          </cell>
          <cell r="N601" t="e">
            <v>#N/A</v>
          </cell>
          <cell r="O601" t="e">
            <v>#N/A</v>
          </cell>
          <cell r="P601">
            <v>34.65</v>
          </cell>
          <cell r="Q601" t="str">
            <v/>
          </cell>
          <cell r="R601" t="e">
            <v>#N/A</v>
          </cell>
        </row>
        <row r="602">
          <cell r="A602">
            <v>40024</v>
          </cell>
          <cell r="B602">
            <v>40024</v>
          </cell>
          <cell r="C602" t="str">
            <v>Future</v>
          </cell>
          <cell r="D602" t="e">
            <v>#N/A</v>
          </cell>
          <cell r="E602">
            <v>28.694466403162028</v>
          </cell>
          <cell r="F602">
            <v>35.832806324110706</v>
          </cell>
          <cell r="G602">
            <v>34.133201581027521</v>
          </cell>
          <cell r="H602">
            <v>34.133201581027521</v>
          </cell>
          <cell r="I602" t="e">
            <v>#N/A</v>
          </cell>
          <cell r="J602" t="e">
            <v>#N/A</v>
          </cell>
          <cell r="K602" t="e">
            <v>#N/A</v>
          </cell>
          <cell r="L602" t="e">
            <v>#N/A</v>
          </cell>
          <cell r="M602" t="e">
            <v>#N/A</v>
          </cell>
          <cell r="N602" t="e">
            <v>#N/A</v>
          </cell>
          <cell r="O602" t="e">
            <v>#N/A</v>
          </cell>
          <cell r="P602">
            <v>34.65</v>
          </cell>
          <cell r="Q602" t="str">
            <v/>
          </cell>
          <cell r="R602" t="e">
            <v>#N/A</v>
          </cell>
        </row>
        <row r="603">
          <cell r="A603">
            <v>40025</v>
          </cell>
          <cell r="B603">
            <v>40025</v>
          </cell>
          <cell r="C603" t="str">
            <v>Future</v>
          </cell>
          <cell r="D603" t="e">
            <v>#N/A</v>
          </cell>
          <cell r="E603">
            <v>28.557826086956496</v>
          </cell>
          <cell r="F603">
            <v>35.862173913043513</v>
          </cell>
          <cell r="G603">
            <v>34.123043478260719</v>
          </cell>
          <cell r="H603">
            <v>34.123043478260719</v>
          </cell>
          <cell r="I603" t="e">
            <v>#N/A</v>
          </cell>
          <cell r="J603" t="e">
            <v>#N/A</v>
          </cell>
          <cell r="K603" t="e">
            <v>#N/A</v>
          </cell>
          <cell r="L603" t="e">
            <v>#N/A</v>
          </cell>
          <cell r="M603" t="e">
            <v>#N/A</v>
          </cell>
          <cell r="N603" t="e">
            <v>#N/A</v>
          </cell>
          <cell r="O603" t="e">
            <v>#N/A</v>
          </cell>
          <cell r="P603">
            <v>34.65</v>
          </cell>
          <cell r="Q603" t="str">
            <v/>
          </cell>
          <cell r="R603" t="e">
            <v>#N/A</v>
          </cell>
        </row>
        <row r="604">
          <cell r="A604">
            <v>40028</v>
          </cell>
          <cell r="B604">
            <v>40028</v>
          </cell>
          <cell r="C604" t="str">
            <v>Future</v>
          </cell>
          <cell r="D604" t="e">
            <v>#N/A</v>
          </cell>
          <cell r="E604">
            <v>28.421185770750963</v>
          </cell>
          <cell r="F604">
            <v>35.89154150197632</v>
          </cell>
          <cell r="G604">
            <v>34.112885375493917</v>
          </cell>
          <cell r="H604">
            <v>34.112885375493917</v>
          </cell>
          <cell r="I604" t="e">
            <v>#N/A</v>
          </cell>
          <cell r="J604" t="e">
            <v>#N/A</v>
          </cell>
          <cell r="K604" t="e">
            <v>#N/A</v>
          </cell>
          <cell r="L604" t="e">
            <v>#N/A</v>
          </cell>
          <cell r="M604" t="e">
            <v>#N/A</v>
          </cell>
          <cell r="N604" t="e">
            <v>#N/A</v>
          </cell>
          <cell r="O604" t="e">
            <v>#N/A</v>
          </cell>
          <cell r="P604">
            <v>34.65</v>
          </cell>
          <cell r="Q604" t="str">
            <v/>
          </cell>
          <cell r="R604" t="e">
            <v>#N/A</v>
          </cell>
        </row>
        <row r="605">
          <cell r="A605">
            <v>40029</v>
          </cell>
          <cell r="B605">
            <v>40029</v>
          </cell>
          <cell r="C605" t="str">
            <v>Future</v>
          </cell>
          <cell r="D605" t="e">
            <v>#N/A</v>
          </cell>
          <cell r="E605">
            <v>28.28454545454543</v>
          </cell>
          <cell r="F605">
            <v>35.920909090909127</v>
          </cell>
          <cell r="G605">
            <v>34.102727272727115</v>
          </cell>
          <cell r="H605">
            <v>34.102727272727115</v>
          </cell>
          <cell r="I605" t="e">
            <v>#N/A</v>
          </cell>
          <cell r="J605" t="e">
            <v>#N/A</v>
          </cell>
          <cell r="K605" t="e">
            <v>#N/A</v>
          </cell>
          <cell r="L605" t="e">
            <v>#N/A</v>
          </cell>
          <cell r="M605" t="e">
            <v>#N/A</v>
          </cell>
          <cell r="N605" t="e">
            <v>#N/A</v>
          </cell>
          <cell r="O605" t="e">
            <v>#N/A</v>
          </cell>
          <cell r="P605">
            <v>34.65</v>
          </cell>
          <cell r="Q605" t="str">
            <v/>
          </cell>
          <cell r="R605" t="e">
            <v>#N/A</v>
          </cell>
        </row>
        <row r="606">
          <cell r="A606">
            <v>40030</v>
          </cell>
          <cell r="B606">
            <v>40030</v>
          </cell>
          <cell r="C606" t="str">
            <v>Future</v>
          </cell>
          <cell r="D606" t="e">
            <v>#N/A</v>
          </cell>
          <cell r="E606">
            <v>28.147905138339897</v>
          </cell>
          <cell r="F606">
            <v>35.950276679841934</v>
          </cell>
          <cell r="G606">
            <v>34.092569169960314</v>
          </cell>
          <cell r="H606">
            <v>34.092569169960314</v>
          </cell>
          <cell r="I606" t="e">
            <v>#N/A</v>
          </cell>
          <cell r="J606" t="e">
            <v>#N/A</v>
          </cell>
          <cell r="K606" t="e">
            <v>#N/A</v>
          </cell>
          <cell r="L606" t="e">
            <v>#N/A</v>
          </cell>
          <cell r="M606" t="e">
            <v>#N/A</v>
          </cell>
          <cell r="N606" t="e">
            <v>#N/A</v>
          </cell>
          <cell r="O606" t="e">
            <v>#N/A</v>
          </cell>
          <cell r="P606">
            <v>34.65</v>
          </cell>
          <cell r="Q606" t="str">
            <v/>
          </cell>
          <cell r="R606" t="e">
            <v>#N/A</v>
          </cell>
        </row>
        <row r="607">
          <cell r="A607">
            <v>40031</v>
          </cell>
          <cell r="B607">
            <v>40031</v>
          </cell>
          <cell r="C607" t="str">
            <v>Future</v>
          </cell>
          <cell r="D607" t="e">
            <v>#N/A</v>
          </cell>
          <cell r="E607">
            <v>28.011264822134365</v>
          </cell>
          <cell r="F607">
            <v>35.979644268774742</v>
          </cell>
          <cell r="G607">
            <v>34.082411067193512</v>
          </cell>
          <cell r="H607">
            <v>34.082411067193512</v>
          </cell>
          <cell r="I607" t="e">
            <v>#N/A</v>
          </cell>
          <cell r="J607" t="e">
            <v>#N/A</v>
          </cell>
          <cell r="K607" t="e">
            <v>#N/A</v>
          </cell>
          <cell r="L607" t="e">
            <v>#N/A</v>
          </cell>
          <cell r="M607" t="e">
            <v>#N/A</v>
          </cell>
          <cell r="N607" t="e">
            <v>#N/A</v>
          </cell>
          <cell r="O607" t="e">
            <v>#N/A</v>
          </cell>
          <cell r="P607">
            <v>34.65</v>
          </cell>
          <cell r="Q607" t="str">
            <v/>
          </cell>
          <cell r="R607" t="e">
            <v>#N/A</v>
          </cell>
        </row>
        <row r="608">
          <cell r="A608">
            <v>40032</v>
          </cell>
          <cell r="B608">
            <v>40032</v>
          </cell>
          <cell r="C608" t="str">
            <v>Future</v>
          </cell>
          <cell r="D608" t="e">
            <v>#N/A</v>
          </cell>
          <cell r="E608">
            <v>27.874624505928832</v>
          </cell>
          <cell r="F608">
            <v>36.009011857707549</v>
          </cell>
          <cell r="G608">
            <v>34.07225296442671</v>
          </cell>
          <cell r="H608">
            <v>34.07225296442671</v>
          </cell>
          <cell r="I608" t="e">
            <v>#N/A</v>
          </cell>
          <cell r="J608" t="e">
            <v>#N/A</v>
          </cell>
          <cell r="K608" t="e">
            <v>#N/A</v>
          </cell>
          <cell r="L608" t="e">
            <v>#N/A</v>
          </cell>
          <cell r="M608" t="e">
            <v>#N/A</v>
          </cell>
          <cell r="N608" t="e">
            <v>#N/A</v>
          </cell>
          <cell r="O608" t="e">
            <v>#N/A</v>
          </cell>
          <cell r="P608">
            <v>34.65</v>
          </cell>
          <cell r="Q608" t="str">
            <v/>
          </cell>
          <cell r="R608" t="e">
            <v>#N/A</v>
          </cell>
        </row>
        <row r="609">
          <cell r="A609">
            <v>40035</v>
          </cell>
          <cell r="B609">
            <v>40035</v>
          </cell>
          <cell r="C609" t="str">
            <v>Future</v>
          </cell>
          <cell r="D609" t="e">
            <v>#N/A</v>
          </cell>
          <cell r="E609">
            <v>27.737984189723299</v>
          </cell>
          <cell r="F609">
            <v>36.038379446640356</v>
          </cell>
          <cell r="G609">
            <v>34.062094861659908</v>
          </cell>
          <cell r="H609">
            <v>34.062094861659908</v>
          </cell>
          <cell r="I609" t="e">
            <v>#N/A</v>
          </cell>
          <cell r="J609" t="e">
            <v>#N/A</v>
          </cell>
          <cell r="K609" t="e">
            <v>#N/A</v>
          </cell>
          <cell r="L609" t="e">
            <v>#N/A</v>
          </cell>
          <cell r="M609" t="e">
            <v>#N/A</v>
          </cell>
          <cell r="N609" t="e">
            <v>#N/A</v>
          </cell>
          <cell r="O609" t="e">
            <v>#N/A</v>
          </cell>
          <cell r="P609">
            <v>34.65</v>
          </cell>
          <cell r="Q609" t="str">
            <v/>
          </cell>
          <cell r="R609" t="e">
            <v>#N/A</v>
          </cell>
        </row>
        <row r="610">
          <cell r="A610">
            <v>40036</v>
          </cell>
          <cell r="B610">
            <v>40036</v>
          </cell>
          <cell r="C610" t="str">
            <v>Future</v>
          </cell>
          <cell r="D610" t="e">
            <v>#N/A</v>
          </cell>
          <cell r="E610">
            <v>27.601343873517767</v>
          </cell>
          <cell r="F610">
            <v>36.067747035573163</v>
          </cell>
          <cell r="G610">
            <v>34.051936758893106</v>
          </cell>
          <cell r="H610">
            <v>34.051936758893106</v>
          </cell>
          <cell r="I610" t="e">
            <v>#N/A</v>
          </cell>
          <cell r="J610" t="e">
            <v>#N/A</v>
          </cell>
          <cell r="K610" t="e">
            <v>#N/A</v>
          </cell>
          <cell r="L610" t="e">
            <v>#N/A</v>
          </cell>
          <cell r="M610" t="e">
            <v>#N/A</v>
          </cell>
          <cell r="N610" t="e">
            <v>#N/A</v>
          </cell>
          <cell r="O610" t="e">
            <v>#N/A</v>
          </cell>
          <cell r="P610">
            <v>34.65</v>
          </cell>
          <cell r="Q610" t="str">
            <v/>
          </cell>
          <cell r="R610" t="e">
            <v>#N/A</v>
          </cell>
        </row>
        <row r="611">
          <cell r="A611">
            <v>40037</v>
          </cell>
          <cell r="B611">
            <v>40037</v>
          </cell>
          <cell r="C611" t="str">
            <v>Future</v>
          </cell>
          <cell r="D611" t="e">
            <v>#N/A</v>
          </cell>
          <cell r="E611">
            <v>27.464703557312234</v>
          </cell>
          <cell r="F611">
            <v>36.09711462450597</v>
          </cell>
          <cell r="G611">
            <v>34.041778656126304</v>
          </cell>
          <cell r="H611">
            <v>34.041778656126304</v>
          </cell>
          <cell r="I611" t="e">
            <v>#N/A</v>
          </cell>
          <cell r="J611" t="e">
            <v>#N/A</v>
          </cell>
          <cell r="K611" t="e">
            <v>#N/A</v>
          </cell>
          <cell r="L611" t="e">
            <v>#N/A</v>
          </cell>
          <cell r="M611" t="e">
            <v>#N/A</v>
          </cell>
          <cell r="N611" t="e">
            <v>#N/A</v>
          </cell>
          <cell r="O611" t="e">
            <v>#N/A</v>
          </cell>
          <cell r="P611">
            <v>34.65</v>
          </cell>
          <cell r="Q611" t="str">
            <v/>
          </cell>
          <cell r="R611" t="e">
            <v>#N/A</v>
          </cell>
        </row>
        <row r="612">
          <cell r="A612">
            <v>40038</v>
          </cell>
          <cell r="B612">
            <v>40038</v>
          </cell>
          <cell r="C612" t="str">
            <v>Future</v>
          </cell>
          <cell r="D612" t="e">
            <v>#N/A</v>
          </cell>
          <cell r="E612">
            <v>27.328063241106701</v>
          </cell>
          <cell r="F612">
            <v>36.126482213438777</v>
          </cell>
          <cell r="G612">
            <v>34.031620553359502</v>
          </cell>
          <cell r="H612">
            <v>34.031620553359502</v>
          </cell>
          <cell r="I612" t="e">
            <v>#N/A</v>
          </cell>
          <cell r="J612" t="e">
            <v>#N/A</v>
          </cell>
          <cell r="K612" t="e">
            <v>#N/A</v>
          </cell>
          <cell r="L612" t="e">
            <v>#N/A</v>
          </cell>
          <cell r="M612" t="e">
            <v>#N/A</v>
          </cell>
          <cell r="N612" t="e">
            <v>#N/A</v>
          </cell>
          <cell r="O612" t="e">
            <v>#N/A</v>
          </cell>
          <cell r="P612">
            <v>34.65</v>
          </cell>
          <cell r="Q612" t="str">
            <v/>
          </cell>
          <cell r="R612" t="e">
            <v>#N/A</v>
          </cell>
        </row>
        <row r="613">
          <cell r="A613">
            <v>40039</v>
          </cell>
          <cell r="B613">
            <v>40039</v>
          </cell>
          <cell r="C613" t="str">
            <v>Future</v>
          </cell>
          <cell r="D613" t="e">
            <v>#N/A</v>
          </cell>
          <cell r="E613">
            <v>27.191422924901168</v>
          </cell>
          <cell r="F613">
            <v>36.155849802371584</v>
          </cell>
          <cell r="G613">
            <v>34.021462450592701</v>
          </cell>
          <cell r="H613">
            <v>34.021462450592701</v>
          </cell>
          <cell r="I613" t="e">
            <v>#N/A</v>
          </cell>
          <cell r="J613" t="e">
            <v>#N/A</v>
          </cell>
          <cell r="K613" t="e">
            <v>#N/A</v>
          </cell>
          <cell r="L613" t="e">
            <v>#N/A</v>
          </cell>
          <cell r="M613" t="e">
            <v>#N/A</v>
          </cell>
          <cell r="N613" t="e">
            <v>#N/A</v>
          </cell>
          <cell r="O613" t="e">
            <v>#N/A</v>
          </cell>
          <cell r="P613">
            <v>34.65</v>
          </cell>
          <cell r="Q613" t="str">
            <v/>
          </cell>
          <cell r="R613" t="e">
            <v>#N/A</v>
          </cell>
        </row>
        <row r="614">
          <cell r="A614">
            <v>40042</v>
          </cell>
          <cell r="B614">
            <v>40042</v>
          </cell>
          <cell r="C614" t="str">
            <v>Future</v>
          </cell>
          <cell r="D614" t="e">
            <v>#N/A</v>
          </cell>
          <cell r="E614">
            <v>27.054782608695636</v>
          </cell>
          <cell r="F614">
            <v>36.185217391304391</v>
          </cell>
          <cell r="G614">
            <v>34.011304347825899</v>
          </cell>
          <cell r="H614">
            <v>34.011304347825899</v>
          </cell>
          <cell r="I614" t="e">
            <v>#N/A</v>
          </cell>
          <cell r="J614" t="e">
            <v>#N/A</v>
          </cell>
          <cell r="K614" t="e">
            <v>#N/A</v>
          </cell>
          <cell r="L614" t="e">
            <v>#N/A</v>
          </cell>
          <cell r="M614" t="e">
            <v>#N/A</v>
          </cell>
          <cell r="N614" t="e">
            <v>#N/A</v>
          </cell>
          <cell r="O614" t="e">
            <v>#N/A</v>
          </cell>
          <cell r="P614">
            <v>34.65</v>
          </cell>
          <cell r="Q614" t="str">
            <v/>
          </cell>
          <cell r="R614" t="e">
            <v>#N/A</v>
          </cell>
        </row>
        <row r="615">
          <cell r="A615">
            <v>40043</v>
          </cell>
          <cell r="B615">
            <v>40043</v>
          </cell>
          <cell r="C615" t="str">
            <v>Future</v>
          </cell>
          <cell r="D615" t="e">
            <v>#N/A</v>
          </cell>
          <cell r="E615">
            <v>26.918142292490103</v>
          </cell>
          <cell r="F615">
            <v>36.214584980237198</v>
          </cell>
          <cell r="G615">
            <v>34.001146245059097</v>
          </cell>
          <cell r="H615">
            <v>34.001146245059097</v>
          </cell>
          <cell r="I615" t="e">
            <v>#N/A</v>
          </cell>
          <cell r="J615" t="e">
            <v>#N/A</v>
          </cell>
          <cell r="K615" t="e">
            <v>#N/A</v>
          </cell>
          <cell r="L615" t="e">
            <v>#N/A</v>
          </cell>
          <cell r="M615" t="e">
            <v>#N/A</v>
          </cell>
          <cell r="N615" t="e">
            <v>#N/A</v>
          </cell>
          <cell r="O615" t="e">
            <v>#N/A</v>
          </cell>
          <cell r="P615">
            <v>34.65</v>
          </cell>
          <cell r="Q615" t="str">
            <v/>
          </cell>
          <cell r="R615" t="e">
            <v>#N/A</v>
          </cell>
        </row>
        <row r="616">
          <cell r="A616">
            <v>40044</v>
          </cell>
          <cell r="B616">
            <v>40044</v>
          </cell>
          <cell r="C616" t="str">
            <v>Future</v>
          </cell>
          <cell r="D616" t="e">
            <v>#N/A</v>
          </cell>
          <cell r="E616">
            <v>26.78150197628457</v>
          </cell>
          <cell r="F616">
            <v>36.243952569170006</v>
          </cell>
          <cell r="G616">
            <v>33.990988142292295</v>
          </cell>
          <cell r="H616">
            <v>33.990988142292295</v>
          </cell>
          <cell r="I616" t="e">
            <v>#N/A</v>
          </cell>
          <cell r="J616" t="e">
            <v>#N/A</v>
          </cell>
          <cell r="K616" t="e">
            <v>#N/A</v>
          </cell>
          <cell r="L616" t="e">
            <v>#N/A</v>
          </cell>
          <cell r="M616" t="e">
            <v>#N/A</v>
          </cell>
          <cell r="N616" t="e">
            <v>#N/A</v>
          </cell>
          <cell r="O616" t="e">
            <v>#N/A</v>
          </cell>
          <cell r="P616">
            <v>34.65</v>
          </cell>
          <cell r="Q616" t="str">
            <v/>
          </cell>
          <cell r="R616" t="e">
            <v>#N/A</v>
          </cell>
        </row>
        <row r="617">
          <cell r="A617">
            <v>40045</v>
          </cell>
          <cell r="B617">
            <v>40045</v>
          </cell>
          <cell r="C617" t="str">
            <v>Future</v>
          </cell>
          <cell r="D617" t="e">
            <v>#N/A</v>
          </cell>
          <cell r="E617">
            <v>26.644861660079037</v>
          </cell>
          <cell r="F617">
            <v>36.273320158102813</v>
          </cell>
          <cell r="G617">
            <v>33.980830039525493</v>
          </cell>
          <cell r="H617">
            <v>33.980830039525493</v>
          </cell>
          <cell r="I617" t="e">
            <v>#N/A</v>
          </cell>
          <cell r="J617" t="e">
            <v>#N/A</v>
          </cell>
          <cell r="K617" t="e">
            <v>#N/A</v>
          </cell>
          <cell r="L617" t="e">
            <v>#N/A</v>
          </cell>
          <cell r="M617" t="e">
            <v>#N/A</v>
          </cell>
          <cell r="N617" t="e">
            <v>#N/A</v>
          </cell>
          <cell r="O617" t="e">
            <v>#N/A</v>
          </cell>
          <cell r="P617">
            <v>34.65</v>
          </cell>
          <cell r="Q617" t="str">
            <v/>
          </cell>
          <cell r="R617" t="e">
            <v>#N/A</v>
          </cell>
        </row>
        <row r="618">
          <cell r="A618">
            <v>40046</v>
          </cell>
          <cell r="B618">
            <v>40046</v>
          </cell>
          <cell r="C618" t="str">
            <v>Future</v>
          </cell>
          <cell r="D618" t="e">
            <v>#N/A</v>
          </cell>
          <cell r="E618">
            <v>26.508221343873505</v>
          </cell>
          <cell r="F618">
            <v>36.30268774703562</v>
          </cell>
          <cell r="G618">
            <v>33.970671936758691</v>
          </cell>
          <cell r="H618">
            <v>33.970671936758691</v>
          </cell>
          <cell r="I618" t="e">
            <v>#N/A</v>
          </cell>
          <cell r="J618" t="e">
            <v>#N/A</v>
          </cell>
          <cell r="K618" t="e">
            <v>#N/A</v>
          </cell>
          <cell r="L618" t="e">
            <v>#N/A</v>
          </cell>
          <cell r="M618" t="e">
            <v>#N/A</v>
          </cell>
          <cell r="N618" t="e">
            <v>#N/A</v>
          </cell>
          <cell r="O618" t="e">
            <v>#N/A</v>
          </cell>
          <cell r="P618">
            <v>34.65</v>
          </cell>
          <cell r="Q618" t="str">
            <v/>
          </cell>
          <cell r="R618" t="e">
            <v>#N/A</v>
          </cell>
        </row>
        <row r="619">
          <cell r="A619">
            <v>40049</v>
          </cell>
          <cell r="B619">
            <v>40049</v>
          </cell>
          <cell r="C619" t="str">
            <v>Future</v>
          </cell>
          <cell r="D619" t="e">
            <v>#N/A</v>
          </cell>
          <cell r="E619">
            <v>26.371581027667972</v>
          </cell>
          <cell r="F619">
            <v>36.332055335968427</v>
          </cell>
          <cell r="G619">
            <v>33.960513833991889</v>
          </cell>
          <cell r="H619">
            <v>33.960513833991889</v>
          </cell>
          <cell r="I619" t="e">
            <v>#N/A</v>
          </cell>
          <cell r="J619" t="e">
            <v>#N/A</v>
          </cell>
          <cell r="K619" t="e">
            <v>#N/A</v>
          </cell>
          <cell r="L619" t="e">
            <v>#N/A</v>
          </cell>
          <cell r="M619" t="e">
            <v>#N/A</v>
          </cell>
          <cell r="N619" t="e">
            <v>#N/A</v>
          </cell>
          <cell r="O619" t="e">
            <v>#N/A</v>
          </cell>
          <cell r="P619">
            <v>34.65</v>
          </cell>
          <cell r="Q619" t="str">
            <v/>
          </cell>
          <cell r="R619" t="e">
            <v>#N/A</v>
          </cell>
        </row>
        <row r="620">
          <cell r="A620">
            <v>40050</v>
          </cell>
          <cell r="B620">
            <v>40050</v>
          </cell>
          <cell r="C620" t="str">
            <v>Future</v>
          </cell>
          <cell r="D620" t="e">
            <v>#N/A</v>
          </cell>
          <cell r="E620">
            <v>26.234940711462439</v>
          </cell>
          <cell r="F620">
            <v>36.361422924901234</v>
          </cell>
          <cell r="G620">
            <v>33.950355731225088</v>
          </cell>
          <cell r="H620">
            <v>33.950355731225088</v>
          </cell>
          <cell r="I620" t="e">
            <v>#N/A</v>
          </cell>
          <cell r="J620" t="e">
            <v>#N/A</v>
          </cell>
          <cell r="K620" t="e">
            <v>#N/A</v>
          </cell>
          <cell r="L620" t="e">
            <v>#N/A</v>
          </cell>
          <cell r="M620" t="e">
            <v>#N/A</v>
          </cell>
          <cell r="N620" t="e">
            <v>#N/A</v>
          </cell>
          <cell r="O620" t="e">
            <v>#N/A</v>
          </cell>
          <cell r="P620">
            <v>34.65</v>
          </cell>
          <cell r="Q620" t="str">
            <v/>
          </cell>
          <cell r="R620" t="e">
            <v>#N/A</v>
          </cell>
        </row>
        <row r="621">
          <cell r="A621">
            <v>40051</v>
          </cell>
          <cell r="B621">
            <v>40051</v>
          </cell>
          <cell r="C621" t="str">
            <v>Future</v>
          </cell>
          <cell r="D621" t="e">
            <v>#N/A</v>
          </cell>
          <cell r="E621">
            <v>26.098300395256906</v>
          </cell>
          <cell r="F621">
            <v>36.390790513834041</v>
          </cell>
          <cell r="G621">
            <v>33.940197628458286</v>
          </cell>
          <cell r="H621">
            <v>33.940197628458286</v>
          </cell>
          <cell r="I621" t="e">
            <v>#N/A</v>
          </cell>
          <cell r="J621" t="e">
            <v>#N/A</v>
          </cell>
          <cell r="K621" t="e">
            <v>#N/A</v>
          </cell>
          <cell r="L621" t="e">
            <v>#N/A</v>
          </cell>
          <cell r="M621" t="e">
            <v>#N/A</v>
          </cell>
          <cell r="N621" t="e">
            <v>#N/A</v>
          </cell>
          <cell r="O621" t="e">
            <v>#N/A</v>
          </cell>
          <cell r="P621">
            <v>34.65</v>
          </cell>
          <cell r="Q621" t="str">
            <v/>
          </cell>
          <cell r="R621" t="e">
            <v>#N/A</v>
          </cell>
        </row>
        <row r="622">
          <cell r="A622">
            <v>40052</v>
          </cell>
          <cell r="B622">
            <v>40052</v>
          </cell>
          <cell r="C622" t="str">
            <v>Future</v>
          </cell>
          <cell r="D622" t="e">
            <v>#N/A</v>
          </cell>
          <cell r="E622">
            <v>25.961660079051374</v>
          </cell>
          <cell r="F622">
            <v>36.420158102766848</v>
          </cell>
          <cell r="G622">
            <v>33.930039525691484</v>
          </cell>
          <cell r="H622">
            <v>33.930039525691484</v>
          </cell>
          <cell r="I622" t="e">
            <v>#N/A</v>
          </cell>
          <cell r="J622" t="e">
            <v>#N/A</v>
          </cell>
          <cell r="K622" t="e">
            <v>#N/A</v>
          </cell>
          <cell r="L622" t="e">
            <v>#N/A</v>
          </cell>
          <cell r="M622" t="e">
            <v>#N/A</v>
          </cell>
          <cell r="N622" t="e">
            <v>#N/A</v>
          </cell>
          <cell r="O622" t="e">
            <v>#N/A</v>
          </cell>
          <cell r="P622">
            <v>34.65</v>
          </cell>
          <cell r="Q622" t="str">
            <v/>
          </cell>
          <cell r="R622" t="e">
            <v>#N/A</v>
          </cell>
        </row>
        <row r="623">
          <cell r="A623">
            <v>40053</v>
          </cell>
          <cell r="B623">
            <v>40053</v>
          </cell>
          <cell r="C623" t="str">
            <v>Future</v>
          </cell>
          <cell r="D623" t="e">
            <v>#N/A</v>
          </cell>
          <cell r="E623">
            <v>25.825019762845841</v>
          </cell>
          <cell r="F623">
            <v>36.449525691699655</v>
          </cell>
          <cell r="G623">
            <v>33.919881422924682</v>
          </cell>
          <cell r="H623">
            <v>33.919881422924682</v>
          </cell>
          <cell r="I623" t="e">
            <v>#N/A</v>
          </cell>
          <cell r="J623" t="e">
            <v>#N/A</v>
          </cell>
          <cell r="K623" t="e">
            <v>#N/A</v>
          </cell>
          <cell r="L623" t="e">
            <v>#N/A</v>
          </cell>
          <cell r="M623" t="e">
            <v>#N/A</v>
          </cell>
          <cell r="N623" t="e">
            <v>#N/A</v>
          </cell>
          <cell r="O623" t="e">
            <v>#N/A</v>
          </cell>
          <cell r="P623">
            <v>34.65</v>
          </cell>
          <cell r="Q623" t="str">
            <v/>
          </cell>
          <cell r="R623" t="e">
            <v>#N/A</v>
          </cell>
        </row>
        <row r="624">
          <cell r="A624">
            <v>40056</v>
          </cell>
          <cell r="B624">
            <v>40056</v>
          </cell>
          <cell r="C624" t="str">
            <v>Future</v>
          </cell>
          <cell r="D624" t="e">
            <v>#N/A</v>
          </cell>
          <cell r="E624">
            <v>25.688379446640308</v>
          </cell>
          <cell r="F624">
            <v>36.478893280632462</v>
          </cell>
          <cell r="G624">
            <v>33.90972332015788</v>
          </cell>
          <cell r="H624">
            <v>33.90972332015788</v>
          </cell>
          <cell r="I624" t="e">
            <v>#N/A</v>
          </cell>
          <cell r="J624" t="e">
            <v>#N/A</v>
          </cell>
          <cell r="K624" t="e">
            <v>#N/A</v>
          </cell>
          <cell r="L624" t="e">
            <v>#N/A</v>
          </cell>
          <cell r="M624" t="e">
            <v>#N/A</v>
          </cell>
          <cell r="N624" t="e">
            <v>#N/A</v>
          </cell>
          <cell r="O624" t="e">
            <v>#N/A</v>
          </cell>
          <cell r="P624">
            <v>34.65</v>
          </cell>
          <cell r="Q624" t="str">
            <v/>
          </cell>
          <cell r="R624" t="e">
            <v>#N/A</v>
          </cell>
        </row>
        <row r="625">
          <cell r="A625">
            <v>40057</v>
          </cell>
          <cell r="B625">
            <v>40057</v>
          </cell>
          <cell r="C625" t="str">
            <v>Future</v>
          </cell>
          <cell r="D625" t="e">
            <v>#N/A</v>
          </cell>
          <cell r="E625">
            <v>25.551739130434775</v>
          </cell>
          <cell r="F625">
            <v>36.50826086956527</v>
          </cell>
          <cell r="G625">
            <v>33.899565217391078</v>
          </cell>
          <cell r="H625">
            <v>33.899565217391078</v>
          </cell>
          <cell r="I625" t="e">
            <v>#N/A</v>
          </cell>
          <cell r="J625" t="e">
            <v>#N/A</v>
          </cell>
          <cell r="K625" t="e">
            <v>#N/A</v>
          </cell>
          <cell r="L625" t="e">
            <v>#N/A</v>
          </cell>
          <cell r="M625" t="e">
            <v>#N/A</v>
          </cell>
          <cell r="N625" t="e">
            <v>#N/A</v>
          </cell>
          <cell r="O625" t="e">
            <v>#N/A</v>
          </cell>
          <cell r="P625">
            <v>34.65</v>
          </cell>
          <cell r="Q625" t="str">
            <v/>
          </cell>
          <cell r="R625" t="e">
            <v>#N/A</v>
          </cell>
        </row>
        <row r="626">
          <cell r="A626">
            <v>40058</v>
          </cell>
          <cell r="B626">
            <v>40058</v>
          </cell>
          <cell r="C626" t="str">
            <v>Future</v>
          </cell>
          <cell r="D626" t="e">
            <v>#N/A</v>
          </cell>
          <cell r="E626">
            <v>25.415098814229243</v>
          </cell>
          <cell r="F626">
            <v>36.537628458498077</v>
          </cell>
          <cell r="G626">
            <v>33.889407114624277</v>
          </cell>
          <cell r="H626">
            <v>33.889407114624277</v>
          </cell>
          <cell r="I626" t="e">
            <v>#N/A</v>
          </cell>
          <cell r="J626" t="e">
            <v>#N/A</v>
          </cell>
          <cell r="K626" t="e">
            <v>#N/A</v>
          </cell>
          <cell r="L626" t="e">
            <v>#N/A</v>
          </cell>
          <cell r="M626" t="e">
            <v>#N/A</v>
          </cell>
          <cell r="N626" t="e">
            <v>#N/A</v>
          </cell>
          <cell r="O626" t="e">
            <v>#N/A</v>
          </cell>
          <cell r="P626">
            <v>34.65</v>
          </cell>
          <cell r="Q626" t="str">
            <v/>
          </cell>
          <cell r="R626" t="e">
            <v>#N/A</v>
          </cell>
        </row>
        <row r="627">
          <cell r="A627">
            <v>40059</v>
          </cell>
          <cell r="B627">
            <v>40059</v>
          </cell>
          <cell r="C627" t="str">
            <v>Future</v>
          </cell>
          <cell r="D627" t="e">
            <v>#N/A</v>
          </cell>
          <cell r="E627">
            <v>25.27845849802371</v>
          </cell>
          <cell r="F627">
            <v>36.566996047430884</v>
          </cell>
          <cell r="G627">
            <v>33.879249011857475</v>
          </cell>
          <cell r="H627">
            <v>33.879249011857475</v>
          </cell>
          <cell r="I627" t="e">
            <v>#N/A</v>
          </cell>
          <cell r="J627" t="e">
            <v>#N/A</v>
          </cell>
          <cell r="K627" t="e">
            <v>#N/A</v>
          </cell>
          <cell r="L627" t="e">
            <v>#N/A</v>
          </cell>
          <cell r="M627" t="e">
            <v>#N/A</v>
          </cell>
          <cell r="N627" t="e">
            <v>#N/A</v>
          </cell>
          <cell r="O627" t="e">
            <v>#N/A</v>
          </cell>
          <cell r="P627">
            <v>34.65</v>
          </cell>
          <cell r="Q627" t="str">
            <v/>
          </cell>
          <cell r="R627" t="e">
            <v>#N/A</v>
          </cell>
        </row>
        <row r="628">
          <cell r="A628">
            <v>40060</v>
          </cell>
          <cell r="B628">
            <v>40060</v>
          </cell>
          <cell r="C628" t="str">
            <v>Future</v>
          </cell>
          <cell r="D628" t="e">
            <v>#N/A</v>
          </cell>
          <cell r="E628">
            <v>25.141818181818177</v>
          </cell>
          <cell r="F628">
            <v>36.596363636363691</v>
          </cell>
          <cell r="G628">
            <v>33.869090909090673</v>
          </cell>
          <cell r="H628">
            <v>33.869090909090673</v>
          </cell>
          <cell r="I628" t="e">
            <v>#N/A</v>
          </cell>
          <cell r="J628" t="e">
            <v>#N/A</v>
          </cell>
          <cell r="K628" t="e">
            <v>#N/A</v>
          </cell>
          <cell r="L628" t="e">
            <v>#N/A</v>
          </cell>
          <cell r="M628" t="e">
            <v>#N/A</v>
          </cell>
          <cell r="N628" t="e">
            <v>#N/A</v>
          </cell>
          <cell r="O628" t="e">
            <v>#N/A</v>
          </cell>
          <cell r="P628">
            <v>34.65</v>
          </cell>
          <cell r="Q628" t="str">
            <v/>
          </cell>
          <cell r="R628" t="e">
            <v>#N/A</v>
          </cell>
        </row>
        <row r="629">
          <cell r="A629">
            <v>40064</v>
          </cell>
          <cell r="B629">
            <v>40064</v>
          </cell>
          <cell r="C629" t="str">
            <v>Future</v>
          </cell>
          <cell r="D629" t="e">
            <v>#N/A</v>
          </cell>
          <cell r="E629">
            <v>25.005177865612644</v>
          </cell>
          <cell r="F629">
            <v>36.625731225296498</v>
          </cell>
          <cell r="G629">
            <v>33.858932806323871</v>
          </cell>
          <cell r="H629">
            <v>33.858932806323871</v>
          </cell>
          <cell r="I629" t="e">
            <v>#N/A</v>
          </cell>
          <cell r="J629" t="e">
            <v>#N/A</v>
          </cell>
          <cell r="K629" t="e">
            <v>#N/A</v>
          </cell>
          <cell r="L629" t="e">
            <v>#N/A</v>
          </cell>
          <cell r="M629" t="e">
            <v>#N/A</v>
          </cell>
          <cell r="N629" t="e">
            <v>#N/A</v>
          </cell>
          <cell r="O629" t="e">
            <v>#N/A</v>
          </cell>
          <cell r="P629">
            <v>34.65</v>
          </cell>
          <cell r="Q629" t="str">
            <v/>
          </cell>
          <cell r="R629" t="e">
            <v>#N/A</v>
          </cell>
        </row>
        <row r="630">
          <cell r="A630">
            <v>40065</v>
          </cell>
          <cell r="B630">
            <v>40065</v>
          </cell>
          <cell r="C630" t="str">
            <v>Future</v>
          </cell>
          <cell r="D630" t="e">
            <v>#N/A</v>
          </cell>
          <cell r="E630">
            <v>24.868537549407112</v>
          </cell>
          <cell r="F630">
            <v>36.655098814229305</v>
          </cell>
          <cell r="G630">
            <v>33.848774703557069</v>
          </cell>
          <cell r="H630">
            <v>33.848774703557069</v>
          </cell>
          <cell r="I630" t="e">
            <v>#N/A</v>
          </cell>
          <cell r="J630" t="e">
            <v>#N/A</v>
          </cell>
          <cell r="K630" t="e">
            <v>#N/A</v>
          </cell>
          <cell r="L630" t="e">
            <v>#N/A</v>
          </cell>
          <cell r="M630" t="e">
            <v>#N/A</v>
          </cell>
          <cell r="N630" t="e">
            <v>#N/A</v>
          </cell>
          <cell r="O630" t="e">
            <v>#N/A</v>
          </cell>
          <cell r="P630">
            <v>34.65</v>
          </cell>
          <cell r="Q630" t="str">
            <v/>
          </cell>
          <cell r="R630" t="e">
            <v>#N/A</v>
          </cell>
        </row>
        <row r="631">
          <cell r="A631">
            <v>40066</v>
          </cell>
          <cell r="B631">
            <v>40066</v>
          </cell>
          <cell r="C631" t="str">
            <v>Future</v>
          </cell>
          <cell r="D631" t="e">
            <v>#N/A</v>
          </cell>
          <cell r="E631">
            <v>24.731897233201579</v>
          </cell>
          <cell r="F631">
            <v>36.684466403162112</v>
          </cell>
          <cell r="G631">
            <v>33.838616600790267</v>
          </cell>
          <cell r="H631">
            <v>33.838616600790267</v>
          </cell>
          <cell r="I631" t="e">
            <v>#N/A</v>
          </cell>
          <cell r="J631" t="e">
            <v>#N/A</v>
          </cell>
          <cell r="K631" t="e">
            <v>#N/A</v>
          </cell>
          <cell r="L631" t="e">
            <v>#N/A</v>
          </cell>
          <cell r="M631" t="e">
            <v>#N/A</v>
          </cell>
          <cell r="N631" t="e">
            <v>#N/A</v>
          </cell>
          <cell r="O631" t="e">
            <v>#N/A</v>
          </cell>
          <cell r="P631">
            <v>34.65</v>
          </cell>
          <cell r="Q631" t="str">
            <v/>
          </cell>
          <cell r="R631" t="e">
            <v>#N/A</v>
          </cell>
        </row>
        <row r="632">
          <cell r="A632">
            <v>40067</v>
          </cell>
          <cell r="B632">
            <v>40067</v>
          </cell>
          <cell r="C632" t="str">
            <v>Future</v>
          </cell>
          <cell r="D632" t="e">
            <v>#N/A</v>
          </cell>
          <cell r="E632">
            <v>24.595256916996046</v>
          </cell>
          <cell r="F632">
            <v>36.713833992094919</v>
          </cell>
          <cell r="G632">
            <v>33.828458498023465</v>
          </cell>
          <cell r="H632">
            <v>33.828458498023465</v>
          </cell>
          <cell r="I632" t="e">
            <v>#N/A</v>
          </cell>
          <cell r="J632" t="e">
            <v>#N/A</v>
          </cell>
          <cell r="K632" t="e">
            <v>#N/A</v>
          </cell>
          <cell r="L632" t="e">
            <v>#N/A</v>
          </cell>
          <cell r="M632" t="e">
            <v>#N/A</v>
          </cell>
          <cell r="N632" t="e">
            <v>#N/A</v>
          </cell>
          <cell r="O632" t="e">
            <v>#N/A</v>
          </cell>
          <cell r="P632">
            <v>34.65</v>
          </cell>
          <cell r="Q632" t="str">
            <v/>
          </cell>
          <cell r="R632" t="e">
            <v>#N/A</v>
          </cell>
        </row>
        <row r="633">
          <cell r="A633">
            <v>40070</v>
          </cell>
          <cell r="B633">
            <v>40070</v>
          </cell>
          <cell r="C633" t="str">
            <v>Future</v>
          </cell>
          <cell r="D633" t="e">
            <v>#N/A</v>
          </cell>
          <cell r="E633">
            <v>24.458616600790513</v>
          </cell>
          <cell r="F633">
            <v>36.743201581027726</v>
          </cell>
          <cell r="G633">
            <v>33.818300395256664</v>
          </cell>
          <cell r="H633">
            <v>33.818300395256664</v>
          </cell>
          <cell r="I633" t="e">
            <v>#N/A</v>
          </cell>
          <cell r="J633" t="e">
            <v>#N/A</v>
          </cell>
          <cell r="K633" t="e">
            <v>#N/A</v>
          </cell>
          <cell r="L633" t="e">
            <v>#N/A</v>
          </cell>
          <cell r="M633" t="e">
            <v>#N/A</v>
          </cell>
          <cell r="N633" t="e">
            <v>#N/A</v>
          </cell>
          <cell r="O633" t="e">
            <v>#N/A</v>
          </cell>
          <cell r="P633">
            <v>34.65</v>
          </cell>
          <cell r="Q633" t="str">
            <v/>
          </cell>
          <cell r="R633" t="e">
            <v>#N/A</v>
          </cell>
        </row>
        <row r="634">
          <cell r="A634">
            <v>40071</v>
          </cell>
          <cell r="B634">
            <v>40071</v>
          </cell>
          <cell r="C634" t="str">
            <v>Future</v>
          </cell>
          <cell r="D634" t="e">
            <v>#N/A</v>
          </cell>
          <cell r="E634">
            <v>24.321976284584981</v>
          </cell>
          <cell r="F634">
            <v>36.772569169960533</v>
          </cell>
          <cell r="G634">
            <v>33.808142292489862</v>
          </cell>
          <cell r="H634">
            <v>33.808142292489862</v>
          </cell>
          <cell r="I634" t="e">
            <v>#N/A</v>
          </cell>
          <cell r="J634" t="e">
            <v>#N/A</v>
          </cell>
          <cell r="K634" t="e">
            <v>#N/A</v>
          </cell>
          <cell r="L634" t="e">
            <v>#N/A</v>
          </cell>
          <cell r="M634" t="e">
            <v>#N/A</v>
          </cell>
          <cell r="N634" t="e">
            <v>#N/A</v>
          </cell>
          <cell r="O634" t="e">
            <v>#N/A</v>
          </cell>
          <cell r="P634">
            <v>34.65</v>
          </cell>
          <cell r="Q634" t="str">
            <v/>
          </cell>
          <cell r="R634" t="e">
            <v>#N/A</v>
          </cell>
        </row>
        <row r="635">
          <cell r="A635">
            <v>40072</v>
          </cell>
          <cell r="B635">
            <v>40072</v>
          </cell>
          <cell r="C635" t="str">
            <v>Future</v>
          </cell>
          <cell r="D635" t="e">
            <v>#N/A</v>
          </cell>
          <cell r="E635">
            <v>24.185335968379448</v>
          </cell>
          <cell r="F635">
            <v>36.801936758893341</v>
          </cell>
          <cell r="G635">
            <v>33.79798418972306</v>
          </cell>
          <cell r="H635">
            <v>33.79798418972306</v>
          </cell>
          <cell r="I635" t="e">
            <v>#N/A</v>
          </cell>
          <cell r="J635" t="e">
            <v>#N/A</v>
          </cell>
          <cell r="K635" t="e">
            <v>#N/A</v>
          </cell>
          <cell r="L635" t="e">
            <v>#N/A</v>
          </cell>
          <cell r="M635" t="e">
            <v>#N/A</v>
          </cell>
          <cell r="N635" t="e">
            <v>#N/A</v>
          </cell>
          <cell r="O635" t="e">
            <v>#N/A</v>
          </cell>
          <cell r="P635">
            <v>34.65</v>
          </cell>
          <cell r="Q635" t="str">
            <v/>
          </cell>
          <cell r="R635" t="e">
            <v>#N/A</v>
          </cell>
        </row>
        <row r="636">
          <cell r="A636">
            <v>40073</v>
          </cell>
          <cell r="B636">
            <v>40073</v>
          </cell>
          <cell r="C636" t="str">
            <v>Future</v>
          </cell>
          <cell r="D636" t="e">
            <v>#N/A</v>
          </cell>
          <cell r="E636">
            <v>24.048695652173915</v>
          </cell>
          <cell r="F636">
            <v>36.831304347826148</v>
          </cell>
          <cell r="G636">
            <v>33.787826086956258</v>
          </cell>
          <cell r="H636">
            <v>33.787826086956258</v>
          </cell>
          <cell r="I636" t="e">
            <v>#N/A</v>
          </cell>
          <cell r="J636" t="e">
            <v>#N/A</v>
          </cell>
          <cell r="K636" t="e">
            <v>#N/A</v>
          </cell>
          <cell r="L636" t="e">
            <v>#N/A</v>
          </cell>
          <cell r="M636" t="e">
            <v>#N/A</v>
          </cell>
          <cell r="N636" t="e">
            <v>#N/A</v>
          </cell>
          <cell r="O636" t="e">
            <v>#N/A</v>
          </cell>
          <cell r="P636">
            <v>34.65</v>
          </cell>
          <cell r="Q636" t="str">
            <v/>
          </cell>
          <cell r="R636" t="e">
            <v>#N/A</v>
          </cell>
        </row>
        <row r="637">
          <cell r="A637">
            <v>40074</v>
          </cell>
          <cell r="B637">
            <v>40074</v>
          </cell>
          <cell r="C637" t="str">
            <v>Future</v>
          </cell>
          <cell r="D637" t="e">
            <v>#N/A</v>
          </cell>
          <cell r="E637">
            <v>23.912055335968383</v>
          </cell>
          <cell r="F637">
            <v>36.860671936758955</v>
          </cell>
          <cell r="G637">
            <v>33.777667984189456</v>
          </cell>
          <cell r="H637">
            <v>33.777667984189456</v>
          </cell>
          <cell r="I637" t="e">
            <v>#N/A</v>
          </cell>
          <cell r="J637" t="e">
            <v>#N/A</v>
          </cell>
          <cell r="K637" t="e">
            <v>#N/A</v>
          </cell>
          <cell r="L637" t="e">
            <v>#N/A</v>
          </cell>
          <cell r="M637" t="e">
            <v>#N/A</v>
          </cell>
          <cell r="N637" t="e">
            <v>#N/A</v>
          </cell>
          <cell r="O637" t="e">
            <v>#N/A</v>
          </cell>
          <cell r="P637">
            <v>34.65</v>
          </cell>
          <cell r="Q637" t="str">
            <v/>
          </cell>
          <cell r="R637" t="e">
            <v>#N/A</v>
          </cell>
        </row>
        <row r="638">
          <cell r="A638">
            <v>40077</v>
          </cell>
          <cell r="B638">
            <v>40077</v>
          </cell>
          <cell r="C638" t="str">
            <v>Future</v>
          </cell>
          <cell r="D638" t="e">
            <v>#N/A</v>
          </cell>
          <cell r="E638">
            <v>23.77541501976285</v>
          </cell>
          <cell r="F638">
            <v>36.890039525691762</v>
          </cell>
          <cell r="G638">
            <v>33.767509881422654</v>
          </cell>
          <cell r="H638">
            <v>33.767509881422654</v>
          </cell>
          <cell r="I638" t="e">
            <v>#N/A</v>
          </cell>
          <cell r="J638" t="e">
            <v>#N/A</v>
          </cell>
          <cell r="K638" t="e">
            <v>#N/A</v>
          </cell>
          <cell r="L638" t="e">
            <v>#N/A</v>
          </cell>
          <cell r="M638" t="e">
            <v>#N/A</v>
          </cell>
          <cell r="N638" t="e">
            <v>#N/A</v>
          </cell>
          <cell r="O638" t="e">
            <v>#N/A</v>
          </cell>
          <cell r="P638">
            <v>34.65</v>
          </cell>
          <cell r="Q638" t="str">
            <v/>
          </cell>
          <cell r="R638" t="e">
            <v>#N/A</v>
          </cell>
        </row>
        <row r="639">
          <cell r="A639">
            <v>40078</v>
          </cell>
          <cell r="B639">
            <v>40078</v>
          </cell>
          <cell r="C639" t="str">
            <v>Future</v>
          </cell>
          <cell r="D639" t="e">
            <v>#N/A</v>
          </cell>
          <cell r="E639">
            <v>23.638774703557317</v>
          </cell>
          <cell r="F639">
            <v>36.919407114624569</v>
          </cell>
          <cell r="G639">
            <v>33.757351778655853</v>
          </cell>
          <cell r="H639">
            <v>33.757351778655853</v>
          </cell>
          <cell r="I639" t="e">
            <v>#N/A</v>
          </cell>
          <cell r="J639" t="e">
            <v>#N/A</v>
          </cell>
          <cell r="K639" t="e">
            <v>#N/A</v>
          </cell>
          <cell r="L639" t="e">
            <v>#N/A</v>
          </cell>
          <cell r="M639" t="e">
            <v>#N/A</v>
          </cell>
          <cell r="N639" t="e">
            <v>#N/A</v>
          </cell>
          <cell r="O639" t="e">
            <v>#N/A</v>
          </cell>
          <cell r="P639">
            <v>34.65</v>
          </cell>
          <cell r="Q639" t="str">
            <v/>
          </cell>
          <cell r="R639" t="e">
            <v>#N/A</v>
          </cell>
        </row>
        <row r="640">
          <cell r="A640">
            <v>40079</v>
          </cell>
          <cell r="B640">
            <v>40079</v>
          </cell>
          <cell r="C640" t="str">
            <v>Future</v>
          </cell>
          <cell r="D640" t="e">
            <v>#N/A</v>
          </cell>
          <cell r="E640">
            <v>23.502134387351784</v>
          </cell>
          <cell r="F640">
            <v>36.948774703557376</v>
          </cell>
          <cell r="G640">
            <v>33.747193675889051</v>
          </cell>
          <cell r="H640">
            <v>33.747193675889051</v>
          </cell>
          <cell r="I640" t="e">
            <v>#N/A</v>
          </cell>
          <cell r="J640" t="e">
            <v>#N/A</v>
          </cell>
          <cell r="K640" t="e">
            <v>#N/A</v>
          </cell>
          <cell r="L640" t="e">
            <v>#N/A</v>
          </cell>
          <cell r="M640" t="e">
            <v>#N/A</v>
          </cell>
          <cell r="N640" t="e">
            <v>#N/A</v>
          </cell>
          <cell r="O640" t="e">
            <v>#N/A</v>
          </cell>
          <cell r="P640">
            <v>34.65</v>
          </cell>
          <cell r="Q640" t="str">
            <v/>
          </cell>
          <cell r="R640" t="e">
            <v>#N/A</v>
          </cell>
        </row>
        <row r="641">
          <cell r="A641">
            <v>40080</v>
          </cell>
          <cell r="B641">
            <v>40080</v>
          </cell>
          <cell r="C641" t="str">
            <v>Future</v>
          </cell>
          <cell r="D641" t="e">
            <v>#N/A</v>
          </cell>
          <cell r="E641">
            <v>23.365494071146252</v>
          </cell>
          <cell r="F641">
            <v>36.978142292490183</v>
          </cell>
          <cell r="G641">
            <v>33.737035573122249</v>
          </cell>
          <cell r="H641">
            <v>33.737035573122249</v>
          </cell>
          <cell r="I641" t="e">
            <v>#N/A</v>
          </cell>
          <cell r="J641" t="e">
            <v>#N/A</v>
          </cell>
          <cell r="K641" t="e">
            <v>#N/A</v>
          </cell>
          <cell r="L641" t="e">
            <v>#N/A</v>
          </cell>
          <cell r="M641" t="e">
            <v>#N/A</v>
          </cell>
          <cell r="N641" t="e">
            <v>#N/A</v>
          </cell>
          <cell r="O641" t="e">
            <v>#N/A</v>
          </cell>
          <cell r="P641">
            <v>34.65</v>
          </cell>
          <cell r="Q641" t="str">
            <v/>
          </cell>
          <cell r="R641" t="e">
            <v>#N/A</v>
          </cell>
        </row>
        <row r="642">
          <cell r="A642">
            <v>40081</v>
          </cell>
          <cell r="B642">
            <v>40081</v>
          </cell>
          <cell r="C642" t="str">
            <v>Future</v>
          </cell>
          <cell r="D642" t="e">
            <v>#N/A</v>
          </cell>
          <cell r="E642">
            <v>23.228853754940719</v>
          </cell>
          <cell r="F642">
            <v>37.00750988142299</v>
          </cell>
          <cell r="G642">
            <v>33.726877470355447</v>
          </cell>
          <cell r="H642">
            <v>33.726877470355447</v>
          </cell>
          <cell r="I642" t="e">
            <v>#N/A</v>
          </cell>
          <cell r="J642" t="e">
            <v>#N/A</v>
          </cell>
          <cell r="K642" t="e">
            <v>#N/A</v>
          </cell>
          <cell r="L642" t="e">
            <v>#N/A</v>
          </cell>
          <cell r="M642" t="e">
            <v>#N/A</v>
          </cell>
          <cell r="N642" t="e">
            <v>#N/A</v>
          </cell>
          <cell r="O642" t="e">
            <v>#N/A</v>
          </cell>
          <cell r="P642">
            <v>34.65</v>
          </cell>
          <cell r="Q642" t="str">
            <v/>
          </cell>
          <cell r="R642" t="e">
            <v>#N/A</v>
          </cell>
        </row>
        <row r="643">
          <cell r="A643">
            <v>40084</v>
          </cell>
          <cell r="B643">
            <v>40084</v>
          </cell>
          <cell r="C643" t="str">
            <v>Future</v>
          </cell>
          <cell r="D643" t="e">
            <v>#N/A</v>
          </cell>
          <cell r="E643">
            <v>23.092213438735186</v>
          </cell>
          <cell r="F643">
            <v>37.036877470355797</v>
          </cell>
          <cell r="G643">
            <v>33.716719367588645</v>
          </cell>
          <cell r="H643">
            <v>33.716719367588645</v>
          </cell>
          <cell r="I643" t="e">
            <v>#N/A</v>
          </cell>
          <cell r="J643" t="e">
            <v>#N/A</v>
          </cell>
          <cell r="K643" t="e">
            <v>#N/A</v>
          </cell>
          <cell r="L643" t="e">
            <v>#N/A</v>
          </cell>
          <cell r="M643" t="e">
            <v>#N/A</v>
          </cell>
          <cell r="N643" t="e">
            <v>#N/A</v>
          </cell>
          <cell r="O643" t="e">
            <v>#N/A</v>
          </cell>
          <cell r="P643">
            <v>34.65</v>
          </cell>
          <cell r="Q643" t="str">
            <v/>
          </cell>
          <cell r="R643" t="e">
            <v>#N/A</v>
          </cell>
        </row>
        <row r="644">
          <cell r="A644">
            <v>40085</v>
          </cell>
          <cell r="B644">
            <v>40085</v>
          </cell>
          <cell r="C644" t="str">
            <v>Future</v>
          </cell>
          <cell r="D644" t="e">
            <v>#N/A</v>
          </cell>
          <cell r="E644">
            <v>22.955573122529653</v>
          </cell>
          <cell r="F644">
            <v>37.066245059288605</v>
          </cell>
          <cell r="G644">
            <v>33.706561264821843</v>
          </cell>
          <cell r="H644">
            <v>33.706561264821843</v>
          </cell>
          <cell r="I644" t="e">
            <v>#N/A</v>
          </cell>
          <cell r="J644" t="e">
            <v>#N/A</v>
          </cell>
          <cell r="K644" t="e">
            <v>#N/A</v>
          </cell>
          <cell r="L644" t="e">
            <v>#N/A</v>
          </cell>
          <cell r="M644" t="e">
            <v>#N/A</v>
          </cell>
          <cell r="N644" t="e">
            <v>#N/A</v>
          </cell>
          <cell r="O644" t="e">
            <v>#N/A</v>
          </cell>
          <cell r="P644">
            <v>34.65</v>
          </cell>
          <cell r="Q644" t="str">
            <v/>
          </cell>
          <cell r="R644" t="e">
            <v>#N/A</v>
          </cell>
        </row>
        <row r="645">
          <cell r="A645">
            <v>40086</v>
          </cell>
          <cell r="B645">
            <v>40086</v>
          </cell>
          <cell r="C645" t="str">
            <v>Future</v>
          </cell>
          <cell r="D645" t="e">
            <v>#N/A</v>
          </cell>
          <cell r="E645">
            <v>22.818932806324121</v>
          </cell>
          <cell r="F645">
            <v>37.095612648221412</v>
          </cell>
          <cell r="G645">
            <v>33.696403162055041</v>
          </cell>
          <cell r="H645">
            <v>33.696403162055041</v>
          </cell>
          <cell r="I645" t="e">
            <v>#N/A</v>
          </cell>
          <cell r="J645" t="e">
            <v>#N/A</v>
          </cell>
          <cell r="K645" t="e">
            <v>#N/A</v>
          </cell>
          <cell r="L645" t="e">
            <v>#N/A</v>
          </cell>
          <cell r="M645" t="e">
            <v>#N/A</v>
          </cell>
          <cell r="N645" t="e">
            <v>#N/A</v>
          </cell>
          <cell r="O645" t="e">
            <v>#N/A</v>
          </cell>
          <cell r="P645">
            <v>34.65</v>
          </cell>
          <cell r="Q645" t="str">
            <v/>
          </cell>
          <cell r="R645" t="e">
            <v>#N/A</v>
          </cell>
        </row>
        <row r="646">
          <cell r="A646">
            <v>40087</v>
          </cell>
          <cell r="B646">
            <v>40087</v>
          </cell>
          <cell r="C646" t="str">
            <v>Future</v>
          </cell>
          <cell r="D646" t="e">
            <v>#N/A</v>
          </cell>
          <cell r="E646">
            <v>22.682292490118588</v>
          </cell>
          <cell r="F646">
            <v>37.124980237154219</v>
          </cell>
          <cell r="G646">
            <v>33.68624505928824</v>
          </cell>
          <cell r="H646">
            <v>33.68624505928824</v>
          </cell>
          <cell r="I646" t="e">
            <v>#N/A</v>
          </cell>
          <cell r="J646" t="e">
            <v>#N/A</v>
          </cell>
          <cell r="K646" t="e">
            <v>#N/A</v>
          </cell>
          <cell r="L646" t="e">
            <v>#N/A</v>
          </cell>
          <cell r="M646" t="e">
            <v>#N/A</v>
          </cell>
          <cell r="N646" t="e">
            <v>#N/A</v>
          </cell>
          <cell r="O646" t="e">
            <v>#N/A</v>
          </cell>
          <cell r="P646">
            <v>34.65</v>
          </cell>
          <cell r="Q646" t="str">
            <v/>
          </cell>
          <cell r="R646" t="e">
            <v>#N/A</v>
          </cell>
        </row>
        <row r="647">
          <cell r="A647">
            <v>40088</v>
          </cell>
          <cell r="B647">
            <v>40088</v>
          </cell>
          <cell r="C647" t="str">
            <v>Future</v>
          </cell>
          <cell r="D647" t="e">
            <v>#N/A</v>
          </cell>
          <cell r="E647">
            <v>22.545652173913055</v>
          </cell>
          <cell r="F647">
            <v>37.154347826087026</v>
          </cell>
          <cell r="G647">
            <v>33.676086956521438</v>
          </cell>
          <cell r="H647">
            <v>33.676086956521438</v>
          </cell>
          <cell r="I647" t="e">
            <v>#N/A</v>
          </cell>
          <cell r="J647" t="e">
            <v>#N/A</v>
          </cell>
          <cell r="K647" t="e">
            <v>#N/A</v>
          </cell>
          <cell r="L647" t="e">
            <v>#N/A</v>
          </cell>
          <cell r="M647" t="e">
            <v>#N/A</v>
          </cell>
          <cell r="N647" t="e">
            <v>#N/A</v>
          </cell>
          <cell r="O647" t="e">
            <v>#N/A</v>
          </cell>
          <cell r="P647">
            <v>34.65</v>
          </cell>
          <cell r="Q647" t="str">
            <v/>
          </cell>
          <cell r="R647" t="e">
            <v>#N/A</v>
          </cell>
        </row>
        <row r="648">
          <cell r="A648">
            <v>40091</v>
          </cell>
          <cell r="B648">
            <v>40091</v>
          </cell>
          <cell r="C648" t="str">
            <v>Future</v>
          </cell>
          <cell r="D648" t="e">
            <v>#N/A</v>
          </cell>
          <cell r="E648">
            <v>22.409011857707522</v>
          </cell>
          <cell r="F648">
            <v>37.183715415019833</v>
          </cell>
          <cell r="G648">
            <v>33.665928853754636</v>
          </cell>
          <cell r="H648">
            <v>33.665928853754636</v>
          </cell>
          <cell r="I648" t="e">
            <v>#N/A</v>
          </cell>
          <cell r="J648" t="e">
            <v>#N/A</v>
          </cell>
          <cell r="K648" t="e">
            <v>#N/A</v>
          </cell>
          <cell r="L648" t="e">
            <v>#N/A</v>
          </cell>
          <cell r="M648" t="e">
            <v>#N/A</v>
          </cell>
          <cell r="N648" t="e">
            <v>#N/A</v>
          </cell>
          <cell r="O648" t="e">
            <v>#N/A</v>
          </cell>
          <cell r="P648">
            <v>34.65</v>
          </cell>
          <cell r="Q648" t="str">
            <v/>
          </cell>
          <cell r="R648" t="e">
            <v>#N/A</v>
          </cell>
        </row>
        <row r="649">
          <cell r="A649">
            <v>40092</v>
          </cell>
          <cell r="B649">
            <v>40092</v>
          </cell>
          <cell r="C649" t="str">
            <v>Future</v>
          </cell>
          <cell r="D649" t="e">
            <v>#N/A</v>
          </cell>
          <cell r="E649">
            <v>22.27237154150199</v>
          </cell>
          <cell r="F649">
            <v>37.21308300395264</v>
          </cell>
          <cell r="G649">
            <v>33.655770750987834</v>
          </cell>
          <cell r="H649">
            <v>33.655770750987834</v>
          </cell>
          <cell r="I649" t="e">
            <v>#N/A</v>
          </cell>
          <cell r="J649" t="e">
            <v>#N/A</v>
          </cell>
          <cell r="K649" t="e">
            <v>#N/A</v>
          </cell>
          <cell r="L649" t="e">
            <v>#N/A</v>
          </cell>
          <cell r="M649" t="e">
            <v>#N/A</v>
          </cell>
          <cell r="N649" t="e">
            <v>#N/A</v>
          </cell>
          <cell r="O649" t="e">
            <v>#N/A</v>
          </cell>
          <cell r="P649">
            <v>34.65</v>
          </cell>
          <cell r="Q649" t="str">
            <v/>
          </cell>
          <cell r="R649" t="e">
            <v>#N/A</v>
          </cell>
        </row>
        <row r="650">
          <cell r="A650">
            <v>40093</v>
          </cell>
          <cell r="B650">
            <v>40093</v>
          </cell>
          <cell r="C650" t="str">
            <v>Future</v>
          </cell>
          <cell r="D650" t="e">
            <v>#N/A</v>
          </cell>
          <cell r="E650">
            <v>22.135731225296457</v>
          </cell>
          <cell r="F650">
            <v>37.242450592885447</v>
          </cell>
          <cell r="G650">
            <v>33.645612648221032</v>
          </cell>
          <cell r="H650">
            <v>33.645612648221032</v>
          </cell>
          <cell r="I650" t="e">
            <v>#N/A</v>
          </cell>
          <cell r="J650" t="e">
            <v>#N/A</v>
          </cell>
          <cell r="K650" t="e">
            <v>#N/A</v>
          </cell>
          <cell r="L650" t="e">
            <v>#N/A</v>
          </cell>
          <cell r="M650" t="e">
            <v>#N/A</v>
          </cell>
          <cell r="N650" t="e">
            <v>#N/A</v>
          </cell>
          <cell r="O650" t="e">
            <v>#N/A</v>
          </cell>
          <cell r="P650">
            <v>34.65</v>
          </cell>
          <cell r="Q650" t="str">
            <v/>
          </cell>
          <cell r="R650" t="e">
            <v>#N/A</v>
          </cell>
        </row>
        <row r="651">
          <cell r="A651">
            <v>40094</v>
          </cell>
          <cell r="B651">
            <v>40094</v>
          </cell>
          <cell r="C651" t="str">
            <v>Future</v>
          </cell>
          <cell r="D651" t="e">
            <v>#N/A</v>
          </cell>
          <cell r="E651">
            <v>21.999090909090924</v>
          </cell>
          <cell r="F651">
            <v>37.271818181818254</v>
          </cell>
          <cell r="G651">
            <v>33.63545454545423</v>
          </cell>
          <cell r="H651">
            <v>33.63545454545423</v>
          </cell>
          <cell r="I651" t="e">
            <v>#N/A</v>
          </cell>
          <cell r="J651" t="e">
            <v>#N/A</v>
          </cell>
          <cell r="K651" t="e">
            <v>#N/A</v>
          </cell>
          <cell r="L651" t="e">
            <v>#N/A</v>
          </cell>
          <cell r="M651" t="e">
            <v>#N/A</v>
          </cell>
          <cell r="N651" t="e">
            <v>#N/A</v>
          </cell>
          <cell r="O651" t="e">
            <v>#N/A</v>
          </cell>
          <cell r="P651">
            <v>34.65</v>
          </cell>
          <cell r="Q651" t="str">
            <v/>
          </cell>
          <cell r="R651" t="e">
            <v>#N/A</v>
          </cell>
        </row>
        <row r="652">
          <cell r="A652">
            <v>40095</v>
          </cell>
          <cell r="B652">
            <v>40095</v>
          </cell>
          <cell r="C652" t="str">
            <v>Future</v>
          </cell>
          <cell r="D652" t="e">
            <v>#N/A</v>
          </cell>
          <cell r="E652">
            <v>21.862450592885391</v>
          </cell>
          <cell r="F652">
            <v>37.301185770751061</v>
          </cell>
          <cell r="G652">
            <v>33.625296442687429</v>
          </cell>
          <cell r="H652">
            <v>33.625296442687429</v>
          </cell>
          <cell r="I652" t="e">
            <v>#N/A</v>
          </cell>
          <cell r="J652" t="e">
            <v>#N/A</v>
          </cell>
          <cell r="K652" t="e">
            <v>#N/A</v>
          </cell>
          <cell r="L652" t="e">
            <v>#N/A</v>
          </cell>
          <cell r="M652" t="e">
            <v>#N/A</v>
          </cell>
          <cell r="N652" t="e">
            <v>#N/A</v>
          </cell>
          <cell r="O652" t="e">
            <v>#N/A</v>
          </cell>
          <cell r="P652">
            <v>34.65</v>
          </cell>
          <cell r="Q652" t="str">
            <v/>
          </cell>
          <cell r="R652" t="e">
            <v>#N/A</v>
          </cell>
        </row>
        <row r="653">
          <cell r="A653">
            <v>40098</v>
          </cell>
          <cell r="B653">
            <v>40098</v>
          </cell>
          <cell r="C653" t="str">
            <v>Future</v>
          </cell>
          <cell r="D653" t="e">
            <v>#N/A</v>
          </cell>
          <cell r="E653">
            <v>21.725810276679859</v>
          </cell>
          <cell r="F653">
            <v>37.330553359683869</v>
          </cell>
          <cell r="G653">
            <v>33.615138339920627</v>
          </cell>
          <cell r="H653">
            <v>33.615138339920627</v>
          </cell>
          <cell r="I653" t="e">
            <v>#N/A</v>
          </cell>
          <cell r="J653" t="e">
            <v>#N/A</v>
          </cell>
          <cell r="K653" t="e">
            <v>#N/A</v>
          </cell>
          <cell r="L653" t="e">
            <v>#N/A</v>
          </cell>
          <cell r="M653" t="e">
            <v>#N/A</v>
          </cell>
          <cell r="N653" t="e">
            <v>#N/A</v>
          </cell>
          <cell r="O653" t="e">
            <v>#N/A</v>
          </cell>
          <cell r="P653">
            <v>34.65</v>
          </cell>
          <cell r="Q653" t="str">
            <v/>
          </cell>
          <cell r="R653" t="e">
            <v>#N/A</v>
          </cell>
        </row>
        <row r="654">
          <cell r="A654">
            <v>40099</v>
          </cell>
          <cell r="B654">
            <v>40099</v>
          </cell>
          <cell r="C654" t="str">
            <v>Future</v>
          </cell>
          <cell r="D654" t="e">
            <v>#N/A</v>
          </cell>
          <cell r="E654">
            <v>21.589169960474326</v>
          </cell>
          <cell r="F654">
            <v>37.359920948616676</v>
          </cell>
          <cell r="G654">
            <v>33.604980237153825</v>
          </cell>
          <cell r="H654">
            <v>33.604980237153825</v>
          </cell>
          <cell r="I654" t="e">
            <v>#N/A</v>
          </cell>
          <cell r="J654" t="e">
            <v>#N/A</v>
          </cell>
          <cell r="K654" t="e">
            <v>#N/A</v>
          </cell>
          <cell r="L654" t="e">
            <v>#N/A</v>
          </cell>
          <cell r="M654" t="e">
            <v>#N/A</v>
          </cell>
          <cell r="N654" t="e">
            <v>#N/A</v>
          </cell>
          <cell r="O654" t="e">
            <v>#N/A</v>
          </cell>
          <cell r="P654">
            <v>34.65</v>
          </cell>
          <cell r="Q654" t="str">
            <v/>
          </cell>
          <cell r="R654" t="e">
            <v>#N/A</v>
          </cell>
        </row>
        <row r="655">
          <cell r="A655">
            <v>40100</v>
          </cell>
          <cell r="B655">
            <v>40100</v>
          </cell>
          <cell r="C655" t="str">
            <v>Future</v>
          </cell>
          <cell r="D655" t="e">
            <v>#N/A</v>
          </cell>
          <cell r="E655">
            <v>21.452529644268793</v>
          </cell>
          <cell r="F655">
            <v>37.389288537549483</v>
          </cell>
          <cell r="G655">
            <v>33.594822134387023</v>
          </cell>
          <cell r="H655">
            <v>33.594822134387023</v>
          </cell>
          <cell r="I655" t="e">
            <v>#N/A</v>
          </cell>
          <cell r="J655" t="e">
            <v>#N/A</v>
          </cell>
          <cell r="K655" t="e">
            <v>#N/A</v>
          </cell>
          <cell r="L655" t="e">
            <v>#N/A</v>
          </cell>
          <cell r="M655" t="e">
            <v>#N/A</v>
          </cell>
          <cell r="N655" t="e">
            <v>#N/A</v>
          </cell>
          <cell r="O655" t="e">
            <v>#N/A</v>
          </cell>
          <cell r="P655">
            <v>34.65</v>
          </cell>
          <cell r="Q655" t="str">
            <v/>
          </cell>
          <cell r="R655" t="e">
            <v>#N/A</v>
          </cell>
        </row>
        <row r="656">
          <cell r="A656">
            <v>40101</v>
          </cell>
          <cell r="B656">
            <v>40101</v>
          </cell>
          <cell r="C656" t="str">
            <v>Future</v>
          </cell>
          <cell r="D656" t="e">
            <v>#N/A</v>
          </cell>
          <cell r="E656">
            <v>21.31588932806326</v>
          </cell>
          <cell r="F656">
            <v>37.41865612648229</v>
          </cell>
          <cell r="G656">
            <v>33.584664031620221</v>
          </cell>
          <cell r="H656">
            <v>33.584664031620221</v>
          </cell>
          <cell r="I656" t="e">
            <v>#N/A</v>
          </cell>
          <cell r="J656" t="e">
            <v>#N/A</v>
          </cell>
          <cell r="K656" t="e">
            <v>#N/A</v>
          </cell>
          <cell r="L656" t="e">
            <v>#N/A</v>
          </cell>
          <cell r="M656" t="e">
            <v>#N/A</v>
          </cell>
          <cell r="N656" t="e">
            <v>#N/A</v>
          </cell>
          <cell r="O656" t="e">
            <v>#N/A</v>
          </cell>
          <cell r="P656">
            <v>34.65</v>
          </cell>
          <cell r="Q656" t="str">
            <v/>
          </cell>
          <cell r="R656" t="e">
            <v>#N/A</v>
          </cell>
        </row>
        <row r="657">
          <cell r="A657">
            <v>40102</v>
          </cell>
          <cell r="B657">
            <v>40102</v>
          </cell>
          <cell r="C657" t="str">
            <v>Future</v>
          </cell>
          <cell r="D657" t="e">
            <v>#N/A</v>
          </cell>
          <cell r="E657">
            <v>21.179249011857728</v>
          </cell>
          <cell r="F657">
            <v>37.448023715415097</v>
          </cell>
          <cell r="G657">
            <v>33.574505928853419</v>
          </cell>
          <cell r="H657">
            <v>33.574505928853419</v>
          </cell>
          <cell r="I657" t="e">
            <v>#N/A</v>
          </cell>
          <cell r="J657" t="e">
            <v>#N/A</v>
          </cell>
          <cell r="K657" t="e">
            <v>#N/A</v>
          </cell>
          <cell r="L657" t="e">
            <v>#N/A</v>
          </cell>
          <cell r="M657" t="e">
            <v>#N/A</v>
          </cell>
          <cell r="N657" t="e">
            <v>#N/A</v>
          </cell>
          <cell r="O657" t="e">
            <v>#N/A</v>
          </cell>
          <cell r="P657">
            <v>34.65</v>
          </cell>
          <cell r="Q657" t="str">
            <v/>
          </cell>
          <cell r="R657" t="e">
            <v>#N/A</v>
          </cell>
        </row>
        <row r="658">
          <cell r="A658">
            <v>40105</v>
          </cell>
          <cell r="B658">
            <v>40105</v>
          </cell>
          <cell r="C658" t="str">
            <v>Future</v>
          </cell>
          <cell r="D658" t="e">
            <v>#N/A</v>
          </cell>
          <cell r="E658">
            <v>21.042608695652195</v>
          </cell>
          <cell r="F658">
            <v>37.477391304347904</v>
          </cell>
          <cell r="G658">
            <v>33.564347826086617</v>
          </cell>
          <cell r="H658">
            <v>33.564347826086617</v>
          </cell>
          <cell r="I658" t="e">
            <v>#N/A</v>
          </cell>
          <cell r="J658" t="e">
            <v>#N/A</v>
          </cell>
          <cell r="K658" t="e">
            <v>#N/A</v>
          </cell>
          <cell r="L658" t="e">
            <v>#N/A</v>
          </cell>
          <cell r="M658" t="e">
            <v>#N/A</v>
          </cell>
          <cell r="N658" t="e">
            <v>#N/A</v>
          </cell>
          <cell r="O658" t="e">
            <v>#N/A</v>
          </cell>
          <cell r="P658">
            <v>34.65</v>
          </cell>
          <cell r="Q658" t="str">
            <v/>
          </cell>
          <cell r="R658" t="e">
            <v>#N/A</v>
          </cell>
        </row>
        <row r="659">
          <cell r="A659">
            <v>40106</v>
          </cell>
          <cell r="B659">
            <v>40106</v>
          </cell>
          <cell r="C659" t="str">
            <v>Future</v>
          </cell>
          <cell r="D659" t="e">
            <v>#N/A</v>
          </cell>
          <cell r="E659">
            <v>20.905968379446662</v>
          </cell>
          <cell r="F659">
            <v>37.506758893280711</v>
          </cell>
          <cell r="G659">
            <v>33.554189723319816</v>
          </cell>
          <cell r="H659">
            <v>33.554189723319816</v>
          </cell>
          <cell r="I659" t="e">
            <v>#N/A</v>
          </cell>
          <cell r="J659" t="e">
            <v>#N/A</v>
          </cell>
          <cell r="K659" t="e">
            <v>#N/A</v>
          </cell>
          <cell r="L659" t="e">
            <v>#N/A</v>
          </cell>
          <cell r="M659" t="e">
            <v>#N/A</v>
          </cell>
          <cell r="N659" t="e">
            <v>#N/A</v>
          </cell>
          <cell r="O659" t="e">
            <v>#N/A</v>
          </cell>
          <cell r="P659">
            <v>34.65</v>
          </cell>
          <cell r="Q659" t="str">
            <v/>
          </cell>
          <cell r="R659" t="e">
            <v>#N/A</v>
          </cell>
        </row>
        <row r="660">
          <cell r="A660">
            <v>40107</v>
          </cell>
          <cell r="B660">
            <v>40107</v>
          </cell>
          <cell r="C660" t="str">
            <v>Future</v>
          </cell>
          <cell r="D660" t="e">
            <v>#N/A</v>
          </cell>
          <cell r="E660">
            <v>20.769328063241129</v>
          </cell>
          <cell r="F660">
            <v>37.536126482213518</v>
          </cell>
          <cell r="G660">
            <v>33.544031620553014</v>
          </cell>
          <cell r="H660">
            <v>33.544031620553014</v>
          </cell>
          <cell r="I660" t="e">
            <v>#N/A</v>
          </cell>
          <cell r="J660" t="e">
            <v>#N/A</v>
          </cell>
          <cell r="K660" t="e">
            <v>#N/A</v>
          </cell>
          <cell r="L660" t="e">
            <v>#N/A</v>
          </cell>
          <cell r="M660" t="e">
            <v>#N/A</v>
          </cell>
          <cell r="N660" t="e">
            <v>#N/A</v>
          </cell>
          <cell r="O660" t="e">
            <v>#N/A</v>
          </cell>
          <cell r="P660">
            <v>34.65</v>
          </cell>
          <cell r="Q660" t="str">
            <v/>
          </cell>
          <cell r="R660" t="e">
            <v>#N/A</v>
          </cell>
        </row>
        <row r="661">
          <cell r="A661">
            <v>40108</v>
          </cell>
          <cell r="B661">
            <v>40108</v>
          </cell>
          <cell r="C661" t="str">
            <v>Future</v>
          </cell>
          <cell r="D661" t="e">
            <v>#N/A</v>
          </cell>
          <cell r="E661">
            <v>20.632687747035597</v>
          </cell>
          <cell r="F661">
            <v>37.565494071146325</v>
          </cell>
          <cell r="G661">
            <v>33.533873517786212</v>
          </cell>
          <cell r="H661">
            <v>33.533873517786212</v>
          </cell>
          <cell r="I661" t="e">
            <v>#N/A</v>
          </cell>
          <cell r="J661" t="e">
            <v>#N/A</v>
          </cell>
          <cell r="K661" t="e">
            <v>#N/A</v>
          </cell>
          <cell r="L661" t="e">
            <v>#N/A</v>
          </cell>
          <cell r="M661" t="e">
            <v>#N/A</v>
          </cell>
          <cell r="N661" t="e">
            <v>#N/A</v>
          </cell>
          <cell r="O661" t="e">
            <v>#N/A</v>
          </cell>
          <cell r="P661">
            <v>34.65</v>
          </cell>
          <cell r="Q661" t="str">
            <v/>
          </cell>
          <cell r="R661" t="e">
            <v>#N/A</v>
          </cell>
        </row>
        <row r="662">
          <cell r="A662">
            <v>40109</v>
          </cell>
          <cell r="B662">
            <v>40109</v>
          </cell>
          <cell r="C662" t="str">
            <v>Future</v>
          </cell>
          <cell r="D662" t="e">
            <v>#N/A</v>
          </cell>
          <cell r="E662">
            <v>20.496047430830064</v>
          </cell>
          <cell r="F662">
            <v>37.594861660079133</v>
          </cell>
          <cell r="G662">
            <v>33.52371541501941</v>
          </cell>
          <cell r="H662">
            <v>33.52371541501941</v>
          </cell>
          <cell r="I662" t="e">
            <v>#N/A</v>
          </cell>
          <cell r="J662" t="e">
            <v>#N/A</v>
          </cell>
          <cell r="K662" t="e">
            <v>#N/A</v>
          </cell>
          <cell r="L662" t="e">
            <v>#N/A</v>
          </cell>
          <cell r="M662" t="e">
            <v>#N/A</v>
          </cell>
          <cell r="N662" t="e">
            <v>#N/A</v>
          </cell>
          <cell r="O662" t="e">
            <v>#N/A</v>
          </cell>
          <cell r="P662">
            <v>34.65</v>
          </cell>
          <cell r="Q662" t="str">
            <v/>
          </cell>
          <cell r="R662" t="e">
            <v>#N/A</v>
          </cell>
        </row>
        <row r="663">
          <cell r="A663">
            <v>40112</v>
          </cell>
          <cell r="B663">
            <v>40112</v>
          </cell>
          <cell r="C663" t="str">
            <v>Future</v>
          </cell>
          <cell r="D663" t="e">
            <v>#N/A</v>
          </cell>
          <cell r="E663">
            <v>20.359407114624531</v>
          </cell>
          <cell r="F663">
            <v>37.62422924901194</v>
          </cell>
          <cell r="G663">
            <v>33.513557312252608</v>
          </cell>
          <cell r="H663">
            <v>33.513557312252608</v>
          </cell>
          <cell r="I663" t="e">
            <v>#N/A</v>
          </cell>
          <cell r="J663" t="e">
            <v>#N/A</v>
          </cell>
          <cell r="K663" t="e">
            <v>#N/A</v>
          </cell>
          <cell r="L663" t="e">
            <v>#N/A</v>
          </cell>
          <cell r="M663" t="e">
            <v>#N/A</v>
          </cell>
          <cell r="N663" t="e">
            <v>#N/A</v>
          </cell>
          <cell r="O663" t="e">
            <v>#N/A</v>
          </cell>
          <cell r="P663">
            <v>34.65</v>
          </cell>
          <cell r="Q663" t="str">
            <v/>
          </cell>
          <cell r="R663" t="e">
            <v>#N/A</v>
          </cell>
        </row>
        <row r="664">
          <cell r="A664">
            <v>40113</v>
          </cell>
          <cell r="B664">
            <v>40113</v>
          </cell>
          <cell r="C664" t="str">
            <v>Future</v>
          </cell>
          <cell r="D664" t="e">
            <v>#N/A</v>
          </cell>
          <cell r="E664">
            <v>20.222766798418998</v>
          </cell>
          <cell r="F664">
            <v>37.653596837944747</v>
          </cell>
          <cell r="G664">
            <v>33.503399209485806</v>
          </cell>
          <cell r="H664">
            <v>33.503399209485806</v>
          </cell>
          <cell r="I664" t="e">
            <v>#N/A</v>
          </cell>
          <cell r="J664" t="e">
            <v>#N/A</v>
          </cell>
          <cell r="K664" t="e">
            <v>#N/A</v>
          </cell>
          <cell r="L664" t="e">
            <v>#N/A</v>
          </cell>
          <cell r="M664" t="e">
            <v>#N/A</v>
          </cell>
          <cell r="N664" t="e">
            <v>#N/A</v>
          </cell>
          <cell r="O664" t="e">
            <v>#N/A</v>
          </cell>
          <cell r="P664">
            <v>34.65</v>
          </cell>
          <cell r="Q664" t="str">
            <v/>
          </cell>
          <cell r="R664" t="e">
            <v>#N/A</v>
          </cell>
        </row>
        <row r="665">
          <cell r="A665">
            <v>40114</v>
          </cell>
          <cell r="B665">
            <v>40114</v>
          </cell>
          <cell r="C665" t="str">
            <v>Future</v>
          </cell>
          <cell r="D665" t="e">
            <v>#N/A</v>
          </cell>
          <cell r="E665">
            <v>20.086126482213466</v>
          </cell>
          <cell r="F665">
            <v>37.682964426877554</v>
          </cell>
          <cell r="G665">
            <v>33.493241106719005</v>
          </cell>
          <cell r="H665">
            <v>33.493241106719005</v>
          </cell>
          <cell r="I665" t="e">
            <v>#N/A</v>
          </cell>
          <cell r="J665" t="e">
            <v>#N/A</v>
          </cell>
          <cell r="K665" t="e">
            <v>#N/A</v>
          </cell>
          <cell r="L665" t="e">
            <v>#N/A</v>
          </cell>
          <cell r="M665" t="e">
            <v>#N/A</v>
          </cell>
          <cell r="N665" t="e">
            <v>#N/A</v>
          </cell>
          <cell r="O665" t="e">
            <v>#N/A</v>
          </cell>
          <cell r="P665">
            <v>34.65</v>
          </cell>
          <cell r="Q665" t="str">
            <v/>
          </cell>
          <cell r="R665" t="e">
            <v>#N/A</v>
          </cell>
        </row>
        <row r="666">
          <cell r="A666">
            <v>40115</v>
          </cell>
          <cell r="B666">
            <v>40115</v>
          </cell>
          <cell r="C666" t="str">
            <v>Future</v>
          </cell>
          <cell r="D666" t="e">
            <v>#N/A</v>
          </cell>
          <cell r="E666">
            <v>19.949486166007933</v>
          </cell>
          <cell r="F666">
            <v>37.712332015810361</v>
          </cell>
          <cell r="G666">
            <v>33.483083003952203</v>
          </cell>
          <cell r="H666">
            <v>33.483083003952203</v>
          </cell>
          <cell r="I666" t="e">
            <v>#N/A</v>
          </cell>
          <cell r="J666" t="e">
            <v>#N/A</v>
          </cell>
          <cell r="K666" t="e">
            <v>#N/A</v>
          </cell>
          <cell r="L666" t="e">
            <v>#N/A</v>
          </cell>
          <cell r="M666" t="e">
            <v>#N/A</v>
          </cell>
          <cell r="N666" t="e">
            <v>#N/A</v>
          </cell>
          <cell r="O666" t="e">
            <v>#N/A</v>
          </cell>
          <cell r="P666">
            <v>34.65</v>
          </cell>
          <cell r="Q666" t="str">
            <v/>
          </cell>
          <cell r="R666" t="e">
            <v>#N/A</v>
          </cell>
        </row>
        <row r="667">
          <cell r="A667">
            <v>40116</v>
          </cell>
          <cell r="B667">
            <v>40116</v>
          </cell>
          <cell r="C667" t="str">
            <v>Future</v>
          </cell>
          <cell r="D667" t="e">
            <v>#N/A</v>
          </cell>
          <cell r="E667">
            <v>19.8128458498024</v>
          </cell>
          <cell r="F667">
            <v>37.741699604743168</v>
          </cell>
          <cell r="G667">
            <v>33.472924901185401</v>
          </cell>
          <cell r="H667">
            <v>33.472924901185401</v>
          </cell>
          <cell r="I667" t="e">
            <v>#N/A</v>
          </cell>
          <cell r="J667" t="e">
            <v>#N/A</v>
          </cell>
          <cell r="K667" t="e">
            <v>#N/A</v>
          </cell>
          <cell r="L667" t="e">
            <v>#N/A</v>
          </cell>
          <cell r="M667" t="e">
            <v>#N/A</v>
          </cell>
          <cell r="N667" t="e">
            <v>#N/A</v>
          </cell>
          <cell r="O667" t="e">
            <v>#N/A</v>
          </cell>
          <cell r="P667">
            <v>34.65</v>
          </cell>
          <cell r="Q667" t="str">
            <v/>
          </cell>
          <cell r="R667" t="e">
            <v>#N/A</v>
          </cell>
        </row>
        <row r="668">
          <cell r="A668">
            <v>40119</v>
          </cell>
          <cell r="B668">
            <v>40119</v>
          </cell>
          <cell r="C668" t="str">
            <v>Future</v>
          </cell>
          <cell r="D668" t="e">
            <v>#N/A</v>
          </cell>
          <cell r="E668">
            <v>19.676205533596868</v>
          </cell>
          <cell r="F668">
            <v>37.771067193675975</v>
          </cell>
          <cell r="G668">
            <v>33.462766798418599</v>
          </cell>
          <cell r="H668">
            <v>33.462766798418599</v>
          </cell>
          <cell r="I668" t="e">
            <v>#N/A</v>
          </cell>
          <cell r="J668" t="e">
            <v>#N/A</v>
          </cell>
          <cell r="K668" t="e">
            <v>#N/A</v>
          </cell>
          <cell r="L668" t="e">
            <v>#N/A</v>
          </cell>
          <cell r="M668" t="e">
            <v>#N/A</v>
          </cell>
          <cell r="N668" t="e">
            <v>#N/A</v>
          </cell>
          <cell r="O668" t="e">
            <v>#N/A</v>
          </cell>
          <cell r="P668">
            <v>34.65</v>
          </cell>
          <cell r="Q668" t="str">
            <v/>
          </cell>
          <cell r="R668" t="e">
            <v>#N/A</v>
          </cell>
        </row>
        <row r="669">
          <cell r="A669">
            <v>40120</v>
          </cell>
          <cell r="B669">
            <v>40120</v>
          </cell>
          <cell r="C669" t="str">
            <v>Future</v>
          </cell>
          <cell r="D669" t="e">
            <v>#N/A</v>
          </cell>
          <cell r="E669">
            <v>19.539565217391335</v>
          </cell>
          <cell r="F669">
            <v>37.800434782608782</v>
          </cell>
          <cell r="G669">
            <v>33.452608695651797</v>
          </cell>
          <cell r="H669">
            <v>33.452608695651797</v>
          </cell>
          <cell r="I669" t="e">
            <v>#N/A</v>
          </cell>
          <cell r="J669" t="e">
            <v>#N/A</v>
          </cell>
          <cell r="K669" t="e">
            <v>#N/A</v>
          </cell>
          <cell r="L669" t="e">
            <v>#N/A</v>
          </cell>
          <cell r="M669" t="e">
            <v>#N/A</v>
          </cell>
          <cell r="N669" t="e">
            <v>#N/A</v>
          </cell>
          <cell r="O669" t="e">
            <v>#N/A</v>
          </cell>
          <cell r="P669">
            <v>34.65</v>
          </cell>
          <cell r="Q669" t="str">
            <v/>
          </cell>
          <cell r="R669" t="e">
            <v>#N/A</v>
          </cell>
        </row>
        <row r="670">
          <cell r="A670">
            <v>40121</v>
          </cell>
          <cell r="B670">
            <v>40121</v>
          </cell>
          <cell r="C670" t="str">
            <v>Future</v>
          </cell>
          <cell r="D670" t="e">
            <v>#N/A</v>
          </cell>
          <cell r="E670">
            <v>19.402924901185802</v>
          </cell>
          <cell r="F670">
            <v>37.829802371541589</v>
          </cell>
          <cell r="G670">
            <v>33.442450592884995</v>
          </cell>
          <cell r="H670">
            <v>33.442450592884995</v>
          </cell>
          <cell r="I670" t="e">
            <v>#N/A</v>
          </cell>
          <cell r="J670" t="e">
            <v>#N/A</v>
          </cell>
          <cell r="K670" t="e">
            <v>#N/A</v>
          </cell>
          <cell r="L670" t="e">
            <v>#N/A</v>
          </cell>
          <cell r="M670" t="e">
            <v>#N/A</v>
          </cell>
          <cell r="N670" t="e">
            <v>#N/A</v>
          </cell>
          <cell r="O670" t="e">
            <v>#N/A</v>
          </cell>
          <cell r="P670">
            <v>34.65</v>
          </cell>
          <cell r="Q670" t="str">
            <v/>
          </cell>
          <cell r="R670" t="e">
            <v>#N/A</v>
          </cell>
        </row>
        <row r="671">
          <cell r="A671">
            <v>40122</v>
          </cell>
          <cell r="B671">
            <v>40122</v>
          </cell>
          <cell r="C671" t="str">
            <v>Future</v>
          </cell>
          <cell r="D671" t="e">
            <v>#N/A</v>
          </cell>
          <cell r="E671">
            <v>19.266284584980269</v>
          </cell>
          <cell r="F671">
            <v>37.859169960474397</v>
          </cell>
          <cell r="G671">
            <v>33.432292490118193</v>
          </cell>
          <cell r="H671">
            <v>33.432292490118193</v>
          </cell>
          <cell r="I671" t="e">
            <v>#N/A</v>
          </cell>
          <cell r="J671" t="e">
            <v>#N/A</v>
          </cell>
          <cell r="K671" t="e">
            <v>#N/A</v>
          </cell>
          <cell r="L671" t="e">
            <v>#N/A</v>
          </cell>
          <cell r="M671" t="e">
            <v>#N/A</v>
          </cell>
          <cell r="N671" t="e">
            <v>#N/A</v>
          </cell>
          <cell r="O671" t="e">
            <v>#N/A</v>
          </cell>
          <cell r="P671">
            <v>34.65</v>
          </cell>
          <cell r="Q671" t="str">
            <v/>
          </cell>
          <cell r="R671" t="e">
            <v>#N/A</v>
          </cell>
        </row>
        <row r="672">
          <cell r="A672">
            <v>40123</v>
          </cell>
          <cell r="B672">
            <v>40123</v>
          </cell>
          <cell r="C672" t="str">
            <v>Future</v>
          </cell>
          <cell r="D672" t="e">
            <v>#N/A</v>
          </cell>
          <cell r="E672">
            <v>19.129644268774737</v>
          </cell>
          <cell r="F672">
            <v>37.888537549407204</v>
          </cell>
          <cell r="G672">
            <v>33.422134387351392</v>
          </cell>
          <cell r="H672">
            <v>33.422134387351392</v>
          </cell>
          <cell r="I672" t="e">
            <v>#N/A</v>
          </cell>
          <cell r="J672" t="e">
            <v>#N/A</v>
          </cell>
          <cell r="K672" t="e">
            <v>#N/A</v>
          </cell>
          <cell r="L672" t="e">
            <v>#N/A</v>
          </cell>
          <cell r="M672" t="e">
            <v>#N/A</v>
          </cell>
          <cell r="N672" t="e">
            <v>#N/A</v>
          </cell>
          <cell r="O672" t="e">
            <v>#N/A</v>
          </cell>
          <cell r="P672">
            <v>34.65</v>
          </cell>
          <cell r="Q672" t="str">
            <v/>
          </cell>
          <cell r="R672" t="e">
            <v>#N/A</v>
          </cell>
        </row>
        <row r="673">
          <cell r="A673">
            <v>40126</v>
          </cell>
          <cell r="B673">
            <v>40126</v>
          </cell>
          <cell r="C673" t="str">
            <v>Future</v>
          </cell>
          <cell r="D673" t="e">
            <v>#N/A</v>
          </cell>
          <cell r="E673">
            <v>18.993003952569204</v>
          </cell>
          <cell r="F673">
            <v>37.917905138340011</v>
          </cell>
          <cell r="G673">
            <v>33.41197628458459</v>
          </cell>
          <cell r="H673">
            <v>33.41197628458459</v>
          </cell>
          <cell r="I673" t="e">
            <v>#N/A</v>
          </cell>
          <cell r="J673" t="e">
            <v>#N/A</v>
          </cell>
          <cell r="K673" t="e">
            <v>#N/A</v>
          </cell>
          <cell r="L673" t="e">
            <v>#N/A</v>
          </cell>
          <cell r="M673" t="e">
            <v>#N/A</v>
          </cell>
          <cell r="N673" t="e">
            <v>#N/A</v>
          </cell>
          <cell r="O673" t="e">
            <v>#N/A</v>
          </cell>
          <cell r="P673">
            <v>34.65</v>
          </cell>
          <cell r="Q673" t="str">
            <v/>
          </cell>
          <cell r="R673" t="e">
            <v>#N/A</v>
          </cell>
        </row>
        <row r="674">
          <cell r="A674">
            <v>40127</v>
          </cell>
          <cell r="B674">
            <v>40127</v>
          </cell>
          <cell r="C674" t="str">
            <v>Future</v>
          </cell>
          <cell r="D674" t="e">
            <v>#N/A</v>
          </cell>
          <cell r="E674">
            <v>18.856363636363671</v>
          </cell>
          <cell r="F674">
            <v>37.947272727272818</v>
          </cell>
          <cell r="G674">
            <v>33.401818181817788</v>
          </cell>
          <cell r="H674">
            <v>33.401818181817788</v>
          </cell>
          <cell r="I674" t="e">
            <v>#N/A</v>
          </cell>
          <cell r="J674" t="e">
            <v>#N/A</v>
          </cell>
          <cell r="K674" t="e">
            <v>#N/A</v>
          </cell>
          <cell r="L674" t="e">
            <v>#N/A</v>
          </cell>
          <cell r="M674" t="e">
            <v>#N/A</v>
          </cell>
          <cell r="N674" t="e">
            <v>#N/A</v>
          </cell>
          <cell r="O674" t="e">
            <v>#N/A</v>
          </cell>
          <cell r="P674">
            <v>34.65</v>
          </cell>
          <cell r="Q674" t="str">
            <v/>
          </cell>
          <cell r="R674" t="e">
            <v>#N/A</v>
          </cell>
        </row>
        <row r="675">
          <cell r="A675">
            <v>40128</v>
          </cell>
          <cell r="B675">
            <v>40128</v>
          </cell>
          <cell r="C675" t="str">
            <v>Future</v>
          </cell>
          <cell r="D675" t="e">
            <v>#N/A</v>
          </cell>
          <cell r="E675">
            <v>18.719723320158138</v>
          </cell>
          <cell r="F675">
            <v>37.976640316205625</v>
          </cell>
          <cell r="G675">
            <v>33.391660079050986</v>
          </cell>
          <cell r="H675">
            <v>33.391660079050986</v>
          </cell>
          <cell r="I675" t="e">
            <v>#N/A</v>
          </cell>
          <cell r="J675" t="e">
            <v>#N/A</v>
          </cell>
          <cell r="K675" t="e">
            <v>#N/A</v>
          </cell>
          <cell r="L675" t="e">
            <v>#N/A</v>
          </cell>
          <cell r="M675" t="e">
            <v>#N/A</v>
          </cell>
          <cell r="N675" t="e">
            <v>#N/A</v>
          </cell>
          <cell r="O675" t="e">
            <v>#N/A</v>
          </cell>
          <cell r="P675">
            <v>34.65</v>
          </cell>
          <cell r="Q675" t="str">
            <v/>
          </cell>
          <cell r="R675" t="e">
            <v>#N/A</v>
          </cell>
        </row>
        <row r="676">
          <cell r="A676">
            <v>40129</v>
          </cell>
          <cell r="B676">
            <v>40129</v>
          </cell>
          <cell r="C676" t="str">
            <v>Future</v>
          </cell>
          <cell r="D676" t="e">
            <v>#N/A</v>
          </cell>
          <cell r="E676">
            <v>18.583083003952606</v>
          </cell>
          <cell r="F676">
            <v>38.006007905138432</v>
          </cell>
          <cell r="G676">
            <v>33.381501976284184</v>
          </cell>
          <cell r="H676">
            <v>33.381501976284184</v>
          </cell>
          <cell r="I676" t="e">
            <v>#N/A</v>
          </cell>
          <cell r="J676" t="e">
            <v>#N/A</v>
          </cell>
          <cell r="K676" t="e">
            <v>#N/A</v>
          </cell>
          <cell r="L676" t="e">
            <v>#N/A</v>
          </cell>
          <cell r="M676" t="e">
            <v>#N/A</v>
          </cell>
          <cell r="N676" t="e">
            <v>#N/A</v>
          </cell>
          <cell r="O676" t="e">
            <v>#N/A</v>
          </cell>
          <cell r="P676">
            <v>34.65</v>
          </cell>
          <cell r="Q676" t="str">
            <v/>
          </cell>
          <cell r="R676" t="e">
            <v>#N/A</v>
          </cell>
        </row>
        <row r="677">
          <cell r="A677">
            <v>40130</v>
          </cell>
          <cell r="B677">
            <v>40130</v>
          </cell>
          <cell r="C677" t="str">
            <v>Future</v>
          </cell>
          <cell r="D677" t="e">
            <v>#N/A</v>
          </cell>
          <cell r="E677">
            <v>18.446442687747073</v>
          </cell>
          <cell r="F677">
            <v>38.035375494071239</v>
          </cell>
          <cell r="G677">
            <v>33.371343873517382</v>
          </cell>
          <cell r="H677">
            <v>33.371343873517382</v>
          </cell>
          <cell r="I677" t="e">
            <v>#N/A</v>
          </cell>
          <cell r="J677" t="e">
            <v>#N/A</v>
          </cell>
          <cell r="K677" t="e">
            <v>#N/A</v>
          </cell>
          <cell r="L677" t="e">
            <v>#N/A</v>
          </cell>
          <cell r="M677" t="e">
            <v>#N/A</v>
          </cell>
          <cell r="N677" t="e">
            <v>#N/A</v>
          </cell>
          <cell r="O677" t="e">
            <v>#N/A</v>
          </cell>
          <cell r="P677">
            <v>34.65</v>
          </cell>
          <cell r="Q677" t="str">
            <v/>
          </cell>
          <cell r="R677" t="e">
            <v>#N/A</v>
          </cell>
        </row>
        <row r="678">
          <cell r="A678">
            <v>40133</v>
          </cell>
          <cell r="B678">
            <v>40133</v>
          </cell>
          <cell r="C678" t="str">
            <v>Future</v>
          </cell>
          <cell r="D678" t="e">
            <v>#N/A</v>
          </cell>
          <cell r="E678">
            <v>18.30980237154154</v>
          </cell>
          <cell r="F678">
            <v>38.064743083004046</v>
          </cell>
          <cell r="G678">
            <v>33.361185770750581</v>
          </cell>
          <cell r="H678">
            <v>33.361185770750581</v>
          </cell>
          <cell r="I678" t="e">
            <v>#N/A</v>
          </cell>
          <cell r="J678" t="e">
            <v>#N/A</v>
          </cell>
          <cell r="K678" t="e">
            <v>#N/A</v>
          </cell>
          <cell r="L678" t="e">
            <v>#N/A</v>
          </cell>
          <cell r="M678" t="e">
            <v>#N/A</v>
          </cell>
          <cell r="N678" t="e">
            <v>#N/A</v>
          </cell>
          <cell r="O678" t="e">
            <v>#N/A</v>
          </cell>
          <cell r="P678">
            <v>34.65</v>
          </cell>
          <cell r="Q678" t="str">
            <v/>
          </cell>
          <cell r="R678" t="e">
            <v>#N/A</v>
          </cell>
        </row>
        <row r="679">
          <cell r="A679">
            <v>40134</v>
          </cell>
          <cell r="B679">
            <v>40134</v>
          </cell>
          <cell r="C679" t="str">
            <v>Future</v>
          </cell>
          <cell r="D679" t="e">
            <v>#N/A</v>
          </cell>
          <cell r="E679">
            <v>18.173162055336007</v>
          </cell>
          <cell r="F679">
            <v>38.094110671936853</v>
          </cell>
          <cell r="G679">
            <v>33.351027667983779</v>
          </cell>
          <cell r="H679">
            <v>33.351027667983779</v>
          </cell>
          <cell r="I679" t="e">
            <v>#N/A</v>
          </cell>
          <cell r="J679" t="e">
            <v>#N/A</v>
          </cell>
          <cell r="K679" t="e">
            <v>#N/A</v>
          </cell>
          <cell r="L679" t="e">
            <v>#N/A</v>
          </cell>
          <cell r="M679" t="e">
            <v>#N/A</v>
          </cell>
          <cell r="N679" t="e">
            <v>#N/A</v>
          </cell>
          <cell r="O679" t="e">
            <v>#N/A</v>
          </cell>
          <cell r="P679">
            <v>34.65</v>
          </cell>
          <cell r="Q679" t="str">
            <v/>
          </cell>
          <cell r="R679" t="e">
            <v>#N/A</v>
          </cell>
        </row>
        <row r="680">
          <cell r="A680">
            <v>40135</v>
          </cell>
          <cell r="B680">
            <v>40135</v>
          </cell>
          <cell r="C680" t="str">
            <v>Future</v>
          </cell>
          <cell r="D680" t="e">
            <v>#N/A</v>
          </cell>
          <cell r="E680">
            <v>18.036521739130475</v>
          </cell>
          <cell r="F680">
            <v>38.123478260869661</v>
          </cell>
          <cell r="G680">
            <v>33.340869565216977</v>
          </cell>
          <cell r="H680">
            <v>33.340869565216977</v>
          </cell>
          <cell r="I680" t="e">
            <v>#N/A</v>
          </cell>
          <cell r="J680" t="e">
            <v>#N/A</v>
          </cell>
          <cell r="K680" t="e">
            <v>#N/A</v>
          </cell>
          <cell r="L680" t="e">
            <v>#N/A</v>
          </cell>
          <cell r="M680" t="e">
            <v>#N/A</v>
          </cell>
          <cell r="N680" t="e">
            <v>#N/A</v>
          </cell>
          <cell r="O680" t="e">
            <v>#N/A</v>
          </cell>
          <cell r="P680">
            <v>34.65</v>
          </cell>
          <cell r="Q680" t="str">
            <v/>
          </cell>
          <cell r="R680" t="e">
            <v>#N/A</v>
          </cell>
        </row>
        <row r="681">
          <cell r="A681">
            <v>40136</v>
          </cell>
          <cell r="B681">
            <v>40136</v>
          </cell>
          <cell r="C681" t="str">
            <v>Future</v>
          </cell>
          <cell r="D681" t="e">
            <v>#N/A</v>
          </cell>
          <cell r="E681">
            <v>17.899881422924942</v>
          </cell>
          <cell r="F681">
            <v>38.152845849802468</v>
          </cell>
          <cell r="G681">
            <v>33.330711462450175</v>
          </cell>
          <cell r="H681">
            <v>33.330711462450175</v>
          </cell>
          <cell r="I681" t="e">
            <v>#N/A</v>
          </cell>
          <cell r="J681" t="e">
            <v>#N/A</v>
          </cell>
          <cell r="K681" t="e">
            <v>#N/A</v>
          </cell>
          <cell r="L681" t="e">
            <v>#N/A</v>
          </cell>
          <cell r="M681" t="e">
            <v>#N/A</v>
          </cell>
          <cell r="N681" t="e">
            <v>#N/A</v>
          </cell>
          <cell r="O681" t="e">
            <v>#N/A</v>
          </cell>
          <cell r="P681">
            <v>34.65</v>
          </cell>
          <cell r="Q681" t="str">
            <v/>
          </cell>
          <cell r="R681" t="e">
            <v>#N/A</v>
          </cell>
        </row>
        <row r="682">
          <cell r="A682">
            <v>40137</v>
          </cell>
          <cell r="B682">
            <v>40137</v>
          </cell>
          <cell r="C682" t="str">
            <v>Future</v>
          </cell>
          <cell r="D682" t="e">
            <v>#N/A</v>
          </cell>
          <cell r="E682">
            <v>17.763241106719409</v>
          </cell>
          <cell r="F682">
            <v>38.182213438735275</v>
          </cell>
          <cell r="G682">
            <v>33.320553359683373</v>
          </cell>
          <cell r="H682">
            <v>33.320553359683373</v>
          </cell>
          <cell r="I682" t="e">
            <v>#N/A</v>
          </cell>
          <cell r="J682" t="e">
            <v>#N/A</v>
          </cell>
          <cell r="K682" t="e">
            <v>#N/A</v>
          </cell>
          <cell r="L682" t="e">
            <v>#N/A</v>
          </cell>
          <cell r="M682" t="e">
            <v>#N/A</v>
          </cell>
          <cell r="N682" t="e">
            <v>#N/A</v>
          </cell>
          <cell r="O682" t="e">
            <v>#N/A</v>
          </cell>
          <cell r="P682">
            <v>34.65</v>
          </cell>
          <cell r="Q682" t="str">
            <v/>
          </cell>
          <cell r="R682" t="e">
            <v>#N/A</v>
          </cell>
        </row>
        <row r="683">
          <cell r="A683">
            <v>40140</v>
          </cell>
          <cell r="B683">
            <v>40140</v>
          </cell>
          <cell r="C683" t="str">
            <v>Future</v>
          </cell>
          <cell r="D683" t="e">
            <v>#N/A</v>
          </cell>
          <cell r="E683">
            <v>17.626600790513876</v>
          </cell>
          <cell r="F683">
            <v>38.211581027668082</v>
          </cell>
          <cell r="G683">
            <v>33.310395256916571</v>
          </cell>
          <cell r="H683">
            <v>33.310395256916571</v>
          </cell>
          <cell r="I683" t="e">
            <v>#N/A</v>
          </cell>
          <cell r="J683" t="e">
            <v>#N/A</v>
          </cell>
          <cell r="K683" t="e">
            <v>#N/A</v>
          </cell>
          <cell r="L683" t="e">
            <v>#N/A</v>
          </cell>
          <cell r="M683" t="e">
            <v>#N/A</v>
          </cell>
          <cell r="N683" t="e">
            <v>#N/A</v>
          </cell>
          <cell r="O683" t="e">
            <v>#N/A</v>
          </cell>
          <cell r="P683">
            <v>34.65</v>
          </cell>
          <cell r="Q683" t="str">
            <v/>
          </cell>
          <cell r="R683" t="e">
            <v>#N/A</v>
          </cell>
        </row>
        <row r="684">
          <cell r="A684">
            <v>40141</v>
          </cell>
          <cell r="B684">
            <v>40141</v>
          </cell>
          <cell r="C684" t="str">
            <v>Future</v>
          </cell>
          <cell r="D684" t="e">
            <v>#N/A</v>
          </cell>
          <cell r="E684">
            <v>17.489960474308344</v>
          </cell>
          <cell r="F684">
            <v>38.240948616600889</v>
          </cell>
          <cell r="G684">
            <v>33.300237154149769</v>
          </cell>
          <cell r="H684">
            <v>33.300237154149769</v>
          </cell>
          <cell r="I684" t="e">
            <v>#N/A</v>
          </cell>
          <cell r="J684" t="e">
            <v>#N/A</v>
          </cell>
          <cell r="K684" t="e">
            <v>#N/A</v>
          </cell>
          <cell r="L684" t="e">
            <v>#N/A</v>
          </cell>
          <cell r="M684" t="e">
            <v>#N/A</v>
          </cell>
          <cell r="N684" t="e">
            <v>#N/A</v>
          </cell>
          <cell r="O684" t="e">
            <v>#N/A</v>
          </cell>
          <cell r="P684">
            <v>34.65</v>
          </cell>
          <cell r="Q684" t="str">
            <v/>
          </cell>
          <cell r="R684" t="e">
            <v>#N/A</v>
          </cell>
        </row>
        <row r="685">
          <cell r="A685">
            <v>40142</v>
          </cell>
          <cell r="B685">
            <v>40142</v>
          </cell>
          <cell r="C685" t="str">
            <v>Future</v>
          </cell>
          <cell r="D685" t="e">
            <v>#N/A</v>
          </cell>
          <cell r="E685">
            <v>17.353320158102811</v>
          </cell>
          <cell r="F685">
            <v>38.270316205533696</v>
          </cell>
          <cell r="G685">
            <v>33.290079051382968</v>
          </cell>
          <cell r="H685">
            <v>33.290079051382968</v>
          </cell>
          <cell r="I685" t="e">
            <v>#N/A</v>
          </cell>
          <cell r="J685" t="e">
            <v>#N/A</v>
          </cell>
          <cell r="K685" t="e">
            <v>#N/A</v>
          </cell>
          <cell r="L685" t="e">
            <v>#N/A</v>
          </cell>
          <cell r="M685" t="e">
            <v>#N/A</v>
          </cell>
          <cell r="N685" t="e">
            <v>#N/A</v>
          </cell>
          <cell r="O685" t="e">
            <v>#N/A</v>
          </cell>
          <cell r="P685">
            <v>34.65</v>
          </cell>
          <cell r="Q685" t="str">
            <v/>
          </cell>
          <cell r="R685" t="e">
            <v>#N/A</v>
          </cell>
        </row>
        <row r="686">
          <cell r="A686">
            <v>40144</v>
          </cell>
          <cell r="B686">
            <v>40144</v>
          </cell>
          <cell r="C686" t="str">
            <v>Future</v>
          </cell>
          <cell r="D686" t="e">
            <v>#N/A</v>
          </cell>
          <cell r="E686">
            <v>17.216679841897278</v>
          </cell>
          <cell r="F686">
            <v>38.299683794466503</v>
          </cell>
          <cell r="G686">
            <v>33.279920948616166</v>
          </cell>
          <cell r="H686">
            <v>33.279920948616166</v>
          </cell>
          <cell r="I686" t="e">
            <v>#N/A</v>
          </cell>
          <cell r="J686" t="e">
            <v>#N/A</v>
          </cell>
          <cell r="K686" t="e">
            <v>#N/A</v>
          </cell>
          <cell r="L686" t="e">
            <v>#N/A</v>
          </cell>
          <cell r="M686" t="e">
            <v>#N/A</v>
          </cell>
          <cell r="N686" t="e">
            <v>#N/A</v>
          </cell>
          <cell r="O686" t="e">
            <v>#N/A</v>
          </cell>
          <cell r="P686">
            <v>34.65</v>
          </cell>
          <cell r="Q686" t="str">
            <v/>
          </cell>
          <cell r="R686" t="e">
            <v>#N/A</v>
          </cell>
        </row>
        <row r="687">
          <cell r="A687">
            <v>40147</v>
          </cell>
          <cell r="B687">
            <v>40147</v>
          </cell>
          <cell r="C687" t="str">
            <v>Future</v>
          </cell>
          <cell r="D687" t="e">
            <v>#N/A</v>
          </cell>
          <cell r="E687">
            <v>17.080039525691745</v>
          </cell>
          <cell r="F687">
            <v>38.32905138339931</v>
          </cell>
          <cell r="G687">
            <v>33.269762845849364</v>
          </cell>
          <cell r="H687">
            <v>33.269762845849364</v>
          </cell>
          <cell r="I687" t="e">
            <v>#N/A</v>
          </cell>
          <cell r="J687" t="e">
            <v>#N/A</v>
          </cell>
          <cell r="K687" t="e">
            <v>#N/A</v>
          </cell>
          <cell r="L687" t="e">
            <v>#N/A</v>
          </cell>
          <cell r="M687" t="e">
            <v>#N/A</v>
          </cell>
          <cell r="N687" t="e">
            <v>#N/A</v>
          </cell>
          <cell r="O687" t="e">
            <v>#N/A</v>
          </cell>
          <cell r="P687">
            <v>34.65</v>
          </cell>
          <cell r="Q687" t="str">
            <v/>
          </cell>
          <cell r="R687" t="e">
            <v>#N/A</v>
          </cell>
        </row>
        <row r="688">
          <cell r="A688">
            <v>40148</v>
          </cell>
          <cell r="B688">
            <v>40148</v>
          </cell>
          <cell r="C688" t="str">
            <v>Future</v>
          </cell>
          <cell r="D688" t="e">
            <v>#N/A</v>
          </cell>
          <cell r="E688">
            <v>16.943399209486213</v>
          </cell>
          <cell r="F688">
            <v>38.358418972332117</v>
          </cell>
          <cell r="G688">
            <v>33.259604743082562</v>
          </cell>
          <cell r="H688">
            <v>33.259604743082562</v>
          </cell>
          <cell r="I688" t="e">
            <v>#N/A</v>
          </cell>
          <cell r="J688" t="e">
            <v>#N/A</v>
          </cell>
          <cell r="K688" t="e">
            <v>#N/A</v>
          </cell>
          <cell r="L688" t="e">
            <v>#N/A</v>
          </cell>
          <cell r="M688" t="e">
            <v>#N/A</v>
          </cell>
          <cell r="N688" t="e">
            <v>#N/A</v>
          </cell>
          <cell r="O688" t="e">
            <v>#N/A</v>
          </cell>
          <cell r="P688">
            <v>34.65</v>
          </cell>
          <cell r="Q688" t="str">
            <v/>
          </cell>
          <cell r="R688" t="e">
            <v>#N/A</v>
          </cell>
        </row>
        <row r="689">
          <cell r="A689">
            <v>40149</v>
          </cell>
          <cell r="B689">
            <v>40149</v>
          </cell>
          <cell r="C689" t="str">
            <v>Future</v>
          </cell>
          <cell r="D689" t="e">
            <v>#N/A</v>
          </cell>
          <cell r="E689">
            <v>16.80675889328068</v>
          </cell>
          <cell r="F689">
            <v>38.387786561264925</v>
          </cell>
          <cell r="G689">
            <v>33.24944664031576</v>
          </cell>
          <cell r="H689">
            <v>33.24944664031576</v>
          </cell>
          <cell r="I689" t="e">
            <v>#N/A</v>
          </cell>
          <cell r="J689" t="e">
            <v>#N/A</v>
          </cell>
          <cell r="K689" t="e">
            <v>#N/A</v>
          </cell>
          <cell r="L689" t="e">
            <v>#N/A</v>
          </cell>
          <cell r="M689" t="e">
            <v>#N/A</v>
          </cell>
          <cell r="N689" t="e">
            <v>#N/A</v>
          </cell>
          <cell r="O689" t="e">
            <v>#N/A</v>
          </cell>
          <cell r="P689">
            <v>34.65</v>
          </cell>
          <cell r="Q689" t="str">
            <v/>
          </cell>
          <cell r="R689" t="e">
            <v>#N/A</v>
          </cell>
        </row>
        <row r="690">
          <cell r="A690">
            <v>40150</v>
          </cell>
          <cell r="B690">
            <v>40150</v>
          </cell>
          <cell r="C690" t="str">
            <v>Future</v>
          </cell>
          <cell r="D690" t="e">
            <v>#N/A</v>
          </cell>
          <cell r="E690">
            <v>16.670118577075147</v>
          </cell>
          <cell r="F690">
            <v>38.417154150197732</v>
          </cell>
          <cell r="G690">
            <v>33.239288537548958</v>
          </cell>
          <cell r="H690">
            <v>33.239288537548958</v>
          </cell>
          <cell r="I690" t="e">
            <v>#N/A</v>
          </cell>
          <cell r="J690" t="e">
            <v>#N/A</v>
          </cell>
          <cell r="K690" t="e">
            <v>#N/A</v>
          </cell>
          <cell r="L690" t="e">
            <v>#N/A</v>
          </cell>
          <cell r="M690" t="e">
            <v>#N/A</v>
          </cell>
          <cell r="N690" t="e">
            <v>#N/A</v>
          </cell>
          <cell r="O690" t="e">
            <v>#N/A</v>
          </cell>
          <cell r="P690">
            <v>34.65</v>
          </cell>
          <cell r="Q690" t="str">
            <v/>
          </cell>
          <cell r="R690" t="e">
            <v>#N/A</v>
          </cell>
        </row>
        <row r="691">
          <cell r="A691">
            <v>40151</v>
          </cell>
          <cell r="B691">
            <v>40151</v>
          </cell>
          <cell r="C691" t="str">
            <v>Future</v>
          </cell>
          <cell r="D691" t="e">
            <v>#N/A</v>
          </cell>
          <cell r="E691">
            <v>16.533478260869614</v>
          </cell>
          <cell r="F691">
            <v>38.446521739130539</v>
          </cell>
          <cell r="G691">
            <v>33.229130434782157</v>
          </cell>
          <cell r="H691">
            <v>33.229130434782157</v>
          </cell>
          <cell r="I691" t="e">
            <v>#N/A</v>
          </cell>
          <cell r="J691" t="e">
            <v>#N/A</v>
          </cell>
          <cell r="K691" t="e">
            <v>#N/A</v>
          </cell>
          <cell r="L691" t="e">
            <v>#N/A</v>
          </cell>
          <cell r="M691" t="e">
            <v>#N/A</v>
          </cell>
          <cell r="N691" t="e">
            <v>#N/A</v>
          </cell>
          <cell r="O691" t="e">
            <v>#N/A</v>
          </cell>
          <cell r="P691">
            <v>34.65</v>
          </cell>
          <cell r="Q691" t="str">
            <v/>
          </cell>
          <cell r="R691" t="e">
            <v>#N/A</v>
          </cell>
        </row>
        <row r="692">
          <cell r="A692">
            <v>40154</v>
          </cell>
          <cell r="B692">
            <v>40154</v>
          </cell>
          <cell r="C692" t="str">
            <v>Future</v>
          </cell>
          <cell r="D692" t="e">
            <v>#N/A</v>
          </cell>
          <cell r="E692">
            <v>16.396837944664082</v>
          </cell>
          <cell r="F692">
            <v>38.475889328063346</v>
          </cell>
          <cell r="G692">
            <v>33.218972332015355</v>
          </cell>
          <cell r="H692">
            <v>33.218972332015355</v>
          </cell>
          <cell r="I692" t="e">
            <v>#N/A</v>
          </cell>
          <cell r="J692" t="e">
            <v>#N/A</v>
          </cell>
          <cell r="K692" t="e">
            <v>#N/A</v>
          </cell>
          <cell r="L692" t="e">
            <v>#N/A</v>
          </cell>
          <cell r="M692" t="e">
            <v>#N/A</v>
          </cell>
          <cell r="N692" t="e">
            <v>#N/A</v>
          </cell>
          <cell r="O692" t="e">
            <v>#N/A</v>
          </cell>
          <cell r="P692">
            <v>34.65</v>
          </cell>
          <cell r="Q692" t="str">
            <v/>
          </cell>
          <cell r="R692" t="e">
            <v>#N/A</v>
          </cell>
        </row>
        <row r="693">
          <cell r="A693">
            <v>40155</v>
          </cell>
          <cell r="B693">
            <v>40155</v>
          </cell>
          <cell r="C693" t="str">
            <v>Future</v>
          </cell>
          <cell r="D693" t="e">
            <v>#N/A</v>
          </cell>
          <cell r="E693">
            <v>16.260197628458549</v>
          </cell>
          <cell r="F693">
            <v>38.505256916996153</v>
          </cell>
          <cell r="G693">
            <v>33.208814229248553</v>
          </cell>
          <cell r="H693">
            <v>33.208814229248553</v>
          </cell>
          <cell r="I693" t="e">
            <v>#N/A</v>
          </cell>
          <cell r="J693" t="e">
            <v>#N/A</v>
          </cell>
          <cell r="K693" t="e">
            <v>#N/A</v>
          </cell>
          <cell r="L693" t="e">
            <v>#N/A</v>
          </cell>
          <cell r="M693" t="e">
            <v>#N/A</v>
          </cell>
          <cell r="N693" t="e">
            <v>#N/A</v>
          </cell>
          <cell r="O693" t="e">
            <v>#N/A</v>
          </cell>
          <cell r="P693">
            <v>34.65</v>
          </cell>
          <cell r="Q693" t="str">
            <v/>
          </cell>
          <cell r="R693" t="e">
            <v>#N/A</v>
          </cell>
        </row>
        <row r="694">
          <cell r="A694">
            <v>40156</v>
          </cell>
          <cell r="B694">
            <v>40156</v>
          </cell>
          <cell r="C694" t="str">
            <v>Future</v>
          </cell>
          <cell r="D694" t="e">
            <v>#N/A</v>
          </cell>
          <cell r="E694">
            <v>16.123557312253016</v>
          </cell>
          <cell r="F694">
            <v>38.53462450592896</v>
          </cell>
          <cell r="G694">
            <v>33.198656126481751</v>
          </cell>
          <cell r="H694">
            <v>33.198656126481751</v>
          </cell>
          <cell r="I694" t="e">
            <v>#N/A</v>
          </cell>
          <cell r="J694" t="e">
            <v>#N/A</v>
          </cell>
          <cell r="K694" t="e">
            <v>#N/A</v>
          </cell>
          <cell r="L694" t="e">
            <v>#N/A</v>
          </cell>
          <cell r="M694" t="e">
            <v>#N/A</v>
          </cell>
          <cell r="N694" t="e">
            <v>#N/A</v>
          </cell>
          <cell r="O694" t="e">
            <v>#N/A</v>
          </cell>
          <cell r="P694">
            <v>34.65</v>
          </cell>
          <cell r="Q694" t="str">
            <v/>
          </cell>
          <cell r="R694" t="e">
            <v>#N/A</v>
          </cell>
        </row>
        <row r="695">
          <cell r="A695">
            <v>40157</v>
          </cell>
          <cell r="B695">
            <v>40157</v>
          </cell>
          <cell r="C695" t="str">
            <v>Future</v>
          </cell>
          <cell r="D695" t="e">
            <v>#N/A</v>
          </cell>
          <cell r="E695">
            <v>15.986916996047484</v>
          </cell>
          <cell r="F695">
            <v>38.563992094861767</v>
          </cell>
          <cell r="G695">
            <v>33.188498023714949</v>
          </cell>
          <cell r="H695">
            <v>33.188498023714949</v>
          </cell>
          <cell r="I695" t="e">
            <v>#N/A</v>
          </cell>
          <cell r="J695" t="e">
            <v>#N/A</v>
          </cell>
          <cell r="K695" t="e">
            <v>#N/A</v>
          </cell>
          <cell r="L695" t="e">
            <v>#N/A</v>
          </cell>
          <cell r="M695" t="e">
            <v>#N/A</v>
          </cell>
          <cell r="N695" t="e">
            <v>#N/A</v>
          </cell>
          <cell r="O695" t="e">
            <v>#N/A</v>
          </cell>
          <cell r="P695">
            <v>34.65</v>
          </cell>
          <cell r="Q695" t="str">
            <v/>
          </cell>
          <cell r="R695" t="e">
            <v>#N/A</v>
          </cell>
        </row>
        <row r="696">
          <cell r="A696">
            <v>40158</v>
          </cell>
          <cell r="B696">
            <v>40158</v>
          </cell>
          <cell r="C696" t="str">
            <v>Future</v>
          </cell>
          <cell r="D696" t="e">
            <v>#N/A</v>
          </cell>
          <cell r="E696">
            <v>15.850276679841951</v>
          </cell>
          <cell r="F696">
            <v>38.593359683794574</v>
          </cell>
          <cell r="G696">
            <v>33.178339920948147</v>
          </cell>
          <cell r="H696">
            <v>33.178339920948147</v>
          </cell>
          <cell r="I696" t="e">
            <v>#N/A</v>
          </cell>
          <cell r="J696" t="e">
            <v>#N/A</v>
          </cell>
          <cell r="K696" t="e">
            <v>#N/A</v>
          </cell>
          <cell r="L696" t="e">
            <v>#N/A</v>
          </cell>
          <cell r="M696" t="e">
            <v>#N/A</v>
          </cell>
          <cell r="N696" t="e">
            <v>#N/A</v>
          </cell>
          <cell r="O696" t="e">
            <v>#N/A</v>
          </cell>
          <cell r="P696">
            <v>34.65</v>
          </cell>
          <cell r="Q696" t="str">
            <v/>
          </cell>
          <cell r="R696" t="e">
            <v>#N/A</v>
          </cell>
        </row>
        <row r="697">
          <cell r="A697">
            <v>40161</v>
          </cell>
          <cell r="B697">
            <v>40161</v>
          </cell>
          <cell r="C697" t="str">
            <v>Future</v>
          </cell>
          <cell r="D697" t="e">
            <v>#N/A</v>
          </cell>
          <cell r="E697">
            <v>15.713636363636418</v>
          </cell>
          <cell r="F697">
            <v>38.622727272727381</v>
          </cell>
          <cell r="G697">
            <v>33.168181818181345</v>
          </cell>
          <cell r="H697">
            <v>33.168181818181345</v>
          </cell>
          <cell r="I697" t="e">
            <v>#N/A</v>
          </cell>
          <cell r="J697" t="e">
            <v>#N/A</v>
          </cell>
          <cell r="K697" t="e">
            <v>#N/A</v>
          </cell>
          <cell r="L697" t="e">
            <v>#N/A</v>
          </cell>
          <cell r="M697" t="e">
            <v>#N/A</v>
          </cell>
          <cell r="N697" t="e">
            <v>#N/A</v>
          </cell>
          <cell r="O697" t="e">
            <v>#N/A</v>
          </cell>
          <cell r="P697">
            <v>34.65</v>
          </cell>
          <cell r="Q697" t="str">
            <v/>
          </cell>
          <cell r="R697" t="e">
            <v>#N/A</v>
          </cell>
        </row>
        <row r="698">
          <cell r="A698">
            <v>40162</v>
          </cell>
          <cell r="B698">
            <v>40162</v>
          </cell>
          <cell r="C698" t="str">
            <v>Future</v>
          </cell>
          <cell r="D698" t="e">
            <v>#N/A</v>
          </cell>
          <cell r="E698">
            <v>15.576996047430885</v>
          </cell>
          <cell r="F698">
            <v>38.652094861660188</v>
          </cell>
          <cell r="G698">
            <v>33.158023715414544</v>
          </cell>
          <cell r="H698">
            <v>33.158023715414544</v>
          </cell>
          <cell r="I698" t="e">
            <v>#N/A</v>
          </cell>
          <cell r="J698" t="e">
            <v>#N/A</v>
          </cell>
          <cell r="K698" t="e">
            <v>#N/A</v>
          </cell>
          <cell r="L698" t="e">
            <v>#N/A</v>
          </cell>
          <cell r="M698" t="e">
            <v>#N/A</v>
          </cell>
          <cell r="N698" t="e">
            <v>#N/A</v>
          </cell>
          <cell r="O698" t="e">
            <v>#N/A</v>
          </cell>
          <cell r="P698">
            <v>34.65</v>
          </cell>
          <cell r="Q698" t="str">
            <v/>
          </cell>
          <cell r="R698" t="e">
            <v>#N/A</v>
          </cell>
        </row>
        <row r="699">
          <cell r="A699">
            <v>40163</v>
          </cell>
          <cell r="B699">
            <v>40163</v>
          </cell>
          <cell r="C699" t="str">
            <v>Future</v>
          </cell>
          <cell r="D699" t="e">
            <v>#N/A</v>
          </cell>
          <cell r="E699">
            <v>15.440355731225353</v>
          </cell>
          <cell r="F699">
            <v>38.681462450592996</v>
          </cell>
          <cell r="G699">
            <v>33.147865612647742</v>
          </cell>
          <cell r="H699">
            <v>33.147865612647742</v>
          </cell>
          <cell r="I699" t="e">
            <v>#N/A</v>
          </cell>
          <cell r="J699" t="e">
            <v>#N/A</v>
          </cell>
          <cell r="K699" t="e">
            <v>#N/A</v>
          </cell>
          <cell r="L699" t="e">
            <v>#N/A</v>
          </cell>
          <cell r="M699" t="e">
            <v>#N/A</v>
          </cell>
          <cell r="N699" t="e">
            <v>#N/A</v>
          </cell>
          <cell r="O699" t="e">
            <v>#N/A</v>
          </cell>
          <cell r="P699">
            <v>34.65</v>
          </cell>
          <cell r="Q699" t="str">
            <v/>
          </cell>
          <cell r="R699" t="e">
            <v>#N/A</v>
          </cell>
        </row>
        <row r="700">
          <cell r="A700">
            <v>40164</v>
          </cell>
          <cell r="B700">
            <v>40164</v>
          </cell>
          <cell r="C700" t="str">
            <v>Future</v>
          </cell>
          <cell r="D700" t="e">
            <v>#N/A</v>
          </cell>
          <cell r="E700">
            <v>15.30371541501982</v>
          </cell>
          <cell r="F700">
            <v>38.710830039525803</v>
          </cell>
          <cell r="G700">
            <v>33.13770750988094</v>
          </cell>
          <cell r="H700">
            <v>33.13770750988094</v>
          </cell>
          <cell r="I700" t="e">
            <v>#N/A</v>
          </cell>
          <cell r="J700" t="e">
            <v>#N/A</v>
          </cell>
          <cell r="K700" t="e">
            <v>#N/A</v>
          </cell>
          <cell r="L700" t="e">
            <v>#N/A</v>
          </cell>
          <cell r="M700" t="e">
            <v>#N/A</v>
          </cell>
          <cell r="N700" t="e">
            <v>#N/A</v>
          </cell>
          <cell r="O700" t="e">
            <v>#N/A</v>
          </cell>
          <cell r="P700">
            <v>34.65</v>
          </cell>
          <cell r="Q700" t="str">
            <v/>
          </cell>
          <cell r="R700" t="e">
            <v>#N/A</v>
          </cell>
        </row>
        <row r="701">
          <cell r="A701">
            <v>40165</v>
          </cell>
          <cell r="B701">
            <v>40165</v>
          </cell>
          <cell r="C701" t="str">
            <v>Future</v>
          </cell>
          <cell r="D701" t="e">
            <v>#N/A</v>
          </cell>
          <cell r="E701">
            <v>15.167075098814287</v>
          </cell>
          <cell r="F701">
            <v>38.74019762845861</v>
          </cell>
          <cell r="G701">
            <v>33.127549407114138</v>
          </cell>
          <cell r="H701">
            <v>33.127549407114138</v>
          </cell>
          <cell r="I701" t="e">
            <v>#N/A</v>
          </cell>
          <cell r="J701" t="e">
            <v>#N/A</v>
          </cell>
          <cell r="K701" t="e">
            <v>#N/A</v>
          </cell>
          <cell r="L701" t="e">
            <v>#N/A</v>
          </cell>
          <cell r="M701" t="e">
            <v>#N/A</v>
          </cell>
          <cell r="N701" t="e">
            <v>#N/A</v>
          </cell>
          <cell r="O701" t="e">
            <v>#N/A</v>
          </cell>
          <cell r="P701">
            <v>34.65</v>
          </cell>
          <cell r="Q701" t="str">
            <v/>
          </cell>
          <cell r="R701" t="e">
            <v>#N/A</v>
          </cell>
        </row>
        <row r="702">
          <cell r="A702">
            <v>40168</v>
          </cell>
          <cell r="B702">
            <v>40168</v>
          </cell>
          <cell r="C702" t="str">
            <v>Future</v>
          </cell>
          <cell r="D702" t="e">
            <v>#N/A</v>
          </cell>
          <cell r="E702">
            <v>15.030434782608754</v>
          </cell>
          <cell r="F702">
            <v>38.769565217391417</v>
          </cell>
          <cell r="G702">
            <v>33.117391304347336</v>
          </cell>
          <cell r="H702">
            <v>33.117391304347336</v>
          </cell>
          <cell r="I702" t="e">
            <v>#N/A</v>
          </cell>
          <cell r="J702" t="e">
            <v>#N/A</v>
          </cell>
          <cell r="K702" t="e">
            <v>#N/A</v>
          </cell>
          <cell r="L702" t="e">
            <v>#N/A</v>
          </cell>
          <cell r="M702" t="e">
            <v>#N/A</v>
          </cell>
          <cell r="N702" t="e">
            <v>#N/A</v>
          </cell>
          <cell r="O702" t="e">
            <v>#N/A</v>
          </cell>
          <cell r="P702">
            <v>34.65</v>
          </cell>
          <cell r="Q702" t="str">
            <v/>
          </cell>
          <cell r="R702" t="e">
            <v>#N/A</v>
          </cell>
        </row>
        <row r="703">
          <cell r="A703">
            <v>40169</v>
          </cell>
          <cell r="B703">
            <v>40169</v>
          </cell>
          <cell r="C703" t="str">
            <v>Future</v>
          </cell>
          <cell r="D703" t="e">
            <v>#N/A</v>
          </cell>
          <cell r="E703">
            <v>14.893794466403222</v>
          </cell>
          <cell r="F703">
            <v>38.798932806324224</v>
          </cell>
          <cell r="G703">
            <v>33.107233201580534</v>
          </cell>
          <cell r="H703">
            <v>33.107233201580534</v>
          </cell>
          <cell r="I703" t="e">
            <v>#N/A</v>
          </cell>
          <cell r="J703" t="e">
            <v>#N/A</v>
          </cell>
          <cell r="K703" t="e">
            <v>#N/A</v>
          </cell>
          <cell r="L703" t="e">
            <v>#N/A</v>
          </cell>
          <cell r="M703" t="e">
            <v>#N/A</v>
          </cell>
          <cell r="N703" t="e">
            <v>#N/A</v>
          </cell>
          <cell r="O703" t="e">
            <v>#N/A</v>
          </cell>
          <cell r="P703">
            <v>34.65</v>
          </cell>
          <cell r="Q703" t="str">
            <v/>
          </cell>
          <cell r="R703" t="e">
            <v>#N/A</v>
          </cell>
        </row>
        <row r="704">
          <cell r="A704">
            <v>40170</v>
          </cell>
          <cell r="B704">
            <v>40170</v>
          </cell>
          <cell r="C704" t="str">
            <v>Future</v>
          </cell>
          <cell r="D704" t="e">
            <v>#N/A</v>
          </cell>
          <cell r="E704">
            <v>14.757154150197689</v>
          </cell>
          <cell r="F704">
            <v>38.828300395257031</v>
          </cell>
          <cell r="G704">
            <v>33.097075098813733</v>
          </cell>
          <cell r="H704">
            <v>33.097075098813733</v>
          </cell>
          <cell r="I704" t="e">
            <v>#N/A</v>
          </cell>
          <cell r="J704" t="e">
            <v>#N/A</v>
          </cell>
          <cell r="K704" t="e">
            <v>#N/A</v>
          </cell>
          <cell r="L704" t="e">
            <v>#N/A</v>
          </cell>
          <cell r="M704" t="e">
            <v>#N/A</v>
          </cell>
          <cell r="N704" t="e">
            <v>#N/A</v>
          </cell>
          <cell r="O704" t="e">
            <v>#N/A</v>
          </cell>
          <cell r="P704">
            <v>34.65</v>
          </cell>
          <cell r="Q704" t="str">
            <v/>
          </cell>
          <cell r="R704" t="e">
            <v>#N/A</v>
          </cell>
        </row>
        <row r="705">
          <cell r="A705">
            <v>40171</v>
          </cell>
          <cell r="B705">
            <v>40171</v>
          </cell>
          <cell r="C705" t="str">
            <v>Future</v>
          </cell>
          <cell r="D705" t="e">
            <v>#N/A</v>
          </cell>
          <cell r="E705">
            <v>14.620513833992156</v>
          </cell>
          <cell r="F705">
            <v>38.857667984189838</v>
          </cell>
          <cell r="G705">
            <v>33.086916996046931</v>
          </cell>
          <cell r="H705">
            <v>33.086916996046931</v>
          </cell>
          <cell r="I705" t="e">
            <v>#N/A</v>
          </cell>
          <cell r="J705" t="e">
            <v>#N/A</v>
          </cell>
          <cell r="K705" t="e">
            <v>#N/A</v>
          </cell>
          <cell r="L705" t="e">
            <v>#N/A</v>
          </cell>
          <cell r="M705" t="e">
            <v>#N/A</v>
          </cell>
          <cell r="N705" t="e">
            <v>#N/A</v>
          </cell>
          <cell r="O705" t="e">
            <v>#N/A</v>
          </cell>
          <cell r="P705">
            <v>34.65</v>
          </cell>
          <cell r="Q705" t="str">
            <v/>
          </cell>
          <cell r="R705" t="e">
            <v>#N/A</v>
          </cell>
        </row>
        <row r="706">
          <cell r="A706">
            <v>40175</v>
          </cell>
          <cell r="B706">
            <v>40175</v>
          </cell>
          <cell r="C706" t="str">
            <v>Future</v>
          </cell>
          <cell r="D706" t="e">
            <v>#N/A</v>
          </cell>
          <cell r="E706">
            <v>14.483873517786623</v>
          </cell>
          <cell r="F706">
            <v>38.887035573122645</v>
          </cell>
          <cell r="G706">
            <v>33.076758893280129</v>
          </cell>
          <cell r="H706">
            <v>33.076758893280129</v>
          </cell>
          <cell r="I706" t="e">
            <v>#N/A</v>
          </cell>
          <cell r="J706" t="e">
            <v>#N/A</v>
          </cell>
          <cell r="K706" t="e">
            <v>#N/A</v>
          </cell>
          <cell r="L706" t="e">
            <v>#N/A</v>
          </cell>
          <cell r="M706" t="e">
            <v>#N/A</v>
          </cell>
          <cell r="N706" t="e">
            <v>#N/A</v>
          </cell>
          <cell r="O706" t="e">
            <v>#N/A</v>
          </cell>
          <cell r="P706">
            <v>34.65</v>
          </cell>
          <cell r="Q706" t="str">
            <v/>
          </cell>
          <cell r="R706" t="e">
            <v>#N/A</v>
          </cell>
        </row>
        <row r="707">
          <cell r="A707">
            <v>40176</v>
          </cell>
          <cell r="B707">
            <v>40176</v>
          </cell>
          <cell r="C707" t="str">
            <v>Future</v>
          </cell>
          <cell r="D707" t="e">
            <v>#N/A</v>
          </cell>
          <cell r="E707">
            <v>14.347233201581091</v>
          </cell>
          <cell r="F707">
            <v>38.916403162055452</v>
          </cell>
          <cell r="G707">
            <v>33.066600790513327</v>
          </cell>
          <cell r="H707">
            <v>33.066600790513327</v>
          </cell>
          <cell r="I707" t="e">
            <v>#N/A</v>
          </cell>
          <cell r="J707" t="e">
            <v>#N/A</v>
          </cell>
          <cell r="K707" t="e">
            <v>#N/A</v>
          </cell>
          <cell r="L707" t="e">
            <v>#N/A</v>
          </cell>
          <cell r="M707" t="e">
            <v>#N/A</v>
          </cell>
          <cell r="N707" t="e">
            <v>#N/A</v>
          </cell>
          <cell r="O707" t="e">
            <v>#N/A</v>
          </cell>
          <cell r="P707">
            <v>34.65</v>
          </cell>
          <cell r="Q707" t="str">
            <v/>
          </cell>
          <cell r="R707" t="e">
            <v>#N/A</v>
          </cell>
        </row>
        <row r="708">
          <cell r="A708">
            <v>40177</v>
          </cell>
          <cell r="B708">
            <v>40177</v>
          </cell>
          <cell r="C708" t="str">
            <v>Future</v>
          </cell>
          <cell r="D708" t="e">
            <v>#N/A</v>
          </cell>
          <cell r="E708">
            <v>14.210592885375558</v>
          </cell>
          <cell r="F708">
            <v>38.94577075098826</v>
          </cell>
          <cell r="G708">
            <v>33.056442687746525</v>
          </cell>
          <cell r="H708">
            <v>33.056442687746525</v>
          </cell>
          <cell r="I708" t="e">
            <v>#N/A</v>
          </cell>
          <cell r="J708" t="e">
            <v>#N/A</v>
          </cell>
          <cell r="K708" t="e">
            <v>#N/A</v>
          </cell>
          <cell r="L708" t="e">
            <v>#N/A</v>
          </cell>
          <cell r="M708" t="e">
            <v>#N/A</v>
          </cell>
          <cell r="N708" t="e">
            <v>#N/A</v>
          </cell>
          <cell r="O708" t="e">
            <v>#N/A</v>
          </cell>
          <cell r="P708">
            <v>34.65</v>
          </cell>
          <cell r="Q708" t="str">
            <v/>
          </cell>
          <cell r="R708" t="e">
            <v>#N/A</v>
          </cell>
        </row>
        <row r="709">
          <cell r="A709">
            <v>40178</v>
          </cell>
          <cell r="B709">
            <v>40178</v>
          </cell>
          <cell r="C709" t="str">
            <v>Future</v>
          </cell>
          <cell r="D709" t="e">
            <v>#N/A</v>
          </cell>
          <cell r="E709">
            <v>14.073952569170025</v>
          </cell>
          <cell r="F709">
            <v>38.975138339921067</v>
          </cell>
          <cell r="G709">
            <v>33.046284584979723</v>
          </cell>
          <cell r="H709">
            <v>33.046284584979723</v>
          </cell>
          <cell r="I709" t="e">
            <v>#N/A</v>
          </cell>
          <cell r="J709" t="e">
            <v>#N/A</v>
          </cell>
          <cell r="K709" t="e">
            <v>#N/A</v>
          </cell>
          <cell r="L709" t="e">
            <v>#N/A</v>
          </cell>
          <cell r="M709" t="e">
            <v>#N/A</v>
          </cell>
          <cell r="N709" t="e">
            <v>#N/A</v>
          </cell>
          <cell r="O709" t="e">
            <v>#N/A</v>
          </cell>
          <cell r="P709">
            <v>34.65</v>
          </cell>
          <cell r="Q709" t="str">
            <v/>
          </cell>
          <cell r="R709" t="e">
            <v>#N/A</v>
          </cell>
        </row>
        <row r="710">
          <cell r="A710">
            <v>40182</v>
          </cell>
          <cell r="B710">
            <v>40182</v>
          </cell>
          <cell r="C710" t="str">
            <v>Future</v>
          </cell>
          <cell r="D710" t="e">
            <v>#N/A</v>
          </cell>
          <cell r="E710">
            <v>13.937312252964492</v>
          </cell>
          <cell r="F710">
            <v>39.004505928853874</v>
          </cell>
          <cell r="G710">
            <v>33.036126482212921</v>
          </cell>
          <cell r="H710">
            <v>33.036126482212921</v>
          </cell>
          <cell r="I710" t="e">
            <v>#N/A</v>
          </cell>
          <cell r="J710" t="e">
            <v>#N/A</v>
          </cell>
          <cell r="K710" t="e">
            <v>#N/A</v>
          </cell>
          <cell r="L710" t="e">
            <v>#N/A</v>
          </cell>
          <cell r="M710" t="e">
            <v>#N/A</v>
          </cell>
          <cell r="N710" t="e">
            <v>#N/A</v>
          </cell>
          <cell r="O710" t="e">
            <v>#N/A</v>
          </cell>
          <cell r="P710">
            <v>34.65</v>
          </cell>
          <cell r="Q710" t="str">
            <v/>
          </cell>
          <cell r="R710" t="e">
            <v>#N/A</v>
          </cell>
        </row>
        <row r="711">
          <cell r="A711">
            <v>40183</v>
          </cell>
          <cell r="B711">
            <v>40183</v>
          </cell>
          <cell r="C711" t="str">
            <v>Future</v>
          </cell>
          <cell r="D711" t="e">
            <v>#N/A</v>
          </cell>
          <cell r="E711">
            <v>13.80067193675896</v>
          </cell>
          <cell r="F711">
            <v>39.033873517786681</v>
          </cell>
          <cell r="G711">
            <v>33.02596837944612</v>
          </cell>
          <cell r="H711">
            <v>33.02596837944612</v>
          </cell>
          <cell r="I711" t="e">
            <v>#N/A</v>
          </cell>
          <cell r="J711" t="e">
            <v>#N/A</v>
          </cell>
          <cell r="K711" t="e">
            <v>#N/A</v>
          </cell>
          <cell r="L711" t="e">
            <v>#N/A</v>
          </cell>
          <cell r="M711" t="e">
            <v>#N/A</v>
          </cell>
          <cell r="N711" t="e">
            <v>#N/A</v>
          </cell>
          <cell r="O711" t="e">
            <v>#N/A</v>
          </cell>
          <cell r="P711">
            <v>34.65</v>
          </cell>
          <cell r="Q711" t="str">
            <v/>
          </cell>
          <cell r="R711" t="e">
            <v>#N/A</v>
          </cell>
        </row>
        <row r="712">
          <cell r="A712">
            <v>40184</v>
          </cell>
          <cell r="B712">
            <v>40184</v>
          </cell>
          <cell r="C712" t="str">
            <v>Future</v>
          </cell>
          <cell r="D712" t="e">
            <v>#N/A</v>
          </cell>
          <cell r="E712">
            <v>13.664031620553427</v>
          </cell>
          <cell r="F712">
            <v>39.063241106719488</v>
          </cell>
          <cell r="G712">
            <v>33.015810276679318</v>
          </cell>
          <cell r="H712">
            <v>33.015810276679318</v>
          </cell>
          <cell r="I712" t="e">
            <v>#N/A</v>
          </cell>
          <cell r="J712" t="e">
            <v>#N/A</v>
          </cell>
          <cell r="K712" t="e">
            <v>#N/A</v>
          </cell>
          <cell r="L712" t="e">
            <v>#N/A</v>
          </cell>
          <cell r="M712" t="e">
            <v>#N/A</v>
          </cell>
          <cell r="N712" t="e">
            <v>#N/A</v>
          </cell>
          <cell r="O712" t="e">
            <v>#N/A</v>
          </cell>
          <cell r="P712">
            <v>34.65</v>
          </cell>
          <cell r="Q712" t="str">
            <v/>
          </cell>
          <cell r="R712" t="e">
            <v>#N/A</v>
          </cell>
        </row>
        <row r="713">
          <cell r="A713">
            <v>40185</v>
          </cell>
          <cell r="B713">
            <v>40185</v>
          </cell>
          <cell r="C713" t="str">
            <v>Future</v>
          </cell>
          <cell r="D713" t="e">
            <v>#N/A</v>
          </cell>
          <cell r="E713">
            <v>13.527391304347894</v>
          </cell>
          <cell r="F713">
            <v>39.092608695652295</v>
          </cell>
          <cell r="G713">
            <v>33.005652173912516</v>
          </cell>
          <cell r="H713">
            <v>33.005652173912516</v>
          </cell>
          <cell r="I713" t="e">
            <v>#N/A</v>
          </cell>
          <cell r="J713" t="e">
            <v>#N/A</v>
          </cell>
          <cell r="K713" t="e">
            <v>#N/A</v>
          </cell>
          <cell r="L713" t="e">
            <v>#N/A</v>
          </cell>
          <cell r="M713" t="e">
            <v>#N/A</v>
          </cell>
          <cell r="N713" t="e">
            <v>#N/A</v>
          </cell>
          <cell r="O713" t="e">
            <v>#N/A</v>
          </cell>
          <cell r="P713">
            <v>34.65</v>
          </cell>
          <cell r="Q713" t="str">
            <v/>
          </cell>
          <cell r="R713" t="e">
            <v>#N/A</v>
          </cell>
        </row>
        <row r="714">
          <cell r="A714">
            <v>40186</v>
          </cell>
          <cell r="B714">
            <v>40186</v>
          </cell>
          <cell r="C714" t="str">
            <v>Future</v>
          </cell>
          <cell r="D714" t="e">
            <v>#N/A</v>
          </cell>
          <cell r="E714">
            <v>13.390750988142361</v>
          </cell>
          <cell r="F714">
            <v>39.121976284585102</v>
          </cell>
          <cell r="G714">
            <v>32.995494071145714</v>
          </cell>
          <cell r="H714">
            <v>32.995494071145714</v>
          </cell>
          <cell r="I714" t="e">
            <v>#N/A</v>
          </cell>
          <cell r="J714" t="e">
            <v>#N/A</v>
          </cell>
          <cell r="K714" t="e">
            <v>#N/A</v>
          </cell>
          <cell r="L714" t="e">
            <v>#N/A</v>
          </cell>
          <cell r="M714" t="e">
            <v>#N/A</v>
          </cell>
          <cell r="N714" t="e">
            <v>#N/A</v>
          </cell>
          <cell r="O714" t="e">
            <v>#N/A</v>
          </cell>
          <cell r="P714">
            <v>34.65</v>
          </cell>
          <cell r="Q714" t="str">
            <v/>
          </cell>
          <cell r="R714" t="e">
            <v>#N/A</v>
          </cell>
        </row>
        <row r="715">
          <cell r="A715">
            <v>40189</v>
          </cell>
          <cell r="B715">
            <v>40189</v>
          </cell>
          <cell r="C715" t="str">
            <v>Future</v>
          </cell>
          <cell r="D715" t="e">
            <v>#N/A</v>
          </cell>
          <cell r="E715">
            <v>13.254110671936829</v>
          </cell>
          <cell r="F715">
            <v>39.151343873517909</v>
          </cell>
          <cell r="G715">
            <v>32.985335968378912</v>
          </cell>
          <cell r="H715">
            <v>32.985335968378912</v>
          </cell>
          <cell r="I715" t="e">
            <v>#N/A</v>
          </cell>
          <cell r="J715" t="e">
            <v>#N/A</v>
          </cell>
          <cell r="K715" t="e">
            <v>#N/A</v>
          </cell>
          <cell r="L715" t="e">
            <v>#N/A</v>
          </cell>
          <cell r="M715" t="e">
            <v>#N/A</v>
          </cell>
          <cell r="N715" t="e">
            <v>#N/A</v>
          </cell>
          <cell r="O715" t="e">
            <v>#N/A</v>
          </cell>
          <cell r="P715">
            <v>34.65</v>
          </cell>
          <cell r="Q715" t="str">
            <v/>
          </cell>
          <cell r="R715" t="e">
            <v>#N/A</v>
          </cell>
        </row>
        <row r="716">
          <cell r="A716">
            <v>40190</v>
          </cell>
          <cell r="B716">
            <v>40190</v>
          </cell>
          <cell r="C716" t="str">
            <v>Future</v>
          </cell>
          <cell r="D716" t="e">
            <v>#N/A</v>
          </cell>
          <cell r="E716">
            <v>13.117470355731296</v>
          </cell>
          <cell r="F716">
            <v>39.180711462450716</v>
          </cell>
          <cell r="G716">
            <v>32.97517786561211</v>
          </cell>
          <cell r="H716">
            <v>32.97517786561211</v>
          </cell>
          <cell r="I716" t="e">
            <v>#N/A</v>
          </cell>
          <cell r="J716" t="e">
            <v>#N/A</v>
          </cell>
          <cell r="K716" t="e">
            <v>#N/A</v>
          </cell>
          <cell r="L716" t="e">
            <v>#N/A</v>
          </cell>
          <cell r="M716" t="e">
            <v>#N/A</v>
          </cell>
          <cell r="N716" t="e">
            <v>#N/A</v>
          </cell>
          <cell r="O716" t="e">
            <v>#N/A</v>
          </cell>
          <cell r="P716">
            <v>34.65</v>
          </cell>
          <cell r="Q716" t="str">
            <v/>
          </cell>
          <cell r="R716" t="e">
            <v>#N/A</v>
          </cell>
        </row>
        <row r="717">
          <cell r="A717">
            <v>40191</v>
          </cell>
          <cell r="B717">
            <v>40191</v>
          </cell>
          <cell r="C717" t="str">
            <v>Future</v>
          </cell>
          <cell r="D717" t="e">
            <v>#N/A</v>
          </cell>
          <cell r="E717">
            <v>12.980830039525763</v>
          </cell>
          <cell r="F717">
            <v>39.210079051383524</v>
          </cell>
          <cell r="G717">
            <v>32.965019762845309</v>
          </cell>
          <cell r="H717">
            <v>32.965019762845309</v>
          </cell>
          <cell r="I717" t="e">
            <v>#N/A</v>
          </cell>
          <cell r="J717" t="e">
            <v>#N/A</v>
          </cell>
          <cell r="K717" t="e">
            <v>#N/A</v>
          </cell>
          <cell r="L717" t="e">
            <v>#N/A</v>
          </cell>
          <cell r="M717" t="e">
            <v>#N/A</v>
          </cell>
          <cell r="N717" t="e">
            <v>#N/A</v>
          </cell>
          <cell r="O717" t="e">
            <v>#N/A</v>
          </cell>
          <cell r="P717">
            <v>34.65</v>
          </cell>
          <cell r="Q717" t="str">
            <v/>
          </cell>
          <cell r="R717" t="e">
            <v>#N/A</v>
          </cell>
        </row>
        <row r="718">
          <cell r="A718">
            <v>40192</v>
          </cell>
          <cell r="B718">
            <v>40192</v>
          </cell>
          <cell r="C718" t="str">
            <v>Future</v>
          </cell>
          <cell r="D718" t="e">
            <v>#N/A</v>
          </cell>
          <cell r="E718">
            <v>12.84418972332023</v>
          </cell>
          <cell r="F718">
            <v>39.239446640316331</v>
          </cell>
          <cell r="G718">
            <v>32.954861660078507</v>
          </cell>
          <cell r="H718">
            <v>32.954861660078507</v>
          </cell>
          <cell r="I718" t="e">
            <v>#N/A</v>
          </cell>
          <cell r="J718" t="e">
            <v>#N/A</v>
          </cell>
          <cell r="K718" t="e">
            <v>#N/A</v>
          </cell>
          <cell r="L718" t="e">
            <v>#N/A</v>
          </cell>
          <cell r="M718" t="e">
            <v>#N/A</v>
          </cell>
          <cell r="N718" t="e">
            <v>#N/A</v>
          </cell>
          <cell r="O718" t="e">
            <v>#N/A</v>
          </cell>
          <cell r="P718">
            <v>34.65</v>
          </cell>
          <cell r="Q718" t="str">
            <v/>
          </cell>
          <cell r="R718" t="e">
            <v>#N/A</v>
          </cell>
        </row>
        <row r="719">
          <cell r="A719">
            <v>40193</v>
          </cell>
          <cell r="B719">
            <v>40193</v>
          </cell>
          <cell r="C719" t="str">
            <v>Future</v>
          </cell>
          <cell r="D719" t="e">
            <v>#N/A</v>
          </cell>
          <cell r="E719">
            <v>12.707549407114698</v>
          </cell>
          <cell r="F719">
            <v>39.268814229249138</v>
          </cell>
          <cell r="G719">
            <v>32.944703557311705</v>
          </cell>
          <cell r="H719">
            <v>32.944703557311705</v>
          </cell>
          <cell r="I719" t="e">
            <v>#N/A</v>
          </cell>
          <cell r="J719" t="e">
            <v>#N/A</v>
          </cell>
          <cell r="K719" t="e">
            <v>#N/A</v>
          </cell>
          <cell r="L719" t="e">
            <v>#N/A</v>
          </cell>
          <cell r="M719" t="e">
            <v>#N/A</v>
          </cell>
          <cell r="N719" t="e">
            <v>#N/A</v>
          </cell>
          <cell r="O719" t="e">
            <v>#N/A</v>
          </cell>
          <cell r="P719">
            <v>34.65</v>
          </cell>
          <cell r="Q719" t="str">
            <v/>
          </cell>
          <cell r="R719" t="e">
            <v>#N/A</v>
          </cell>
        </row>
        <row r="720">
          <cell r="A720">
            <v>40197</v>
          </cell>
          <cell r="B720">
            <v>40197</v>
          </cell>
          <cell r="C720" t="str">
            <v>Future</v>
          </cell>
          <cell r="D720" t="e">
            <v>#N/A</v>
          </cell>
          <cell r="E720">
            <v>12.570909090909165</v>
          </cell>
          <cell r="F720">
            <v>39.298181818181945</v>
          </cell>
          <cell r="G720">
            <v>32.934545454544903</v>
          </cell>
          <cell r="H720">
            <v>32.934545454544903</v>
          </cell>
          <cell r="I720" t="e">
            <v>#N/A</v>
          </cell>
          <cell r="J720" t="e">
            <v>#N/A</v>
          </cell>
          <cell r="K720" t="e">
            <v>#N/A</v>
          </cell>
          <cell r="L720" t="e">
            <v>#N/A</v>
          </cell>
          <cell r="M720" t="e">
            <v>#N/A</v>
          </cell>
          <cell r="N720" t="e">
            <v>#N/A</v>
          </cell>
          <cell r="O720" t="e">
            <v>#N/A</v>
          </cell>
          <cell r="P720">
            <v>34.65</v>
          </cell>
          <cell r="Q720" t="str">
            <v/>
          </cell>
          <cell r="R720" t="e">
            <v>#N/A</v>
          </cell>
        </row>
        <row r="721">
          <cell r="A721">
            <v>40198</v>
          </cell>
          <cell r="B721">
            <v>40198</v>
          </cell>
          <cell r="C721" t="str">
            <v>Future</v>
          </cell>
          <cell r="D721" t="e">
            <v>#N/A</v>
          </cell>
          <cell r="E721">
            <v>12.434268774703632</v>
          </cell>
          <cell r="F721">
            <v>39.327549407114752</v>
          </cell>
          <cell r="G721">
            <v>32.924387351778101</v>
          </cell>
          <cell r="H721">
            <v>32.924387351778101</v>
          </cell>
          <cell r="I721" t="e">
            <v>#N/A</v>
          </cell>
          <cell r="J721" t="e">
            <v>#N/A</v>
          </cell>
          <cell r="K721" t="e">
            <v>#N/A</v>
          </cell>
          <cell r="L721" t="e">
            <v>#N/A</v>
          </cell>
          <cell r="M721" t="e">
            <v>#N/A</v>
          </cell>
          <cell r="N721" t="e">
            <v>#N/A</v>
          </cell>
          <cell r="O721" t="e">
            <v>#N/A</v>
          </cell>
          <cell r="P721">
            <v>34.65</v>
          </cell>
          <cell r="Q721" t="str">
            <v/>
          </cell>
          <cell r="R721" t="e">
            <v>#N/A</v>
          </cell>
        </row>
        <row r="722">
          <cell r="A722">
            <v>40199</v>
          </cell>
          <cell r="B722">
            <v>40199</v>
          </cell>
          <cell r="C722" t="str">
            <v>Future</v>
          </cell>
          <cell r="D722" t="e">
            <v>#N/A</v>
          </cell>
          <cell r="E722">
            <v>12.297628458498099</v>
          </cell>
          <cell r="F722">
            <v>39.356916996047559</v>
          </cell>
          <cell r="G722">
            <v>32.914229249011299</v>
          </cell>
          <cell r="H722">
            <v>32.914229249011299</v>
          </cell>
          <cell r="I722" t="e">
            <v>#N/A</v>
          </cell>
          <cell r="J722" t="e">
            <v>#N/A</v>
          </cell>
          <cell r="K722" t="e">
            <v>#N/A</v>
          </cell>
          <cell r="L722" t="e">
            <v>#N/A</v>
          </cell>
          <cell r="M722" t="e">
            <v>#N/A</v>
          </cell>
          <cell r="N722" t="e">
            <v>#N/A</v>
          </cell>
          <cell r="O722" t="e">
            <v>#N/A</v>
          </cell>
          <cell r="P722">
            <v>34.65</v>
          </cell>
          <cell r="Q722" t="str">
            <v/>
          </cell>
          <cell r="R722" t="e">
            <v>#N/A</v>
          </cell>
        </row>
        <row r="723">
          <cell r="A723">
            <v>40200</v>
          </cell>
          <cell r="B723">
            <v>40200</v>
          </cell>
          <cell r="C723" t="str">
            <v>Future</v>
          </cell>
          <cell r="D723" t="e">
            <v>#N/A</v>
          </cell>
          <cell r="E723">
            <v>12.160988142292567</v>
          </cell>
          <cell r="F723">
            <v>39.386284584980366</v>
          </cell>
          <cell r="G723">
            <v>32.904071146244497</v>
          </cell>
          <cell r="H723">
            <v>32.904071146244497</v>
          </cell>
          <cell r="I723" t="e">
            <v>#N/A</v>
          </cell>
          <cell r="J723" t="e">
            <v>#N/A</v>
          </cell>
          <cell r="K723" t="e">
            <v>#N/A</v>
          </cell>
          <cell r="L723" t="e">
            <v>#N/A</v>
          </cell>
          <cell r="M723" t="e">
            <v>#N/A</v>
          </cell>
          <cell r="N723" t="e">
            <v>#N/A</v>
          </cell>
          <cell r="O723" t="e">
            <v>#N/A</v>
          </cell>
          <cell r="P723">
            <v>34.65</v>
          </cell>
          <cell r="Q723" t="str">
            <v/>
          </cell>
          <cell r="R723" t="e">
            <v>#N/A</v>
          </cell>
        </row>
        <row r="724">
          <cell r="A724">
            <v>40203</v>
          </cell>
          <cell r="B724">
            <v>40203</v>
          </cell>
          <cell r="C724" t="str">
            <v>Future</v>
          </cell>
          <cell r="D724" t="e">
            <v>#N/A</v>
          </cell>
          <cell r="E724">
            <v>12.024347826087034</v>
          </cell>
          <cell r="F724">
            <v>39.415652173913173</v>
          </cell>
          <cell r="G724">
            <v>32.893913043477696</v>
          </cell>
          <cell r="H724">
            <v>32.893913043477696</v>
          </cell>
          <cell r="I724" t="e">
            <v>#N/A</v>
          </cell>
          <cell r="J724" t="e">
            <v>#N/A</v>
          </cell>
          <cell r="K724" t="e">
            <v>#N/A</v>
          </cell>
          <cell r="L724" t="e">
            <v>#N/A</v>
          </cell>
          <cell r="M724" t="e">
            <v>#N/A</v>
          </cell>
          <cell r="N724" t="e">
            <v>#N/A</v>
          </cell>
          <cell r="O724" t="e">
            <v>#N/A</v>
          </cell>
          <cell r="P724">
            <v>34.65</v>
          </cell>
          <cell r="Q724" t="str">
            <v/>
          </cell>
          <cell r="R724" t="e">
            <v>#N/A</v>
          </cell>
        </row>
        <row r="725">
          <cell r="A725">
            <v>40204</v>
          </cell>
          <cell r="B725">
            <v>40204</v>
          </cell>
          <cell r="C725" t="str">
            <v>Future</v>
          </cell>
          <cell r="D725" t="e">
            <v>#N/A</v>
          </cell>
          <cell r="E725">
            <v>11.887707509881501</v>
          </cell>
          <cell r="F725">
            <v>39.44501976284598</v>
          </cell>
          <cell r="G725">
            <v>32.883754940710894</v>
          </cell>
          <cell r="H725">
            <v>32.883754940710894</v>
          </cell>
          <cell r="I725" t="e">
            <v>#N/A</v>
          </cell>
          <cell r="J725" t="e">
            <v>#N/A</v>
          </cell>
          <cell r="K725" t="e">
            <v>#N/A</v>
          </cell>
          <cell r="L725" t="e">
            <v>#N/A</v>
          </cell>
          <cell r="M725" t="e">
            <v>#N/A</v>
          </cell>
          <cell r="N725" t="e">
            <v>#N/A</v>
          </cell>
          <cell r="O725" t="e">
            <v>#N/A</v>
          </cell>
          <cell r="P725">
            <v>34.65</v>
          </cell>
          <cell r="Q725" t="str">
            <v/>
          </cell>
          <cell r="R725" t="e">
            <v>#N/A</v>
          </cell>
        </row>
        <row r="726">
          <cell r="A726">
            <v>40205</v>
          </cell>
          <cell r="B726">
            <v>40205</v>
          </cell>
          <cell r="C726" t="str">
            <v>Future</v>
          </cell>
          <cell r="D726" t="e">
            <v>#N/A</v>
          </cell>
          <cell r="E726">
            <v>11.751067193675969</v>
          </cell>
          <cell r="F726">
            <v>39.474387351778788</v>
          </cell>
          <cell r="G726">
            <v>32.873596837944092</v>
          </cell>
          <cell r="H726">
            <v>32.873596837944092</v>
          </cell>
          <cell r="I726" t="e">
            <v>#N/A</v>
          </cell>
          <cell r="J726" t="e">
            <v>#N/A</v>
          </cell>
          <cell r="K726" t="e">
            <v>#N/A</v>
          </cell>
          <cell r="L726" t="e">
            <v>#N/A</v>
          </cell>
          <cell r="M726" t="e">
            <v>#N/A</v>
          </cell>
          <cell r="N726" t="e">
            <v>#N/A</v>
          </cell>
          <cell r="O726" t="e">
            <v>#N/A</v>
          </cell>
          <cell r="P726">
            <v>34.65</v>
          </cell>
          <cell r="Q726" t="str">
            <v/>
          </cell>
          <cell r="R726" t="e">
            <v>#N/A</v>
          </cell>
        </row>
        <row r="727">
          <cell r="A727">
            <v>40206</v>
          </cell>
          <cell r="B727">
            <v>40206</v>
          </cell>
          <cell r="C727" t="str">
            <v>Future</v>
          </cell>
          <cell r="D727" t="e">
            <v>#N/A</v>
          </cell>
          <cell r="E727">
            <v>11.614426877470436</v>
          </cell>
          <cell r="F727">
            <v>39.503754940711595</v>
          </cell>
          <cell r="G727">
            <v>32.86343873517729</v>
          </cell>
          <cell r="H727">
            <v>32.86343873517729</v>
          </cell>
          <cell r="I727" t="e">
            <v>#N/A</v>
          </cell>
          <cell r="J727" t="e">
            <v>#N/A</v>
          </cell>
          <cell r="K727" t="e">
            <v>#N/A</v>
          </cell>
          <cell r="L727" t="e">
            <v>#N/A</v>
          </cell>
          <cell r="M727" t="e">
            <v>#N/A</v>
          </cell>
          <cell r="N727" t="e">
            <v>#N/A</v>
          </cell>
          <cell r="O727" t="e">
            <v>#N/A</v>
          </cell>
          <cell r="P727">
            <v>34.65</v>
          </cell>
          <cell r="Q727" t="str">
            <v/>
          </cell>
          <cell r="R727" t="e">
            <v>#N/A</v>
          </cell>
        </row>
        <row r="728">
          <cell r="A728">
            <v>40207</v>
          </cell>
          <cell r="B728">
            <v>40207</v>
          </cell>
          <cell r="C728" t="str">
            <v>Future</v>
          </cell>
          <cell r="D728" t="e">
            <v>#N/A</v>
          </cell>
          <cell r="E728">
            <v>11.477786561264903</v>
          </cell>
          <cell r="F728">
            <v>39.533122529644402</v>
          </cell>
          <cell r="G728">
            <v>32.853280632410488</v>
          </cell>
          <cell r="H728">
            <v>32.853280632410488</v>
          </cell>
          <cell r="I728" t="e">
            <v>#N/A</v>
          </cell>
          <cell r="J728" t="e">
            <v>#N/A</v>
          </cell>
          <cell r="K728" t="e">
            <v>#N/A</v>
          </cell>
          <cell r="L728" t="e">
            <v>#N/A</v>
          </cell>
          <cell r="M728" t="e">
            <v>#N/A</v>
          </cell>
          <cell r="N728" t="e">
            <v>#N/A</v>
          </cell>
          <cell r="O728" t="e">
            <v>#N/A</v>
          </cell>
          <cell r="P728">
            <v>34.65</v>
          </cell>
          <cell r="Q728" t="str">
            <v/>
          </cell>
          <cell r="R728" t="e">
            <v>#N/A</v>
          </cell>
        </row>
        <row r="729">
          <cell r="A729">
            <v>40210</v>
          </cell>
          <cell r="B729">
            <v>40210</v>
          </cell>
          <cell r="C729" t="str">
            <v>Future</v>
          </cell>
          <cell r="D729" t="e">
            <v>#N/A</v>
          </cell>
          <cell r="E729">
            <v>11.34114624505937</v>
          </cell>
          <cell r="F729">
            <v>39.562490118577209</v>
          </cell>
          <cell r="G729">
            <v>32.843122529643686</v>
          </cell>
          <cell r="H729">
            <v>32.843122529643686</v>
          </cell>
          <cell r="I729" t="e">
            <v>#N/A</v>
          </cell>
          <cell r="J729" t="e">
            <v>#N/A</v>
          </cell>
          <cell r="K729" t="e">
            <v>#N/A</v>
          </cell>
          <cell r="L729" t="e">
            <v>#N/A</v>
          </cell>
          <cell r="M729" t="e">
            <v>#N/A</v>
          </cell>
          <cell r="N729" t="e">
            <v>#N/A</v>
          </cell>
          <cell r="O729" t="e">
            <v>#N/A</v>
          </cell>
          <cell r="P729">
            <v>34.65</v>
          </cell>
          <cell r="Q729" t="str">
            <v/>
          </cell>
          <cell r="R729" t="e">
            <v>#N/A</v>
          </cell>
        </row>
        <row r="730">
          <cell r="A730">
            <v>40211</v>
          </cell>
          <cell r="B730">
            <v>40211</v>
          </cell>
          <cell r="C730" t="str">
            <v>Future</v>
          </cell>
          <cell r="D730" t="e">
            <v>#N/A</v>
          </cell>
          <cell r="E730">
            <v>11.204505928853838</v>
          </cell>
          <cell r="F730">
            <v>39.591857707510016</v>
          </cell>
          <cell r="G730">
            <v>32.832964426876885</v>
          </cell>
          <cell r="H730">
            <v>32.832964426876885</v>
          </cell>
          <cell r="I730" t="e">
            <v>#N/A</v>
          </cell>
          <cell r="J730" t="e">
            <v>#N/A</v>
          </cell>
          <cell r="K730" t="e">
            <v>#N/A</v>
          </cell>
          <cell r="L730" t="e">
            <v>#N/A</v>
          </cell>
          <cell r="M730" t="e">
            <v>#N/A</v>
          </cell>
          <cell r="N730" t="e">
            <v>#N/A</v>
          </cell>
          <cell r="O730" t="e">
            <v>#N/A</v>
          </cell>
          <cell r="P730">
            <v>34.65</v>
          </cell>
          <cell r="Q730" t="str">
            <v/>
          </cell>
          <cell r="R730" t="e">
            <v>#N/A</v>
          </cell>
        </row>
        <row r="731">
          <cell r="A731">
            <v>40212</v>
          </cell>
          <cell r="B731">
            <v>40212</v>
          </cell>
          <cell r="C731" t="str">
            <v>Future</v>
          </cell>
          <cell r="D731" t="e">
            <v>#N/A</v>
          </cell>
          <cell r="E731">
            <v>11.067865612648305</v>
          </cell>
          <cell r="F731">
            <v>39.621225296442823</v>
          </cell>
          <cell r="G731">
            <v>32.822806324110083</v>
          </cell>
          <cell r="H731">
            <v>32.822806324110083</v>
          </cell>
          <cell r="I731" t="e">
            <v>#N/A</v>
          </cell>
          <cell r="J731" t="e">
            <v>#N/A</v>
          </cell>
          <cell r="K731" t="e">
            <v>#N/A</v>
          </cell>
          <cell r="L731" t="e">
            <v>#N/A</v>
          </cell>
          <cell r="M731" t="e">
            <v>#N/A</v>
          </cell>
          <cell r="N731" t="e">
            <v>#N/A</v>
          </cell>
          <cell r="O731" t="e">
            <v>#N/A</v>
          </cell>
          <cell r="P731">
            <v>34.65</v>
          </cell>
          <cell r="Q731" t="str">
            <v/>
          </cell>
          <cell r="R731" t="e">
            <v>#N/A</v>
          </cell>
        </row>
        <row r="732">
          <cell r="A732">
            <v>40213</v>
          </cell>
          <cell r="B732">
            <v>40213</v>
          </cell>
          <cell r="C732" t="str">
            <v>Future</v>
          </cell>
          <cell r="D732" t="e">
            <v>#N/A</v>
          </cell>
          <cell r="E732">
            <v>10.931225296442772</v>
          </cell>
          <cell r="F732">
            <v>39.65059288537563</v>
          </cell>
          <cell r="G732">
            <v>32.812648221343281</v>
          </cell>
          <cell r="H732">
            <v>32.812648221343281</v>
          </cell>
          <cell r="I732" t="e">
            <v>#N/A</v>
          </cell>
          <cell r="J732" t="e">
            <v>#N/A</v>
          </cell>
          <cell r="K732" t="e">
            <v>#N/A</v>
          </cell>
          <cell r="L732" t="e">
            <v>#N/A</v>
          </cell>
          <cell r="M732" t="e">
            <v>#N/A</v>
          </cell>
          <cell r="N732" t="e">
            <v>#N/A</v>
          </cell>
          <cell r="O732" t="e">
            <v>#N/A</v>
          </cell>
          <cell r="P732">
            <v>34.65</v>
          </cell>
          <cell r="Q732" t="str">
            <v/>
          </cell>
          <cell r="R732" t="e">
            <v>#N/A</v>
          </cell>
        </row>
        <row r="733">
          <cell r="A733">
            <v>40214</v>
          </cell>
          <cell r="B733">
            <v>40214</v>
          </cell>
          <cell r="C733" t="str">
            <v>Future</v>
          </cell>
          <cell r="D733" t="e">
            <v>#N/A</v>
          </cell>
          <cell r="E733">
            <v>10.794584980237239</v>
          </cell>
          <cell r="F733">
            <v>39.679960474308437</v>
          </cell>
          <cell r="G733">
            <v>32.802490118576479</v>
          </cell>
          <cell r="H733">
            <v>32.802490118576479</v>
          </cell>
          <cell r="I733" t="e">
            <v>#N/A</v>
          </cell>
          <cell r="J733" t="e">
            <v>#N/A</v>
          </cell>
          <cell r="K733" t="e">
            <v>#N/A</v>
          </cell>
          <cell r="L733" t="e">
            <v>#N/A</v>
          </cell>
          <cell r="M733" t="e">
            <v>#N/A</v>
          </cell>
          <cell r="N733" t="e">
            <v>#N/A</v>
          </cell>
          <cell r="O733" t="e">
            <v>#N/A</v>
          </cell>
          <cell r="P733">
            <v>34.65</v>
          </cell>
          <cell r="Q733" t="str">
            <v/>
          </cell>
          <cell r="R733" t="e">
            <v>#N/A</v>
          </cell>
        </row>
        <row r="734">
          <cell r="A734">
            <v>40217</v>
          </cell>
          <cell r="B734">
            <v>40217</v>
          </cell>
          <cell r="C734" t="str">
            <v>Future</v>
          </cell>
          <cell r="D734" t="e">
            <v>#N/A</v>
          </cell>
          <cell r="E734">
            <v>10.657944664031707</v>
          </cell>
          <cell r="F734">
            <v>39.709328063241244</v>
          </cell>
          <cell r="G734">
            <v>32.792332015809677</v>
          </cell>
          <cell r="H734">
            <v>32.792332015809677</v>
          </cell>
          <cell r="I734" t="e">
            <v>#N/A</v>
          </cell>
          <cell r="J734" t="e">
            <v>#N/A</v>
          </cell>
          <cell r="K734" t="e">
            <v>#N/A</v>
          </cell>
          <cell r="L734" t="e">
            <v>#N/A</v>
          </cell>
          <cell r="M734" t="e">
            <v>#N/A</v>
          </cell>
          <cell r="N734" t="e">
            <v>#N/A</v>
          </cell>
          <cell r="O734" t="e">
            <v>#N/A</v>
          </cell>
          <cell r="P734">
            <v>34.65</v>
          </cell>
          <cell r="Q734" t="str">
            <v/>
          </cell>
          <cell r="R734" t="e">
            <v>#N/A</v>
          </cell>
        </row>
        <row r="735">
          <cell r="A735">
            <v>40218</v>
          </cell>
          <cell r="B735">
            <v>40218</v>
          </cell>
          <cell r="C735" t="str">
            <v>Future</v>
          </cell>
          <cell r="D735" t="e">
            <v>#N/A</v>
          </cell>
          <cell r="E735">
            <v>10.521304347826174</v>
          </cell>
          <cell r="F735">
            <v>39.738695652174052</v>
          </cell>
          <cell r="G735">
            <v>32.782173913042875</v>
          </cell>
          <cell r="H735">
            <v>32.782173913042875</v>
          </cell>
          <cell r="I735" t="e">
            <v>#N/A</v>
          </cell>
          <cell r="J735" t="e">
            <v>#N/A</v>
          </cell>
          <cell r="K735" t="e">
            <v>#N/A</v>
          </cell>
          <cell r="L735" t="e">
            <v>#N/A</v>
          </cell>
          <cell r="M735" t="e">
            <v>#N/A</v>
          </cell>
          <cell r="N735" t="e">
            <v>#N/A</v>
          </cell>
          <cell r="O735" t="e">
            <v>#N/A</v>
          </cell>
          <cell r="P735">
            <v>34.65</v>
          </cell>
          <cell r="Q735" t="str">
            <v/>
          </cell>
          <cell r="R735" t="e">
            <v>#N/A</v>
          </cell>
        </row>
        <row r="736">
          <cell r="A736">
            <v>40219</v>
          </cell>
          <cell r="B736">
            <v>40219</v>
          </cell>
          <cell r="C736" t="str">
            <v>Future</v>
          </cell>
          <cell r="D736" t="e">
            <v>#N/A</v>
          </cell>
          <cell r="E736">
            <v>10.384664031620641</v>
          </cell>
          <cell r="F736">
            <v>39.768063241106859</v>
          </cell>
          <cell r="G736">
            <v>32.772015810276073</v>
          </cell>
          <cell r="H736">
            <v>32.772015810276073</v>
          </cell>
          <cell r="I736" t="e">
            <v>#N/A</v>
          </cell>
          <cell r="J736" t="e">
            <v>#N/A</v>
          </cell>
          <cell r="K736" t="e">
            <v>#N/A</v>
          </cell>
          <cell r="L736" t="e">
            <v>#N/A</v>
          </cell>
          <cell r="M736" t="e">
            <v>#N/A</v>
          </cell>
          <cell r="N736" t="e">
            <v>#N/A</v>
          </cell>
          <cell r="O736" t="e">
            <v>#N/A</v>
          </cell>
          <cell r="P736">
            <v>34.65</v>
          </cell>
          <cell r="Q736" t="str">
            <v/>
          </cell>
          <cell r="R736" t="e">
            <v>#N/A</v>
          </cell>
        </row>
        <row r="737">
          <cell r="A737">
            <v>40220</v>
          </cell>
          <cell r="B737">
            <v>40220</v>
          </cell>
          <cell r="C737" t="str">
            <v>Future</v>
          </cell>
          <cell r="D737" t="e">
            <v>#N/A</v>
          </cell>
          <cell r="E737">
            <v>10.248023715415108</v>
          </cell>
          <cell r="F737">
            <v>39.797430830039666</v>
          </cell>
          <cell r="G737">
            <v>32.761857707509272</v>
          </cell>
          <cell r="H737">
            <v>32.761857707509272</v>
          </cell>
          <cell r="I737" t="e">
            <v>#N/A</v>
          </cell>
          <cell r="J737" t="e">
            <v>#N/A</v>
          </cell>
          <cell r="K737" t="e">
            <v>#N/A</v>
          </cell>
          <cell r="L737" t="e">
            <v>#N/A</v>
          </cell>
          <cell r="M737" t="e">
            <v>#N/A</v>
          </cell>
          <cell r="N737" t="e">
            <v>#N/A</v>
          </cell>
          <cell r="O737" t="e">
            <v>#N/A</v>
          </cell>
          <cell r="P737">
            <v>34.65</v>
          </cell>
          <cell r="Q737" t="str">
            <v/>
          </cell>
          <cell r="R737" t="e">
            <v>#N/A</v>
          </cell>
        </row>
        <row r="738">
          <cell r="A738">
            <v>40221</v>
          </cell>
          <cell r="B738">
            <v>40221</v>
          </cell>
          <cell r="C738" t="str">
            <v>Future</v>
          </cell>
          <cell r="D738" t="e">
            <v>#N/A</v>
          </cell>
          <cell r="E738">
            <v>10.111383399209576</v>
          </cell>
          <cell r="F738">
            <v>39.826798418972473</v>
          </cell>
          <cell r="G738">
            <v>32.75169960474247</v>
          </cell>
          <cell r="H738">
            <v>32.75169960474247</v>
          </cell>
          <cell r="I738" t="e">
            <v>#N/A</v>
          </cell>
          <cell r="J738" t="e">
            <v>#N/A</v>
          </cell>
          <cell r="K738" t="e">
            <v>#N/A</v>
          </cell>
          <cell r="L738" t="e">
            <v>#N/A</v>
          </cell>
          <cell r="M738" t="e">
            <v>#N/A</v>
          </cell>
          <cell r="N738" t="e">
            <v>#N/A</v>
          </cell>
          <cell r="O738" t="e">
            <v>#N/A</v>
          </cell>
          <cell r="P738">
            <v>34.65</v>
          </cell>
          <cell r="Q738" t="str">
            <v/>
          </cell>
          <cell r="R738" t="e">
            <v>#N/A</v>
          </cell>
        </row>
        <row r="739">
          <cell r="A739">
            <v>40225</v>
          </cell>
          <cell r="B739">
            <v>40225</v>
          </cell>
          <cell r="C739" t="str">
            <v>Future</v>
          </cell>
          <cell r="D739" t="e">
            <v>#N/A</v>
          </cell>
          <cell r="E739">
            <v>9.9747430830040429</v>
          </cell>
          <cell r="F739">
            <v>39.85616600790528</v>
          </cell>
          <cell r="G739">
            <v>32.741541501975668</v>
          </cell>
          <cell r="H739">
            <v>32.741541501975668</v>
          </cell>
          <cell r="I739" t="e">
            <v>#N/A</v>
          </cell>
          <cell r="J739" t="e">
            <v>#N/A</v>
          </cell>
          <cell r="K739" t="e">
            <v>#N/A</v>
          </cell>
          <cell r="L739" t="e">
            <v>#N/A</v>
          </cell>
          <cell r="M739" t="e">
            <v>#N/A</v>
          </cell>
          <cell r="N739" t="e">
            <v>#N/A</v>
          </cell>
          <cell r="O739" t="e">
            <v>#N/A</v>
          </cell>
          <cell r="P739">
            <v>34.65</v>
          </cell>
          <cell r="Q739" t="str">
            <v/>
          </cell>
          <cell r="R739" t="e">
            <v>#N/A</v>
          </cell>
        </row>
        <row r="740">
          <cell r="A740">
            <v>40226</v>
          </cell>
          <cell r="B740">
            <v>40226</v>
          </cell>
          <cell r="C740" t="str">
            <v>Future</v>
          </cell>
          <cell r="D740" t="e">
            <v>#N/A</v>
          </cell>
          <cell r="E740">
            <v>9.8381027667985101</v>
          </cell>
          <cell r="F740">
            <v>39.885533596838087</v>
          </cell>
          <cell r="G740">
            <v>32.731383399208866</v>
          </cell>
          <cell r="H740">
            <v>32.731383399208866</v>
          </cell>
          <cell r="I740" t="e">
            <v>#N/A</v>
          </cell>
          <cell r="J740" t="e">
            <v>#N/A</v>
          </cell>
          <cell r="K740" t="e">
            <v>#N/A</v>
          </cell>
          <cell r="L740" t="e">
            <v>#N/A</v>
          </cell>
          <cell r="M740" t="e">
            <v>#N/A</v>
          </cell>
          <cell r="N740" t="e">
            <v>#N/A</v>
          </cell>
          <cell r="O740" t="e">
            <v>#N/A</v>
          </cell>
          <cell r="P740">
            <v>34.65</v>
          </cell>
          <cell r="Q740" t="str">
            <v/>
          </cell>
          <cell r="R740" t="e">
            <v>#N/A</v>
          </cell>
        </row>
        <row r="741">
          <cell r="A741">
            <v>40227</v>
          </cell>
          <cell r="B741">
            <v>40227</v>
          </cell>
          <cell r="C741" t="str">
            <v>Future</v>
          </cell>
          <cell r="D741" t="e">
            <v>#N/A</v>
          </cell>
          <cell r="E741">
            <v>9.7014624505929774</v>
          </cell>
          <cell r="F741">
            <v>39.914901185770894</v>
          </cell>
          <cell r="G741">
            <v>32.721225296442064</v>
          </cell>
          <cell r="H741">
            <v>32.721225296442064</v>
          </cell>
          <cell r="I741" t="e">
            <v>#N/A</v>
          </cell>
          <cell r="J741" t="e">
            <v>#N/A</v>
          </cell>
          <cell r="K741" t="e">
            <v>#N/A</v>
          </cell>
          <cell r="L741" t="e">
            <v>#N/A</v>
          </cell>
          <cell r="M741" t="e">
            <v>#N/A</v>
          </cell>
          <cell r="N741" t="e">
            <v>#N/A</v>
          </cell>
          <cell r="O741" t="e">
            <v>#N/A</v>
          </cell>
          <cell r="P741">
            <v>34.65</v>
          </cell>
          <cell r="Q741" t="str">
            <v/>
          </cell>
          <cell r="R741" t="e">
            <v>#N/A</v>
          </cell>
        </row>
        <row r="742">
          <cell r="A742">
            <v>40228</v>
          </cell>
          <cell r="B742">
            <v>40228</v>
          </cell>
          <cell r="C742" t="str">
            <v>Future</v>
          </cell>
          <cell r="D742" t="e">
            <v>#N/A</v>
          </cell>
          <cell r="E742">
            <v>9.5648221343874447</v>
          </cell>
          <cell r="F742">
            <v>39.944268774703701</v>
          </cell>
          <cell r="G742">
            <v>32.711067193675262</v>
          </cell>
          <cell r="H742">
            <v>32.711067193675262</v>
          </cell>
          <cell r="I742" t="e">
            <v>#N/A</v>
          </cell>
          <cell r="J742" t="e">
            <v>#N/A</v>
          </cell>
          <cell r="K742" t="e">
            <v>#N/A</v>
          </cell>
          <cell r="L742" t="e">
            <v>#N/A</v>
          </cell>
          <cell r="M742" t="e">
            <v>#N/A</v>
          </cell>
          <cell r="N742" t="e">
            <v>#N/A</v>
          </cell>
          <cell r="O742" t="e">
            <v>#N/A</v>
          </cell>
          <cell r="P742">
            <v>34.65</v>
          </cell>
          <cell r="Q742" t="str">
            <v/>
          </cell>
          <cell r="R742" t="e">
            <v>#N/A</v>
          </cell>
        </row>
        <row r="743">
          <cell r="A743">
            <v>40231</v>
          </cell>
          <cell r="B743">
            <v>40231</v>
          </cell>
          <cell r="C743" t="str">
            <v>Future</v>
          </cell>
          <cell r="D743" t="e">
            <v>#N/A</v>
          </cell>
          <cell r="E743">
            <v>9.4281818181819119</v>
          </cell>
          <cell r="F743">
            <v>39.973636363636508</v>
          </cell>
          <cell r="G743">
            <v>32.700909090908461</v>
          </cell>
          <cell r="H743">
            <v>32.700909090908461</v>
          </cell>
          <cell r="I743" t="e">
            <v>#N/A</v>
          </cell>
          <cell r="J743" t="e">
            <v>#N/A</v>
          </cell>
          <cell r="K743" t="e">
            <v>#N/A</v>
          </cell>
          <cell r="L743" t="e">
            <v>#N/A</v>
          </cell>
          <cell r="M743" t="e">
            <v>#N/A</v>
          </cell>
          <cell r="N743" t="e">
            <v>#N/A</v>
          </cell>
          <cell r="O743" t="e">
            <v>#N/A</v>
          </cell>
          <cell r="P743">
            <v>34.65</v>
          </cell>
          <cell r="Q743" t="str">
            <v/>
          </cell>
          <cell r="R743" t="e">
            <v>#N/A</v>
          </cell>
        </row>
        <row r="744">
          <cell r="A744">
            <v>40232</v>
          </cell>
          <cell r="B744">
            <v>40232</v>
          </cell>
          <cell r="C744" t="str">
            <v>Future</v>
          </cell>
          <cell r="D744" t="e">
            <v>#N/A</v>
          </cell>
          <cell r="E744">
            <v>9.2915415019763792</v>
          </cell>
          <cell r="F744">
            <v>40.003003952569316</v>
          </cell>
          <cell r="G744">
            <v>32.690750988141659</v>
          </cell>
          <cell r="H744">
            <v>32.690750988141659</v>
          </cell>
          <cell r="I744" t="e">
            <v>#N/A</v>
          </cell>
          <cell r="J744" t="e">
            <v>#N/A</v>
          </cell>
          <cell r="K744" t="e">
            <v>#N/A</v>
          </cell>
          <cell r="L744" t="e">
            <v>#N/A</v>
          </cell>
          <cell r="M744" t="e">
            <v>#N/A</v>
          </cell>
          <cell r="N744" t="e">
            <v>#N/A</v>
          </cell>
          <cell r="O744" t="e">
            <v>#N/A</v>
          </cell>
          <cell r="P744">
            <v>34.65</v>
          </cell>
          <cell r="Q744" t="str">
            <v/>
          </cell>
          <cell r="R744" t="e">
            <v>#N/A</v>
          </cell>
        </row>
        <row r="745">
          <cell r="A745">
            <v>40233</v>
          </cell>
          <cell r="B745">
            <v>40233</v>
          </cell>
          <cell r="C745" t="str">
            <v>Future</v>
          </cell>
          <cell r="D745" t="e">
            <v>#N/A</v>
          </cell>
          <cell r="E745">
            <v>9.1549011857708464</v>
          </cell>
          <cell r="F745">
            <v>40.032371541502123</v>
          </cell>
          <cell r="G745">
            <v>32.680592885374857</v>
          </cell>
          <cell r="H745">
            <v>32.680592885374857</v>
          </cell>
          <cell r="I745" t="e">
            <v>#N/A</v>
          </cell>
          <cell r="J745" t="e">
            <v>#N/A</v>
          </cell>
          <cell r="K745" t="e">
            <v>#N/A</v>
          </cell>
          <cell r="L745" t="e">
            <v>#N/A</v>
          </cell>
          <cell r="M745" t="e">
            <v>#N/A</v>
          </cell>
          <cell r="N745" t="e">
            <v>#N/A</v>
          </cell>
          <cell r="O745" t="e">
            <v>#N/A</v>
          </cell>
          <cell r="P745">
            <v>34.65</v>
          </cell>
          <cell r="Q745" t="str">
            <v/>
          </cell>
          <cell r="R745" t="e">
            <v>#N/A</v>
          </cell>
        </row>
        <row r="746">
          <cell r="A746">
            <v>40234</v>
          </cell>
          <cell r="B746">
            <v>40234</v>
          </cell>
          <cell r="C746" t="str">
            <v>Future</v>
          </cell>
          <cell r="D746" t="e">
            <v>#N/A</v>
          </cell>
          <cell r="E746">
            <v>9.0182608695653137</v>
          </cell>
          <cell r="F746">
            <v>40.06173913043493</v>
          </cell>
          <cell r="G746">
            <v>32.670434782608055</v>
          </cell>
          <cell r="H746">
            <v>32.670434782608055</v>
          </cell>
          <cell r="I746" t="e">
            <v>#N/A</v>
          </cell>
          <cell r="J746" t="e">
            <v>#N/A</v>
          </cell>
          <cell r="K746" t="e">
            <v>#N/A</v>
          </cell>
          <cell r="L746" t="e">
            <v>#N/A</v>
          </cell>
          <cell r="M746" t="e">
            <v>#N/A</v>
          </cell>
          <cell r="N746" t="e">
            <v>#N/A</v>
          </cell>
          <cell r="O746" t="e">
            <v>#N/A</v>
          </cell>
          <cell r="P746">
            <v>34.65</v>
          </cell>
          <cell r="Q746" t="str">
            <v/>
          </cell>
          <cell r="R746" t="e">
            <v>#N/A</v>
          </cell>
        </row>
        <row r="747">
          <cell r="A747">
            <v>40235</v>
          </cell>
          <cell r="B747">
            <v>40235</v>
          </cell>
          <cell r="C747" t="str">
            <v>Future</v>
          </cell>
          <cell r="D747" t="e">
            <v>#N/A</v>
          </cell>
          <cell r="E747">
            <v>8.881620553359781</v>
          </cell>
          <cell r="F747">
            <v>40.091106719367737</v>
          </cell>
          <cell r="G747">
            <v>32.660276679841253</v>
          </cell>
          <cell r="H747">
            <v>32.660276679841253</v>
          </cell>
          <cell r="I747" t="e">
            <v>#N/A</v>
          </cell>
          <cell r="J747" t="e">
            <v>#N/A</v>
          </cell>
          <cell r="K747" t="e">
            <v>#N/A</v>
          </cell>
          <cell r="L747" t="e">
            <v>#N/A</v>
          </cell>
          <cell r="M747" t="e">
            <v>#N/A</v>
          </cell>
          <cell r="N747" t="e">
            <v>#N/A</v>
          </cell>
          <cell r="O747" t="e">
            <v>#N/A</v>
          </cell>
          <cell r="P747">
            <v>34.65</v>
          </cell>
          <cell r="Q747" t="str">
            <v/>
          </cell>
          <cell r="R747" t="e">
            <v>#N/A</v>
          </cell>
        </row>
        <row r="748">
          <cell r="A748">
            <v>40238</v>
          </cell>
          <cell r="B748">
            <v>40238</v>
          </cell>
          <cell r="C748" t="str">
            <v>Future</v>
          </cell>
          <cell r="D748" t="e">
            <v>#N/A</v>
          </cell>
          <cell r="E748">
            <v>8.7449802371542482</v>
          </cell>
          <cell r="F748">
            <v>40.120474308300544</v>
          </cell>
          <cell r="G748">
            <v>32.650118577074451</v>
          </cell>
          <cell r="H748">
            <v>32.650118577074451</v>
          </cell>
          <cell r="I748" t="e">
            <v>#N/A</v>
          </cell>
          <cell r="J748" t="e">
            <v>#N/A</v>
          </cell>
          <cell r="K748" t="e">
            <v>#N/A</v>
          </cell>
          <cell r="L748" t="e">
            <v>#N/A</v>
          </cell>
          <cell r="M748" t="e">
            <v>#N/A</v>
          </cell>
          <cell r="N748" t="e">
            <v>#N/A</v>
          </cell>
          <cell r="O748" t="e">
            <v>#N/A</v>
          </cell>
          <cell r="P748">
            <v>34.65</v>
          </cell>
          <cell r="Q748" t="str">
            <v/>
          </cell>
          <cell r="R748" t="e">
            <v>#N/A</v>
          </cell>
        </row>
        <row r="749">
          <cell r="A749">
            <v>40239</v>
          </cell>
          <cell r="B749">
            <v>40239</v>
          </cell>
          <cell r="C749" t="str">
            <v>Future</v>
          </cell>
          <cell r="D749" t="e">
            <v>#N/A</v>
          </cell>
          <cell r="E749">
            <v>8.6083399209487155</v>
          </cell>
          <cell r="F749">
            <v>40.149841897233351</v>
          </cell>
          <cell r="G749">
            <v>32.639960474307649</v>
          </cell>
          <cell r="H749">
            <v>32.639960474307649</v>
          </cell>
          <cell r="I749" t="e">
            <v>#N/A</v>
          </cell>
          <cell r="J749" t="e">
            <v>#N/A</v>
          </cell>
          <cell r="K749" t="e">
            <v>#N/A</v>
          </cell>
          <cell r="L749" t="e">
            <v>#N/A</v>
          </cell>
          <cell r="M749" t="e">
            <v>#N/A</v>
          </cell>
          <cell r="N749" t="e">
            <v>#N/A</v>
          </cell>
          <cell r="O749" t="e">
            <v>#N/A</v>
          </cell>
          <cell r="P749">
            <v>34.65</v>
          </cell>
          <cell r="Q749" t="str">
            <v/>
          </cell>
          <cell r="R749" t="e">
            <v>#N/A</v>
          </cell>
        </row>
        <row r="750">
          <cell r="A750">
            <v>40240</v>
          </cell>
          <cell r="B750">
            <v>40240</v>
          </cell>
          <cell r="C750" t="str">
            <v>Future</v>
          </cell>
          <cell r="D750" t="e">
            <v>#N/A</v>
          </cell>
          <cell r="E750">
            <v>8.4716996047431827</v>
          </cell>
          <cell r="F750">
            <v>40.179209486166158</v>
          </cell>
          <cell r="G750">
            <v>32.629802371540848</v>
          </cell>
          <cell r="H750">
            <v>32.629802371540848</v>
          </cell>
          <cell r="I750" t="e">
            <v>#N/A</v>
          </cell>
          <cell r="J750" t="e">
            <v>#N/A</v>
          </cell>
          <cell r="K750" t="e">
            <v>#N/A</v>
          </cell>
          <cell r="L750" t="e">
            <v>#N/A</v>
          </cell>
          <cell r="M750" t="e">
            <v>#N/A</v>
          </cell>
          <cell r="N750" t="e">
            <v>#N/A</v>
          </cell>
          <cell r="O750" t="e">
            <v>#N/A</v>
          </cell>
          <cell r="P750">
            <v>34.65</v>
          </cell>
          <cell r="Q750" t="str">
            <v/>
          </cell>
          <cell r="R750" t="e">
            <v>#N/A</v>
          </cell>
        </row>
        <row r="751">
          <cell r="A751">
            <v>40241</v>
          </cell>
          <cell r="B751">
            <v>40241</v>
          </cell>
          <cell r="C751" t="str">
            <v>Future</v>
          </cell>
          <cell r="D751" t="e">
            <v>#N/A</v>
          </cell>
          <cell r="E751">
            <v>8.33505928853765</v>
          </cell>
          <cell r="F751">
            <v>40.208577075098965</v>
          </cell>
          <cell r="G751">
            <v>32.619644268774046</v>
          </cell>
          <cell r="H751">
            <v>32.619644268774046</v>
          </cell>
          <cell r="I751" t="e">
            <v>#N/A</v>
          </cell>
          <cell r="J751" t="e">
            <v>#N/A</v>
          </cell>
          <cell r="K751" t="e">
            <v>#N/A</v>
          </cell>
          <cell r="L751" t="e">
            <v>#N/A</v>
          </cell>
          <cell r="M751" t="e">
            <v>#N/A</v>
          </cell>
          <cell r="N751" t="e">
            <v>#N/A</v>
          </cell>
          <cell r="O751" t="e">
            <v>#N/A</v>
          </cell>
          <cell r="P751">
            <v>34.65</v>
          </cell>
          <cell r="Q751" t="str">
            <v/>
          </cell>
          <cell r="R751" t="e">
            <v>#N/A</v>
          </cell>
        </row>
        <row r="752">
          <cell r="A752">
            <v>40242</v>
          </cell>
          <cell r="B752">
            <v>40242</v>
          </cell>
          <cell r="C752" t="str">
            <v>Future</v>
          </cell>
          <cell r="D752" t="e">
            <v>#N/A</v>
          </cell>
          <cell r="E752">
            <v>8.1984189723321172</v>
          </cell>
          <cell r="F752">
            <v>40.237944664031772</v>
          </cell>
          <cell r="G752">
            <v>32.609486166007244</v>
          </cell>
          <cell r="H752">
            <v>32.609486166007244</v>
          </cell>
          <cell r="I752" t="e">
            <v>#N/A</v>
          </cell>
          <cell r="J752" t="e">
            <v>#N/A</v>
          </cell>
          <cell r="K752" t="e">
            <v>#N/A</v>
          </cell>
          <cell r="L752" t="e">
            <v>#N/A</v>
          </cell>
          <cell r="M752" t="e">
            <v>#N/A</v>
          </cell>
          <cell r="N752" t="e">
            <v>#N/A</v>
          </cell>
          <cell r="O752" t="e">
            <v>#N/A</v>
          </cell>
          <cell r="P752">
            <v>34.65</v>
          </cell>
          <cell r="Q752" t="str">
            <v/>
          </cell>
          <cell r="R752" t="e">
            <v>#N/A</v>
          </cell>
        </row>
        <row r="753">
          <cell r="A753">
            <v>40245</v>
          </cell>
          <cell r="B753">
            <v>40245</v>
          </cell>
          <cell r="C753" t="str">
            <v>Future</v>
          </cell>
          <cell r="D753" t="e">
            <v>#N/A</v>
          </cell>
          <cell r="E753">
            <v>8.0617786561265845</v>
          </cell>
          <cell r="F753">
            <v>40.267312252964579</v>
          </cell>
          <cell r="G753">
            <v>32.599328063240442</v>
          </cell>
          <cell r="H753">
            <v>32.599328063240442</v>
          </cell>
          <cell r="I753" t="e">
            <v>#N/A</v>
          </cell>
          <cell r="J753" t="e">
            <v>#N/A</v>
          </cell>
          <cell r="K753" t="e">
            <v>#N/A</v>
          </cell>
          <cell r="L753" t="e">
            <v>#N/A</v>
          </cell>
          <cell r="M753" t="e">
            <v>#N/A</v>
          </cell>
          <cell r="N753" t="e">
            <v>#N/A</v>
          </cell>
          <cell r="O753" t="e">
            <v>#N/A</v>
          </cell>
          <cell r="P753">
            <v>34.65</v>
          </cell>
          <cell r="Q753" t="str">
            <v/>
          </cell>
          <cell r="R753" t="e">
            <v>#N/A</v>
          </cell>
        </row>
        <row r="754">
          <cell r="A754">
            <v>40246</v>
          </cell>
          <cell r="B754">
            <v>40246</v>
          </cell>
          <cell r="C754" t="str">
            <v>Future</v>
          </cell>
          <cell r="D754" t="e">
            <v>#N/A</v>
          </cell>
          <cell r="E754">
            <v>7.9251383399210509</v>
          </cell>
          <cell r="F754">
            <v>40.296679841897387</v>
          </cell>
          <cell r="G754">
            <v>32.58916996047364</v>
          </cell>
          <cell r="H754">
            <v>32.58916996047364</v>
          </cell>
          <cell r="I754" t="e">
            <v>#N/A</v>
          </cell>
          <cell r="J754" t="e">
            <v>#N/A</v>
          </cell>
          <cell r="K754" t="e">
            <v>#N/A</v>
          </cell>
          <cell r="L754" t="e">
            <v>#N/A</v>
          </cell>
          <cell r="M754" t="e">
            <v>#N/A</v>
          </cell>
          <cell r="N754" t="e">
            <v>#N/A</v>
          </cell>
          <cell r="O754" t="e">
            <v>#N/A</v>
          </cell>
          <cell r="P754">
            <v>34.65</v>
          </cell>
          <cell r="Q754" t="str">
            <v/>
          </cell>
          <cell r="R754" t="e">
            <v>#N/A</v>
          </cell>
        </row>
        <row r="755">
          <cell r="A755">
            <v>40247</v>
          </cell>
          <cell r="B755">
            <v>40247</v>
          </cell>
          <cell r="C755" t="str">
            <v>Future</v>
          </cell>
          <cell r="D755" t="e">
            <v>#N/A</v>
          </cell>
          <cell r="E755">
            <v>7.7884980237155172</v>
          </cell>
          <cell r="F755">
            <v>40.326047430830194</v>
          </cell>
          <cell r="G755">
            <v>32.579011857706838</v>
          </cell>
          <cell r="H755">
            <v>32.579011857706838</v>
          </cell>
          <cell r="I755" t="e">
            <v>#N/A</v>
          </cell>
          <cell r="J755" t="e">
            <v>#N/A</v>
          </cell>
          <cell r="K755" t="e">
            <v>#N/A</v>
          </cell>
          <cell r="L755" t="e">
            <v>#N/A</v>
          </cell>
          <cell r="M755" t="e">
            <v>#N/A</v>
          </cell>
          <cell r="N755" t="e">
            <v>#N/A</v>
          </cell>
          <cell r="O755" t="e">
            <v>#N/A</v>
          </cell>
          <cell r="P755">
            <v>34.65</v>
          </cell>
          <cell r="Q755" t="str">
            <v/>
          </cell>
          <cell r="R755" t="e">
            <v>#N/A</v>
          </cell>
        </row>
        <row r="756">
          <cell r="A756">
            <v>40248</v>
          </cell>
          <cell r="B756">
            <v>40248</v>
          </cell>
          <cell r="C756" t="str">
            <v>Future</v>
          </cell>
          <cell r="D756" t="e">
            <v>#N/A</v>
          </cell>
          <cell r="E756">
            <v>7.6518577075099836</v>
          </cell>
          <cell r="F756">
            <v>40.355415019763001</v>
          </cell>
          <cell r="G756">
            <v>32.568853754940037</v>
          </cell>
          <cell r="H756">
            <v>32.568853754940037</v>
          </cell>
          <cell r="I756" t="e">
            <v>#N/A</v>
          </cell>
          <cell r="J756" t="e">
            <v>#N/A</v>
          </cell>
          <cell r="K756" t="e">
            <v>#N/A</v>
          </cell>
          <cell r="L756" t="e">
            <v>#N/A</v>
          </cell>
          <cell r="M756" t="e">
            <v>#N/A</v>
          </cell>
          <cell r="N756" t="e">
            <v>#N/A</v>
          </cell>
          <cell r="O756" t="e">
            <v>#N/A</v>
          </cell>
          <cell r="P756">
            <v>34.65</v>
          </cell>
          <cell r="Q756" t="str">
            <v/>
          </cell>
          <cell r="R756" t="e">
            <v>#N/A</v>
          </cell>
        </row>
        <row r="757">
          <cell r="A757">
            <v>40249</v>
          </cell>
          <cell r="B757">
            <v>40249</v>
          </cell>
          <cell r="C757" t="str">
            <v>Future</v>
          </cell>
          <cell r="D757" t="e">
            <v>#N/A</v>
          </cell>
          <cell r="E757">
            <v>7.51521739130445</v>
          </cell>
          <cell r="F757">
            <v>40.384782608695808</v>
          </cell>
          <cell r="G757">
            <v>32.558695652173235</v>
          </cell>
          <cell r="H757">
            <v>32.558695652173235</v>
          </cell>
          <cell r="I757" t="e">
            <v>#N/A</v>
          </cell>
          <cell r="J757" t="e">
            <v>#N/A</v>
          </cell>
          <cell r="K757" t="e">
            <v>#N/A</v>
          </cell>
          <cell r="L757" t="e">
            <v>#N/A</v>
          </cell>
          <cell r="M757" t="e">
            <v>#N/A</v>
          </cell>
          <cell r="N757" t="e">
            <v>#N/A</v>
          </cell>
          <cell r="O757" t="e">
            <v>#N/A</v>
          </cell>
          <cell r="P757">
            <v>34.65</v>
          </cell>
          <cell r="Q757" t="str">
            <v/>
          </cell>
          <cell r="R757" t="e">
            <v>#N/A</v>
          </cell>
        </row>
        <row r="758">
          <cell r="A758">
            <v>40252</v>
          </cell>
          <cell r="B758">
            <v>40252</v>
          </cell>
          <cell r="C758" t="str">
            <v>Future</v>
          </cell>
          <cell r="D758" t="e">
            <v>#N/A</v>
          </cell>
          <cell r="E758">
            <v>7.3785770750989164</v>
          </cell>
          <cell r="F758">
            <v>40.414150197628615</v>
          </cell>
          <cell r="G758">
            <v>32.548537549406433</v>
          </cell>
          <cell r="H758">
            <v>32.548537549406433</v>
          </cell>
          <cell r="I758" t="e">
            <v>#N/A</v>
          </cell>
          <cell r="J758" t="e">
            <v>#N/A</v>
          </cell>
          <cell r="K758" t="e">
            <v>#N/A</v>
          </cell>
          <cell r="L758" t="e">
            <v>#N/A</v>
          </cell>
          <cell r="M758" t="e">
            <v>#N/A</v>
          </cell>
          <cell r="N758" t="e">
            <v>#N/A</v>
          </cell>
          <cell r="O758" t="e">
            <v>#N/A</v>
          </cell>
          <cell r="P758">
            <v>34.65</v>
          </cell>
          <cell r="Q758" t="str">
            <v/>
          </cell>
          <cell r="R758" t="e">
            <v>#N/A</v>
          </cell>
        </row>
        <row r="759">
          <cell r="A759">
            <v>40253</v>
          </cell>
          <cell r="B759">
            <v>40253</v>
          </cell>
          <cell r="C759" t="str">
            <v>Future</v>
          </cell>
          <cell r="D759" t="e">
            <v>#N/A</v>
          </cell>
          <cell r="E759">
            <v>7.2419367588933827</v>
          </cell>
          <cell r="F759">
            <v>40.443517786561422</v>
          </cell>
          <cell r="G759">
            <v>32.538379446639631</v>
          </cell>
          <cell r="H759">
            <v>32.538379446639631</v>
          </cell>
          <cell r="I759" t="e">
            <v>#N/A</v>
          </cell>
          <cell r="J759" t="e">
            <v>#N/A</v>
          </cell>
          <cell r="K759" t="e">
            <v>#N/A</v>
          </cell>
          <cell r="L759" t="e">
            <v>#N/A</v>
          </cell>
          <cell r="M759" t="e">
            <v>#N/A</v>
          </cell>
          <cell r="N759" t="e">
            <v>#N/A</v>
          </cell>
          <cell r="O759" t="e">
            <v>#N/A</v>
          </cell>
          <cell r="P759">
            <v>34.65</v>
          </cell>
          <cell r="Q759" t="str">
            <v/>
          </cell>
          <cell r="R759" t="e">
            <v>#N/A</v>
          </cell>
        </row>
        <row r="760">
          <cell r="A760">
            <v>40254</v>
          </cell>
          <cell r="B760">
            <v>40254</v>
          </cell>
          <cell r="C760" t="str">
            <v>Future</v>
          </cell>
          <cell r="D760" t="e">
            <v>#N/A</v>
          </cell>
          <cell r="E760">
            <v>7.1052964426878491</v>
          </cell>
          <cell r="F760">
            <v>40.472885375494229</v>
          </cell>
          <cell r="G760">
            <v>32.528221343872829</v>
          </cell>
          <cell r="H760">
            <v>32.528221343872829</v>
          </cell>
          <cell r="I760" t="e">
            <v>#N/A</v>
          </cell>
          <cell r="J760" t="e">
            <v>#N/A</v>
          </cell>
          <cell r="K760" t="e">
            <v>#N/A</v>
          </cell>
          <cell r="L760" t="e">
            <v>#N/A</v>
          </cell>
          <cell r="M760" t="e">
            <v>#N/A</v>
          </cell>
          <cell r="N760" t="e">
            <v>#N/A</v>
          </cell>
          <cell r="O760" t="e">
            <v>#N/A</v>
          </cell>
          <cell r="P760">
            <v>34.65</v>
          </cell>
          <cell r="Q760" t="str">
            <v/>
          </cell>
          <cell r="R760" t="e">
            <v>#N/A</v>
          </cell>
        </row>
        <row r="761">
          <cell r="A761">
            <v>40255</v>
          </cell>
          <cell r="B761">
            <v>40255</v>
          </cell>
          <cell r="C761" t="str">
            <v>Future</v>
          </cell>
          <cell r="D761" t="e">
            <v>#N/A</v>
          </cell>
          <cell r="E761">
            <v>6.9686561264823155</v>
          </cell>
          <cell r="F761">
            <v>40.502252964427036</v>
          </cell>
          <cell r="G761">
            <v>32.518063241106027</v>
          </cell>
          <cell r="H761">
            <v>32.518063241106027</v>
          </cell>
          <cell r="I761" t="e">
            <v>#N/A</v>
          </cell>
          <cell r="J761" t="e">
            <v>#N/A</v>
          </cell>
          <cell r="K761" t="e">
            <v>#N/A</v>
          </cell>
          <cell r="L761" t="e">
            <v>#N/A</v>
          </cell>
          <cell r="M761" t="e">
            <v>#N/A</v>
          </cell>
          <cell r="N761" t="e">
            <v>#N/A</v>
          </cell>
          <cell r="O761" t="e">
            <v>#N/A</v>
          </cell>
          <cell r="P761">
            <v>34.65</v>
          </cell>
          <cell r="Q761" t="str">
            <v/>
          </cell>
          <cell r="R761" t="e">
            <v>#N/A</v>
          </cell>
        </row>
        <row r="762">
          <cell r="A762">
            <v>40256</v>
          </cell>
          <cell r="B762">
            <v>40256</v>
          </cell>
          <cell r="C762" t="str">
            <v>Future</v>
          </cell>
          <cell r="D762" t="e">
            <v>#N/A</v>
          </cell>
          <cell r="E762">
            <v>6.8320158102767818</v>
          </cell>
          <cell r="F762">
            <v>40.531620553359843</v>
          </cell>
          <cell r="G762">
            <v>32.507905138339225</v>
          </cell>
          <cell r="H762">
            <v>32.507905138339225</v>
          </cell>
          <cell r="I762" t="e">
            <v>#N/A</v>
          </cell>
          <cell r="J762" t="e">
            <v>#N/A</v>
          </cell>
          <cell r="K762" t="e">
            <v>#N/A</v>
          </cell>
          <cell r="L762" t="e">
            <v>#N/A</v>
          </cell>
          <cell r="M762" t="e">
            <v>#N/A</v>
          </cell>
          <cell r="N762" t="e">
            <v>#N/A</v>
          </cell>
          <cell r="O762" t="e">
            <v>#N/A</v>
          </cell>
          <cell r="P762">
            <v>34.65</v>
          </cell>
          <cell r="Q762" t="str">
            <v/>
          </cell>
          <cell r="R762" t="e">
            <v>#N/A</v>
          </cell>
        </row>
        <row r="763">
          <cell r="A763">
            <v>40259</v>
          </cell>
          <cell r="B763">
            <v>40259</v>
          </cell>
          <cell r="C763" t="str">
            <v>Future</v>
          </cell>
          <cell r="D763" t="e">
            <v>#N/A</v>
          </cell>
          <cell r="E763">
            <v>6.6953754940712482</v>
          </cell>
          <cell r="F763">
            <v>40.560988142292651</v>
          </cell>
          <cell r="G763">
            <v>32.497747035572424</v>
          </cell>
          <cell r="H763">
            <v>32.497747035572424</v>
          </cell>
          <cell r="I763" t="e">
            <v>#N/A</v>
          </cell>
          <cell r="J763" t="e">
            <v>#N/A</v>
          </cell>
          <cell r="K763" t="e">
            <v>#N/A</v>
          </cell>
          <cell r="L763" t="e">
            <v>#N/A</v>
          </cell>
          <cell r="M763" t="e">
            <v>#N/A</v>
          </cell>
          <cell r="N763" t="e">
            <v>#N/A</v>
          </cell>
          <cell r="O763" t="e">
            <v>#N/A</v>
          </cell>
          <cell r="P763">
            <v>34.65</v>
          </cell>
          <cell r="Q763" t="str">
            <v/>
          </cell>
          <cell r="R763" t="e">
            <v>#N/A</v>
          </cell>
        </row>
        <row r="764">
          <cell r="A764">
            <v>40260</v>
          </cell>
          <cell r="B764">
            <v>40260</v>
          </cell>
          <cell r="C764" t="str">
            <v>Future</v>
          </cell>
          <cell r="D764" t="e">
            <v>#N/A</v>
          </cell>
          <cell r="E764">
            <v>6.5587351778657146</v>
          </cell>
          <cell r="F764">
            <v>40.590355731225458</v>
          </cell>
          <cell r="G764">
            <v>32.487588932805622</v>
          </cell>
          <cell r="H764">
            <v>32.487588932805622</v>
          </cell>
          <cell r="I764" t="e">
            <v>#N/A</v>
          </cell>
          <cell r="J764" t="e">
            <v>#N/A</v>
          </cell>
          <cell r="K764" t="e">
            <v>#N/A</v>
          </cell>
          <cell r="L764" t="e">
            <v>#N/A</v>
          </cell>
          <cell r="M764" t="e">
            <v>#N/A</v>
          </cell>
          <cell r="N764" t="e">
            <v>#N/A</v>
          </cell>
          <cell r="O764" t="e">
            <v>#N/A</v>
          </cell>
          <cell r="P764">
            <v>34.65</v>
          </cell>
          <cell r="Q764" t="str">
            <v/>
          </cell>
          <cell r="R764" t="e">
            <v>#N/A</v>
          </cell>
        </row>
        <row r="765">
          <cell r="A765">
            <v>40261</v>
          </cell>
          <cell r="B765">
            <v>40261</v>
          </cell>
          <cell r="C765" t="str">
            <v>Future</v>
          </cell>
          <cell r="D765" t="e">
            <v>#N/A</v>
          </cell>
          <cell r="E765">
            <v>6.422094861660181</v>
          </cell>
          <cell r="F765">
            <v>40.619723320158265</v>
          </cell>
          <cell r="G765">
            <v>32.47743083003882</v>
          </cell>
          <cell r="H765">
            <v>32.47743083003882</v>
          </cell>
          <cell r="I765" t="e">
            <v>#N/A</v>
          </cell>
          <cell r="J765" t="e">
            <v>#N/A</v>
          </cell>
          <cell r="K765" t="e">
            <v>#N/A</v>
          </cell>
          <cell r="L765" t="e">
            <v>#N/A</v>
          </cell>
          <cell r="M765" t="e">
            <v>#N/A</v>
          </cell>
          <cell r="N765" t="e">
            <v>#N/A</v>
          </cell>
          <cell r="O765" t="e">
            <v>#N/A</v>
          </cell>
          <cell r="P765">
            <v>34.65</v>
          </cell>
          <cell r="Q765" t="str">
            <v/>
          </cell>
          <cell r="R765" t="e">
            <v>#N/A</v>
          </cell>
        </row>
        <row r="766">
          <cell r="A766">
            <v>40262</v>
          </cell>
          <cell r="B766">
            <v>40262</v>
          </cell>
          <cell r="C766" t="str">
            <v>Future</v>
          </cell>
          <cell r="D766" t="e">
            <v>#N/A</v>
          </cell>
          <cell r="E766">
            <v>6.2854545454546473</v>
          </cell>
          <cell r="F766">
            <v>40.649090909091072</v>
          </cell>
          <cell r="G766">
            <v>32.467272727272018</v>
          </cell>
          <cell r="H766">
            <v>32.467272727272018</v>
          </cell>
          <cell r="I766" t="e">
            <v>#N/A</v>
          </cell>
          <cell r="J766" t="e">
            <v>#N/A</v>
          </cell>
          <cell r="K766" t="e">
            <v>#N/A</v>
          </cell>
          <cell r="L766" t="e">
            <v>#N/A</v>
          </cell>
          <cell r="M766" t="e">
            <v>#N/A</v>
          </cell>
          <cell r="N766" t="e">
            <v>#N/A</v>
          </cell>
          <cell r="O766" t="e">
            <v>#N/A</v>
          </cell>
          <cell r="P766">
            <v>34.65</v>
          </cell>
          <cell r="Q766" t="str">
            <v/>
          </cell>
          <cell r="R766" t="e">
            <v>#N/A</v>
          </cell>
        </row>
        <row r="767">
          <cell r="A767">
            <v>40263</v>
          </cell>
          <cell r="B767">
            <v>40263</v>
          </cell>
          <cell r="C767" t="str">
            <v>Future</v>
          </cell>
          <cell r="D767" t="e">
            <v>#N/A</v>
          </cell>
          <cell r="E767">
            <v>6.1488142292491137</v>
          </cell>
          <cell r="F767">
            <v>40.678458498023879</v>
          </cell>
          <cell r="G767">
            <v>32.457114624505216</v>
          </cell>
          <cell r="H767">
            <v>32.457114624505216</v>
          </cell>
          <cell r="I767" t="e">
            <v>#N/A</v>
          </cell>
          <cell r="J767" t="e">
            <v>#N/A</v>
          </cell>
          <cell r="K767" t="e">
            <v>#N/A</v>
          </cell>
          <cell r="L767" t="e">
            <v>#N/A</v>
          </cell>
          <cell r="M767" t="e">
            <v>#N/A</v>
          </cell>
          <cell r="N767" t="e">
            <v>#N/A</v>
          </cell>
          <cell r="O767" t="e">
            <v>#N/A</v>
          </cell>
          <cell r="P767">
            <v>34.65</v>
          </cell>
          <cell r="Q767" t="str">
            <v/>
          </cell>
          <cell r="R767" t="e">
            <v>#N/A</v>
          </cell>
        </row>
        <row r="768">
          <cell r="A768">
            <v>40266</v>
          </cell>
          <cell r="B768">
            <v>40266</v>
          </cell>
          <cell r="C768" t="str">
            <v>Future</v>
          </cell>
          <cell r="D768" t="e">
            <v>#N/A</v>
          </cell>
          <cell r="E768">
            <v>6.0121739130435801</v>
          </cell>
          <cell r="F768">
            <v>40.707826086956686</v>
          </cell>
          <cell r="G768">
            <v>32.446956521738414</v>
          </cell>
          <cell r="H768">
            <v>32.446956521738414</v>
          </cell>
          <cell r="I768" t="e">
            <v>#N/A</v>
          </cell>
          <cell r="J768" t="e">
            <v>#N/A</v>
          </cell>
          <cell r="K768" t="e">
            <v>#N/A</v>
          </cell>
          <cell r="L768" t="e">
            <v>#N/A</v>
          </cell>
          <cell r="M768" t="e">
            <v>#N/A</v>
          </cell>
          <cell r="N768" t="e">
            <v>#N/A</v>
          </cell>
          <cell r="O768" t="e">
            <v>#N/A</v>
          </cell>
          <cell r="P768">
            <v>34.65</v>
          </cell>
          <cell r="Q768" t="str">
            <v/>
          </cell>
          <cell r="R768" t="e">
            <v>#N/A</v>
          </cell>
        </row>
        <row r="769">
          <cell r="A769">
            <v>40267</v>
          </cell>
          <cell r="B769">
            <v>40267</v>
          </cell>
          <cell r="C769" t="str">
            <v>Future</v>
          </cell>
          <cell r="D769" t="e">
            <v>#N/A</v>
          </cell>
          <cell r="E769">
            <v>5.8755335968380464</v>
          </cell>
          <cell r="F769">
            <v>40.737193675889493</v>
          </cell>
          <cell r="G769">
            <v>32.436798418971613</v>
          </cell>
          <cell r="H769">
            <v>32.436798418971613</v>
          </cell>
          <cell r="I769" t="e">
            <v>#N/A</v>
          </cell>
          <cell r="J769" t="e">
            <v>#N/A</v>
          </cell>
          <cell r="K769" t="e">
            <v>#N/A</v>
          </cell>
          <cell r="L769" t="e">
            <v>#N/A</v>
          </cell>
          <cell r="M769" t="e">
            <v>#N/A</v>
          </cell>
          <cell r="N769" t="e">
            <v>#N/A</v>
          </cell>
          <cell r="O769" t="e">
            <v>#N/A</v>
          </cell>
          <cell r="P769">
            <v>34.65</v>
          </cell>
          <cell r="Q769" t="str">
            <v/>
          </cell>
          <cell r="R769" t="e">
            <v>#N/A</v>
          </cell>
        </row>
        <row r="770">
          <cell r="A770">
            <v>40268</v>
          </cell>
          <cell r="B770">
            <v>40268</v>
          </cell>
          <cell r="C770" t="str">
            <v>Future</v>
          </cell>
          <cell r="D770" t="e">
            <v>#N/A</v>
          </cell>
          <cell r="E770">
            <v>5.7388932806325128</v>
          </cell>
          <cell r="F770">
            <v>40.7665612648223</v>
          </cell>
          <cell r="G770">
            <v>32.426640316204811</v>
          </cell>
          <cell r="H770">
            <v>32.426640316204811</v>
          </cell>
          <cell r="I770" t="e">
            <v>#N/A</v>
          </cell>
          <cell r="J770" t="e">
            <v>#N/A</v>
          </cell>
          <cell r="K770" t="e">
            <v>#N/A</v>
          </cell>
          <cell r="L770" t="e">
            <v>#N/A</v>
          </cell>
          <cell r="M770" t="e">
            <v>#N/A</v>
          </cell>
          <cell r="N770" t="e">
            <v>#N/A</v>
          </cell>
          <cell r="O770" t="e">
            <v>#N/A</v>
          </cell>
          <cell r="P770">
            <v>34.65</v>
          </cell>
          <cell r="Q770" t="str">
            <v/>
          </cell>
          <cell r="R770" t="e">
            <v>#N/A</v>
          </cell>
        </row>
        <row r="771">
          <cell r="A771">
            <v>40269</v>
          </cell>
          <cell r="B771">
            <v>40269</v>
          </cell>
          <cell r="C771" t="str">
            <v>Future</v>
          </cell>
          <cell r="D771" t="e">
            <v>#N/A</v>
          </cell>
          <cell r="E771">
            <v>5.6022529644269792</v>
          </cell>
          <cell r="F771">
            <v>40.795928853755107</v>
          </cell>
          <cell r="G771">
            <v>32.416482213438009</v>
          </cell>
          <cell r="H771">
            <v>32.416482213438009</v>
          </cell>
          <cell r="I771" t="e">
            <v>#N/A</v>
          </cell>
          <cell r="J771" t="e">
            <v>#N/A</v>
          </cell>
          <cell r="K771" t="e">
            <v>#N/A</v>
          </cell>
          <cell r="L771" t="e">
            <v>#N/A</v>
          </cell>
          <cell r="M771" t="e">
            <v>#N/A</v>
          </cell>
          <cell r="N771" t="e">
            <v>#N/A</v>
          </cell>
          <cell r="O771" t="e">
            <v>#N/A</v>
          </cell>
          <cell r="P771">
            <v>34.65</v>
          </cell>
          <cell r="Q771" t="str">
            <v/>
          </cell>
          <cell r="R771" t="e">
            <v>#N/A</v>
          </cell>
        </row>
        <row r="772">
          <cell r="A772">
            <v>40273</v>
          </cell>
          <cell r="B772">
            <v>40273</v>
          </cell>
          <cell r="C772" t="str">
            <v>Future</v>
          </cell>
          <cell r="D772" t="e">
            <v>#N/A</v>
          </cell>
          <cell r="E772">
            <v>5.4656126482214455</v>
          </cell>
          <cell r="F772">
            <v>40.825296442687915</v>
          </cell>
          <cell r="G772">
            <v>32.406324110671207</v>
          </cell>
          <cell r="H772">
            <v>32.406324110671207</v>
          </cell>
          <cell r="I772" t="e">
            <v>#N/A</v>
          </cell>
          <cell r="J772" t="e">
            <v>#N/A</v>
          </cell>
          <cell r="K772" t="e">
            <v>#N/A</v>
          </cell>
          <cell r="L772" t="e">
            <v>#N/A</v>
          </cell>
          <cell r="M772" t="e">
            <v>#N/A</v>
          </cell>
          <cell r="N772" t="e">
            <v>#N/A</v>
          </cell>
          <cell r="O772" t="e">
            <v>#N/A</v>
          </cell>
          <cell r="P772">
            <v>34.65</v>
          </cell>
          <cell r="Q772" t="str">
            <v/>
          </cell>
          <cell r="R772" t="e">
            <v>#N/A</v>
          </cell>
        </row>
        <row r="773">
          <cell r="A773">
            <v>40274</v>
          </cell>
          <cell r="B773">
            <v>40274</v>
          </cell>
          <cell r="C773" t="str">
            <v>Future</v>
          </cell>
          <cell r="D773" t="e">
            <v>#N/A</v>
          </cell>
          <cell r="E773">
            <v>5.3289723320159119</v>
          </cell>
          <cell r="F773">
            <v>40.854664031620722</v>
          </cell>
          <cell r="G773">
            <v>32.396166007904405</v>
          </cell>
          <cell r="H773">
            <v>32.396166007904405</v>
          </cell>
          <cell r="I773" t="e">
            <v>#N/A</v>
          </cell>
          <cell r="J773" t="e">
            <v>#N/A</v>
          </cell>
          <cell r="K773" t="e">
            <v>#N/A</v>
          </cell>
          <cell r="L773" t="e">
            <v>#N/A</v>
          </cell>
          <cell r="M773" t="e">
            <v>#N/A</v>
          </cell>
          <cell r="N773" t="e">
            <v>#N/A</v>
          </cell>
          <cell r="O773" t="e">
            <v>#N/A</v>
          </cell>
          <cell r="P773">
            <v>34.65</v>
          </cell>
          <cell r="Q773" t="str">
            <v/>
          </cell>
          <cell r="R773" t="e">
            <v>#N/A</v>
          </cell>
        </row>
        <row r="774">
          <cell r="A774">
            <v>40275</v>
          </cell>
          <cell r="B774">
            <v>40275</v>
          </cell>
          <cell r="C774" t="str">
            <v>Future</v>
          </cell>
          <cell r="D774" t="e">
            <v>#N/A</v>
          </cell>
          <cell r="E774">
            <v>5.1923320158103783</v>
          </cell>
          <cell r="F774">
            <v>40.884031620553529</v>
          </cell>
          <cell r="G774">
            <v>32.386007905137603</v>
          </cell>
          <cell r="H774">
            <v>32.386007905137603</v>
          </cell>
          <cell r="I774" t="e">
            <v>#N/A</v>
          </cell>
          <cell r="J774" t="e">
            <v>#N/A</v>
          </cell>
          <cell r="K774" t="e">
            <v>#N/A</v>
          </cell>
          <cell r="L774" t="e">
            <v>#N/A</v>
          </cell>
          <cell r="M774" t="e">
            <v>#N/A</v>
          </cell>
          <cell r="N774" t="e">
            <v>#N/A</v>
          </cell>
          <cell r="O774" t="e">
            <v>#N/A</v>
          </cell>
          <cell r="P774">
            <v>34.65</v>
          </cell>
          <cell r="Q774" t="str">
            <v/>
          </cell>
          <cell r="R774" t="e">
            <v>#N/A</v>
          </cell>
        </row>
        <row r="775">
          <cell r="A775">
            <v>40276</v>
          </cell>
          <cell r="B775">
            <v>40276</v>
          </cell>
          <cell r="C775" t="str">
            <v>Future</v>
          </cell>
          <cell r="D775" t="e">
            <v>#N/A</v>
          </cell>
          <cell r="E775">
            <v>5.0556916996048447</v>
          </cell>
          <cell r="F775">
            <v>40.913399209486336</v>
          </cell>
          <cell r="G775">
            <v>32.375849802370801</v>
          </cell>
          <cell r="H775">
            <v>32.375849802370801</v>
          </cell>
          <cell r="I775" t="e">
            <v>#N/A</v>
          </cell>
          <cell r="J775" t="e">
            <v>#N/A</v>
          </cell>
          <cell r="K775" t="e">
            <v>#N/A</v>
          </cell>
          <cell r="L775" t="e">
            <v>#N/A</v>
          </cell>
          <cell r="M775" t="e">
            <v>#N/A</v>
          </cell>
          <cell r="N775" t="e">
            <v>#N/A</v>
          </cell>
          <cell r="O775" t="e">
            <v>#N/A</v>
          </cell>
          <cell r="P775">
            <v>34.65</v>
          </cell>
          <cell r="Q775" t="str">
            <v/>
          </cell>
          <cell r="R775" t="e">
            <v>#N/A</v>
          </cell>
        </row>
        <row r="776">
          <cell r="A776">
            <v>40277</v>
          </cell>
          <cell r="B776">
            <v>40277</v>
          </cell>
          <cell r="C776" t="str">
            <v>Future</v>
          </cell>
          <cell r="D776" t="e">
            <v>#N/A</v>
          </cell>
          <cell r="E776">
            <v>4.919051383399311</v>
          </cell>
          <cell r="F776">
            <v>40.942766798419143</v>
          </cell>
          <cell r="G776">
            <v>32.365691699604</v>
          </cell>
          <cell r="H776">
            <v>32.365691699604</v>
          </cell>
          <cell r="I776" t="e">
            <v>#N/A</v>
          </cell>
          <cell r="J776" t="e">
            <v>#N/A</v>
          </cell>
          <cell r="K776" t="e">
            <v>#N/A</v>
          </cell>
          <cell r="L776" t="e">
            <v>#N/A</v>
          </cell>
          <cell r="M776" t="e">
            <v>#N/A</v>
          </cell>
          <cell r="N776" t="e">
            <v>#N/A</v>
          </cell>
          <cell r="O776" t="e">
            <v>#N/A</v>
          </cell>
          <cell r="P776">
            <v>34.65</v>
          </cell>
          <cell r="Q776" t="str">
            <v/>
          </cell>
          <cell r="R776" t="e">
            <v>#N/A</v>
          </cell>
        </row>
        <row r="777">
          <cell r="A777">
            <v>40280</v>
          </cell>
          <cell r="B777">
            <v>40280</v>
          </cell>
          <cell r="C777" t="str">
            <v>Future</v>
          </cell>
          <cell r="D777" t="e">
            <v>#N/A</v>
          </cell>
          <cell r="E777">
            <v>4.7824110671937774</v>
          </cell>
          <cell r="F777">
            <v>40.97213438735195</v>
          </cell>
          <cell r="G777">
            <v>32.355533596837198</v>
          </cell>
          <cell r="H777">
            <v>32.355533596837198</v>
          </cell>
          <cell r="I777" t="e">
            <v>#N/A</v>
          </cell>
          <cell r="J777" t="e">
            <v>#N/A</v>
          </cell>
          <cell r="K777" t="e">
            <v>#N/A</v>
          </cell>
          <cell r="L777" t="e">
            <v>#N/A</v>
          </cell>
          <cell r="M777" t="e">
            <v>#N/A</v>
          </cell>
          <cell r="N777" t="e">
            <v>#N/A</v>
          </cell>
          <cell r="O777" t="e">
            <v>#N/A</v>
          </cell>
          <cell r="P777">
            <v>34.65</v>
          </cell>
          <cell r="Q777" t="str">
            <v/>
          </cell>
          <cell r="R777" t="e">
            <v>#N/A</v>
          </cell>
        </row>
        <row r="778">
          <cell r="A778">
            <v>40281</v>
          </cell>
          <cell r="B778">
            <v>40281</v>
          </cell>
          <cell r="C778" t="str">
            <v>Future</v>
          </cell>
          <cell r="D778" t="e">
            <v>#N/A</v>
          </cell>
          <cell r="E778">
            <v>4.6457707509882438</v>
          </cell>
          <cell r="F778">
            <v>41.001501976284757</v>
          </cell>
          <cell r="G778">
            <v>32.345375494070396</v>
          </cell>
          <cell r="H778">
            <v>32.345375494070396</v>
          </cell>
          <cell r="I778" t="e">
            <v>#N/A</v>
          </cell>
          <cell r="J778" t="e">
            <v>#N/A</v>
          </cell>
          <cell r="K778" t="e">
            <v>#N/A</v>
          </cell>
          <cell r="L778" t="e">
            <v>#N/A</v>
          </cell>
          <cell r="M778" t="e">
            <v>#N/A</v>
          </cell>
          <cell r="N778" t="e">
            <v>#N/A</v>
          </cell>
          <cell r="O778" t="e">
            <v>#N/A</v>
          </cell>
          <cell r="P778">
            <v>34.65</v>
          </cell>
          <cell r="Q778" t="str">
            <v/>
          </cell>
          <cell r="R778" t="e">
            <v>#N/A</v>
          </cell>
        </row>
        <row r="779">
          <cell r="A779">
            <v>40282</v>
          </cell>
          <cell r="B779">
            <v>40282</v>
          </cell>
          <cell r="C779" t="str">
            <v>Future</v>
          </cell>
          <cell r="D779" t="e">
            <v>#N/A</v>
          </cell>
          <cell r="E779">
            <v>4.5091304347827101</v>
          </cell>
          <cell r="F779">
            <v>41.030869565217564</v>
          </cell>
          <cell r="G779">
            <v>32.335217391303594</v>
          </cell>
          <cell r="H779">
            <v>32.335217391303594</v>
          </cell>
          <cell r="I779" t="e">
            <v>#N/A</v>
          </cell>
          <cell r="J779" t="e">
            <v>#N/A</v>
          </cell>
          <cell r="K779" t="e">
            <v>#N/A</v>
          </cell>
          <cell r="L779" t="e">
            <v>#N/A</v>
          </cell>
          <cell r="M779" t="e">
            <v>#N/A</v>
          </cell>
          <cell r="N779" t="e">
            <v>#N/A</v>
          </cell>
          <cell r="O779" t="e">
            <v>#N/A</v>
          </cell>
          <cell r="P779">
            <v>34.65</v>
          </cell>
          <cell r="Q779" t="str">
            <v/>
          </cell>
          <cell r="R779" t="e">
            <v>#N/A</v>
          </cell>
        </row>
        <row r="780">
          <cell r="A780">
            <v>40283</v>
          </cell>
          <cell r="B780">
            <v>40283</v>
          </cell>
          <cell r="C780" t="str">
            <v>Future</v>
          </cell>
          <cell r="D780" t="e">
            <v>#N/A</v>
          </cell>
          <cell r="E780">
            <v>4.3724901185771765</v>
          </cell>
          <cell r="F780">
            <v>41.060237154150371</v>
          </cell>
          <cell r="G780">
            <v>32.325059288536792</v>
          </cell>
          <cell r="H780">
            <v>32.325059288536792</v>
          </cell>
          <cell r="I780" t="e">
            <v>#N/A</v>
          </cell>
          <cell r="J780" t="e">
            <v>#N/A</v>
          </cell>
          <cell r="K780" t="e">
            <v>#N/A</v>
          </cell>
          <cell r="L780" t="e">
            <v>#N/A</v>
          </cell>
          <cell r="M780" t="e">
            <v>#N/A</v>
          </cell>
          <cell r="N780" t="e">
            <v>#N/A</v>
          </cell>
          <cell r="O780" t="e">
            <v>#N/A</v>
          </cell>
          <cell r="P780">
            <v>34.65</v>
          </cell>
          <cell r="Q780" t="str">
            <v/>
          </cell>
          <cell r="R780" t="e">
            <v>#N/A</v>
          </cell>
        </row>
        <row r="781">
          <cell r="A781">
            <v>40284</v>
          </cell>
          <cell r="B781">
            <v>40284</v>
          </cell>
          <cell r="C781" t="str">
            <v>Future</v>
          </cell>
          <cell r="D781" t="e">
            <v>#N/A</v>
          </cell>
          <cell r="E781">
            <v>4.2358498023716429</v>
          </cell>
          <cell r="F781">
            <v>41.089604743083179</v>
          </cell>
          <cell r="G781">
            <v>32.31490118576999</v>
          </cell>
          <cell r="H781">
            <v>32.31490118576999</v>
          </cell>
          <cell r="I781" t="e">
            <v>#N/A</v>
          </cell>
          <cell r="J781" t="e">
            <v>#N/A</v>
          </cell>
          <cell r="K781" t="e">
            <v>#N/A</v>
          </cell>
          <cell r="L781" t="e">
            <v>#N/A</v>
          </cell>
          <cell r="M781" t="e">
            <v>#N/A</v>
          </cell>
          <cell r="N781" t="e">
            <v>#N/A</v>
          </cell>
          <cell r="O781" t="e">
            <v>#N/A</v>
          </cell>
          <cell r="P781">
            <v>34.65</v>
          </cell>
          <cell r="Q781" t="str">
            <v/>
          </cell>
          <cell r="R781" t="e">
            <v>#N/A</v>
          </cell>
        </row>
        <row r="782">
          <cell r="A782">
            <v>40287</v>
          </cell>
          <cell r="B782">
            <v>40287</v>
          </cell>
          <cell r="C782" t="str">
            <v>Future</v>
          </cell>
          <cell r="D782" t="e">
            <v>#N/A</v>
          </cell>
          <cell r="E782">
            <v>4.0992094861661093</v>
          </cell>
          <cell r="F782">
            <v>41.118972332015986</v>
          </cell>
          <cell r="G782">
            <v>32.304743083003189</v>
          </cell>
          <cell r="H782">
            <v>32.304743083003189</v>
          </cell>
          <cell r="I782" t="e">
            <v>#N/A</v>
          </cell>
          <cell r="J782" t="e">
            <v>#N/A</v>
          </cell>
          <cell r="K782" t="e">
            <v>#N/A</v>
          </cell>
          <cell r="L782" t="e">
            <v>#N/A</v>
          </cell>
          <cell r="M782" t="e">
            <v>#N/A</v>
          </cell>
          <cell r="N782" t="e">
            <v>#N/A</v>
          </cell>
          <cell r="O782" t="e">
            <v>#N/A</v>
          </cell>
          <cell r="P782">
            <v>34.65</v>
          </cell>
          <cell r="Q782" t="str">
            <v/>
          </cell>
          <cell r="R782" t="e">
            <v>#N/A</v>
          </cell>
        </row>
        <row r="783">
          <cell r="A783">
            <v>40288</v>
          </cell>
          <cell r="B783">
            <v>40288</v>
          </cell>
          <cell r="C783" t="str">
            <v>Future</v>
          </cell>
          <cell r="D783" t="e">
            <v>#N/A</v>
          </cell>
          <cell r="E783">
            <v>3.9625691699605756</v>
          </cell>
          <cell r="F783">
            <v>41.148339920948793</v>
          </cell>
          <cell r="G783">
            <v>32.294584980236387</v>
          </cell>
          <cell r="H783">
            <v>32.294584980236387</v>
          </cell>
          <cell r="I783" t="e">
            <v>#N/A</v>
          </cell>
          <cell r="J783" t="e">
            <v>#N/A</v>
          </cell>
          <cell r="K783" t="e">
            <v>#N/A</v>
          </cell>
          <cell r="L783" t="e">
            <v>#N/A</v>
          </cell>
          <cell r="M783" t="e">
            <v>#N/A</v>
          </cell>
          <cell r="N783" t="e">
            <v>#N/A</v>
          </cell>
          <cell r="O783" t="e">
            <v>#N/A</v>
          </cell>
          <cell r="P783">
            <v>34.65</v>
          </cell>
          <cell r="Q783" t="str">
            <v/>
          </cell>
          <cell r="R783" t="e">
            <v>#N/A</v>
          </cell>
        </row>
        <row r="784">
          <cell r="A784">
            <v>40289</v>
          </cell>
          <cell r="B784">
            <v>40289</v>
          </cell>
          <cell r="C784" t="str">
            <v>Future</v>
          </cell>
          <cell r="D784" t="e">
            <v>#N/A</v>
          </cell>
          <cell r="E784">
            <v>3.825928853755042</v>
          </cell>
          <cell r="F784">
            <v>41.1777075098816</v>
          </cell>
          <cell r="G784">
            <v>32.284426877469585</v>
          </cell>
          <cell r="H784">
            <v>32.284426877469585</v>
          </cell>
          <cell r="I784" t="e">
            <v>#N/A</v>
          </cell>
          <cell r="J784" t="e">
            <v>#N/A</v>
          </cell>
          <cell r="K784" t="e">
            <v>#N/A</v>
          </cell>
          <cell r="L784" t="e">
            <v>#N/A</v>
          </cell>
          <cell r="M784" t="e">
            <v>#N/A</v>
          </cell>
          <cell r="N784" t="e">
            <v>#N/A</v>
          </cell>
          <cell r="O784" t="e">
            <v>#N/A</v>
          </cell>
          <cell r="P784">
            <v>34.65</v>
          </cell>
          <cell r="Q784" t="str">
            <v/>
          </cell>
          <cell r="R784" t="e">
            <v>#N/A</v>
          </cell>
        </row>
        <row r="785">
          <cell r="A785">
            <v>40290</v>
          </cell>
          <cell r="B785">
            <v>40290</v>
          </cell>
          <cell r="C785" t="str">
            <v>Future</v>
          </cell>
          <cell r="D785" t="e">
            <v>#N/A</v>
          </cell>
          <cell r="E785">
            <v>3.6892885375495084</v>
          </cell>
          <cell r="F785">
            <v>41.207075098814407</v>
          </cell>
          <cell r="G785">
            <v>32.274268774702783</v>
          </cell>
          <cell r="H785">
            <v>32.274268774702783</v>
          </cell>
          <cell r="I785" t="e">
            <v>#N/A</v>
          </cell>
          <cell r="J785" t="e">
            <v>#N/A</v>
          </cell>
          <cell r="K785" t="e">
            <v>#N/A</v>
          </cell>
          <cell r="L785" t="e">
            <v>#N/A</v>
          </cell>
          <cell r="M785" t="e">
            <v>#N/A</v>
          </cell>
          <cell r="N785" t="e">
            <v>#N/A</v>
          </cell>
          <cell r="O785" t="e">
            <v>#N/A</v>
          </cell>
          <cell r="P785">
            <v>34.65</v>
          </cell>
          <cell r="Q785" t="str">
            <v/>
          </cell>
          <cell r="R785" t="e">
            <v>#N/A</v>
          </cell>
        </row>
        <row r="786">
          <cell r="A786">
            <v>40291</v>
          </cell>
          <cell r="B786">
            <v>40291</v>
          </cell>
          <cell r="C786" t="str">
            <v>Future</v>
          </cell>
          <cell r="D786" t="e">
            <v>#N/A</v>
          </cell>
          <cell r="E786">
            <v>3.5526482213439747</v>
          </cell>
          <cell r="F786">
            <v>41.236442687747214</v>
          </cell>
          <cell r="G786">
            <v>32.264110671935981</v>
          </cell>
          <cell r="H786">
            <v>32.264110671935981</v>
          </cell>
          <cell r="I786" t="e">
            <v>#N/A</v>
          </cell>
          <cell r="J786" t="e">
            <v>#N/A</v>
          </cell>
          <cell r="K786" t="e">
            <v>#N/A</v>
          </cell>
          <cell r="L786" t="e">
            <v>#N/A</v>
          </cell>
          <cell r="M786" t="e">
            <v>#N/A</v>
          </cell>
          <cell r="N786" t="e">
            <v>#N/A</v>
          </cell>
          <cell r="O786" t="e">
            <v>#N/A</v>
          </cell>
          <cell r="P786">
            <v>34.65</v>
          </cell>
          <cell r="Q786" t="str">
            <v/>
          </cell>
          <cell r="R786" t="e">
            <v>#N/A</v>
          </cell>
        </row>
        <row r="787">
          <cell r="A787">
            <v>40294</v>
          </cell>
          <cell r="B787">
            <v>40294</v>
          </cell>
          <cell r="C787" t="str">
            <v>Future</v>
          </cell>
          <cell r="D787" t="e">
            <v>#N/A</v>
          </cell>
          <cell r="E787">
            <v>3.4160079051384411</v>
          </cell>
          <cell r="F787">
            <v>41.265810276680021</v>
          </cell>
          <cell r="G787">
            <v>32.253952569169179</v>
          </cell>
          <cell r="H787">
            <v>32.253952569169179</v>
          </cell>
          <cell r="I787" t="e">
            <v>#N/A</v>
          </cell>
          <cell r="J787" t="e">
            <v>#N/A</v>
          </cell>
          <cell r="K787" t="e">
            <v>#N/A</v>
          </cell>
          <cell r="L787" t="e">
            <v>#N/A</v>
          </cell>
          <cell r="M787" t="e">
            <v>#N/A</v>
          </cell>
          <cell r="N787" t="e">
            <v>#N/A</v>
          </cell>
          <cell r="O787" t="e">
            <v>#N/A</v>
          </cell>
          <cell r="P787">
            <v>34.65</v>
          </cell>
          <cell r="Q787" t="str">
            <v/>
          </cell>
          <cell r="R787" t="e">
            <v>#N/A</v>
          </cell>
        </row>
        <row r="788">
          <cell r="A788">
            <v>40295</v>
          </cell>
          <cell r="B788">
            <v>40295</v>
          </cell>
          <cell r="C788" t="str">
            <v>Future</v>
          </cell>
          <cell r="D788" t="e">
            <v>#N/A</v>
          </cell>
          <cell r="E788">
            <v>3.2793675889329075</v>
          </cell>
          <cell r="F788">
            <v>41.295177865612828</v>
          </cell>
          <cell r="G788">
            <v>32.243794466402377</v>
          </cell>
          <cell r="H788">
            <v>32.243794466402377</v>
          </cell>
          <cell r="I788" t="e">
            <v>#N/A</v>
          </cell>
          <cell r="J788" t="e">
            <v>#N/A</v>
          </cell>
          <cell r="K788" t="e">
            <v>#N/A</v>
          </cell>
          <cell r="L788" t="e">
            <v>#N/A</v>
          </cell>
          <cell r="M788" t="e">
            <v>#N/A</v>
          </cell>
          <cell r="N788" t="e">
            <v>#N/A</v>
          </cell>
          <cell r="O788" t="e">
            <v>#N/A</v>
          </cell>
          <cell r="P788">
            <v>34.65</v>
          </cell>
          <cell r="Q788" t="str">
            <v/>
          </cell>
          <cell r="R788" t="e">
            <v>#N/A</v>
          </cell>
        </row>
        <row r="789">
          <cell r="A789">
            <v>40296</v>
          </cell>
          <cell r="B789">
            <v>40296</v>
          </cell>
          <cell r="C789" t="str">
            <v>Future</v>
          </cell>
          <cell r="D789" t="e">
            <v>#N/A</v>
          </cell>
          <cell r="E789">
            <v>3.1427272727273738</v>
          </cell>
          <cell r="F789">
            <v>41.324545454545635</v>
          </cell>
          <cell r="G789">
            <v>32.233636363635576</v>
          </cell>
          <cell r="H789">
            <v>32.233636363635576</v>
          </cell>
          <cell r="I789" t="e">
            <v>#N/A</v>
          </cell>
          <cell r="J789" t="e">
            <v>#N/A</v>
          </cell>
          <cell r="K789" t="e">
            <v>#N/A</v>
          </cell>
          <cell r="L789" t="e">
            <v>#N/A</v>
          </cell>
          <cell r="M789" t="e">
            <v>#N/A</v>
          </cell>
          <cell r="N789" t="e">
            <v>#N/A</v>
          </cell>
          <cell r="O789" t="e">
            <v>#N/A</v>
          </cell>
          <cell r="P789">
            <v>34.65</v>
          </cell>
          <cell r="Q789" t="str">
            <v/>
          </cell>
          <cell r="R789" t="e">
            <v>#N/A</v>
          </cell>
        </row>
        <row r="790">
          <cell r="A790">
            <v>40297</v>
          </cell>
          <cell r="B790">
            <v>40297</v>
          </cell>
          <cell r="C790" t="str">
            <v>Future</v>
          </cell>
          <cell r="D790" t="e">
            <v>#N/A</v>
          </cell>
          <cell r="E790">
            <v>3.0060869565218402</v>
          </cell>
          <cell r="F790">
            <v>41.353913043478443</v>
          </cell>
          <cell r="G790">
            <v>32.223478260868774</v>
          </cell>
          <cell r="H790">
            <v>32.223478260868774</v>
          </cell>
          <cell r="I790" t="e">
            <v>#N/A</v>
          </cell>
          <cell r="J790" t="e">
            <v>#N/A</v>
          </cell>
          <cell r="K790" t="e">
            <v>#N/A</v>
          </cell>
          <cell r="L790" t="e">
            <v>#N/A</v>
          </cell>
          <cell r="M790" t="e">
            <v>#N/A</v>
          </cell>
          <cell r="N790" t="e">
            <v>#N/A</v>
          </cell>
          <cell r="O790" t="e">
            <v>#N/A</v>
          </cell>
          <cell r="P790">
            <v>34.65</v>
          </cell>
          <cell r="Q790" t="str">
            <v/>
          </cell>
          <cell r="R790" t="e">
            <v>#N/A</v>
          </cell>
        </row>
        <row r="791">
          <cell r="A791">
            <v>40298</v>
          </cell>
          <cell r="B791">
            <v>40298</v>
          </cell>
          <cell r="C791" t="str">
            <v>Future</v>
          </cell>
          <cell r="D791" t="e">
            <v>#N/A</v>
          </cell>
          <cell r="E791">
            <v>2.8694466403163066</v>
          </cell>
          <cell r="F791">
            <v>41.38328063241125</v>
          </cell>
          <cell r="G791">
            <v>32.213320158101972</v>
          </cell>
          <cell r="H791">
            <v>32.213320158101972</v>
          </cell>
          <cell r="I791" t="e">
            <v>#N/A</v>
          </cell>
          <cell r="J791" t="e">
            <v>#N/A</v>
          </cell>
          <cell r="K791" t="e">
            <v>#N/A</v>
          </cell>
          <cell r="L791" t="e">
            <v>#N/A</v>
          </cell>
          <cell r="M791" t="e">
            <v>#N/A</v>
          </cell>
          <cell r="N791" t="e">
            <v>#N/A</v>
          </cell>
          <cell r="O791" t="e">
            <v>#N/A</v>
          </cell>
          <cell r="P791">
            <v>34.65</v>
          </cell>
          <cell r="Q791" t="str">
            <v/>
          </cell>
          <cell r="R791" t="e">
            <v>#N/A</v>
          </cell>
        </row>
        <row r="792">
          <cell r="A792">
            <v>40301</v>
          </cell>
          <cell r="B792">
            <v>40301</v>
          </cell>
          <cell r="C792" t="str">
            <v>Future</v>
          </cell>
          <cell r="D792" t="e">
            <v>#N/A</v>
          </cell>
          <cell r="E792">
            <v>2.732806324110773</v>
          </cell>
          <cell r="F792">
            <v>41.412648221344057</v>
          </cell>
          <cell r="G792">
            <v>32.20316205533517</v>
          </cell>
          <cell r="H792">
            <v>32.20316205533517</v>
          </cell>
          <cell r="I792" t="e">
            <v>#N/A</v>
          </cell>
          <cell r="J792" t="e">
            <v>#N/A</v>
          </cell>
          <cell r="K792" t="e">
            <v>#N/A</v>
          </cell>
          <cell r="L792" t="e">
            <v>#N/A</v>
          </cell>
          <cell r="M792" t="e">
            <v>#N/A</v>
          </cell>
          <cell r="N792" t="e">
            <v>#N/A</v>
          </cell>
          <cell r="O792" t="e">
            <v>#N/A</v>
          </cell>
          <cell r="P792">
            <v>34.65</v>
          </cell>
          <cell r="Q792" t="str">
            <v/>
          </cell>
          <cell r="R792" t="e">
            <v>#N/A</v>
          </cell>
        </row>
        <row r="793">
          <cell r="A793">
            <v>40302</v>
          </cell>
          <cell r="B793">
            <v>40302</v>
          </cell>
          <cell r="C793" t="str">
            <v>Future</v>
          </cell>
          <cell r="D793" t="e">
            <v>#N/A</v>
          </cell>
          <cell r="E793">
            <v>2.5961660079052393</v>
          </cell>
          <cell r="F793">
            <v>41.442015810276864</v>
          </cell>
          <cell r="G793">
            <v>32.193003952568368</v>
          </cell>
          <cell r="H793">
            <v>32.193003952568368</v>
          </cell>
          <cell r="I793" t="e">
            <v>#N/A</v>
          </cell>
          <cell r="J793" t="e">
            <v>#N/A</v>
          </cell>
          <cell r="K793" t="e">
            <v>#N/A</v>
          </cell>
          <cell r="L793" t="e">
            <v>#N/A</v>
          </cell>
          <cell r="M793" t="e">
            <v>#N/A</v>
          </cell>
          <cell r="N793" t="e">
            <v>#N/A</v>
          </cell>
          <cell r="O793" t="e">
            <v>#N/A</v>
          </cell>
          <cell r="P793">
            <v>34.65</v>
          </cell>
          <cell r="Q793" t="str">
            <v/>
          </cell>
          <cell r="R793" t="e">
            <v>#N/A</v>
          </cell>
        </row>
        <row r="794">
          <cell r="A794">
            <v>40303</v>
          </cell>
          <cell r="B794">
            <v>40303</v>
          </cell>
          <cell r="C794" t="str">
            <v>Future</v>
          </cell>
          <cell r="D794" t="e">
            <v>#N/A</v>
          </cell>
          <cell r="E794">
            <v>2.4595256916997057</v>
          </cell>
          <cell r="F794">
            <v>41.471383399209671</v>
          </cell>
          <cell r="G794">
            <v>32.182845849801566</v>
          </cell>
          <cell r="H794">
            <v>32.182845849801566</v>
          </cell>
          <cell r="I794" t="e">
            <v>#N/A</v>
          </cell>
          <cell r="J794" t="e">
            <v>#N/A</v>
          </cell>
          <cell r="K794" t="e">
            <v>#N/A</v>
          </cell>
          <cell r="L794" t="e">
            <v>#N/A</v>
          </cell>
          <cell r="M794" t="e">
            <v>#N/A</v>
          </cell>
          <cell r="N794" t="e">
            <v>#N/A</v>
          </cell>
          <cell r="O794" t="e">
            <v>#N/A</v>
          </cell>
          <cell r="P794">
            <v>34.65</v>
          </cell>
          <cell r="Q794" t="str">
            <v/>
          </cell>
          <cell r="R794" t="e">
            <v>#N/A</v>
          </cell>
        </row>
        <row r="795">
          <cell r="A795">
            <v>40304</v>
          </cell>
          <cell r="B795">
            <v>40304</v>
          </cell>
          <cell r="C795" t="str">
            <v>Future</v>
          </cell>
          <cell r="D795" t="e">
            <v>#N/A</v>
          </cell>
          <cell r="E795">
            <v>2.3228853754941721</v>
          </cell>
          <cell r="F795">
            <v>41.500750988142478</v>
          </cell>
          <cell r="G795">
            <v>32.172687747034765</v>
          </cell>
          <cell r="H795">
            <v>32.172687747034765</v>
          </cell>
          <cell r="I795" t="e">
            <v>#N/A</v>
          </cell>
          <cell r="J795" t="e">
            <v>#N/A</v>
          </cell>
          <cell r="K795" t="e">
            <v>#N/A</v>
          </cell>
          <cell r="L795" t="e">
            <v>#N/A</v>
          </cell>
          <cell r="M795" t="e">
            <v>#N/A</v>
          </cell>
          <cell r="N795" t="e">
            <v>#N/A</v>
          </cell>
          <cell r="O795" t="e">
            <v>#N/A</v>
          </cell>
          <cell r="P795">
            <v>34.65</v>
          </cell>
          <cell r="Q795" t="str">
            <v/>
          </cell>
          <cell r="R795" t="e">
            <v>#N/A</v>
          </cell>
        </row>
        <row r="796">
          <cell r="A796">
            <v>40305</v>
          </cell>
          <cell r="B796">
            <v>40305</v>
          </cell>
          <cell r="C796" t="str">
            <v>Future</v>
          </cell>
          <cell r="D796" t="e">
            <v>#N/A</v>
          </cell>
          <cell r="E796">
            <v>2.1862450592886384</v>
          </cell>
          <cell r="F796">
            <v>41.530118577075285</v>
          </cell>
          <cell r="G796">
            <v>32.162529644267963</v>
          </cell>
          <cell r="H796">
            <v>32.162529644267963</v>
          </cell>
          <cell r="I796" t="e">
            <v>#N/A</v>
          </cell>
          <cell r="J796" t="e">
            <v>#N/A</v>
          </cell>
          <cell r="K796" t="e">
            <v>#N/A</v>
          </cell>
          <cell r="L796" t="e">
            <v>#N/A</v>
          </cell>
          <cell r="M796" t="e">
            <v>#N/A</v>
          </cell>
          <cell r="N796" t="e">
            <v>#N/A</v>
          </cell>
          <cell r="O796" t="e">
            <v>#N/A</v>
          </cell>
          <cell r="P796">
            <v>34.65</v>
          </cell>
          <cell r="Q796" t="str">
            <v/>
          </cell>
          <cell r="R796" t="e">
            <v>#N/A</v>
          </cell>
        </row>
        <row r="797">
          <cell r="A797">
            <v>40308</v>
          </cell>
          <cell r="B797">
            <v>40308</v>
          </cell>
          <cell r="C797" t="str">
            <v>Future</v>
          </cell>
          <cell r="D797" t="e">
            <v>#N/A</v>
          </cell>
          <cell r="E797">
            <v>2.0496047430831048</v>
          </cell>
          <cell r="F797">
            <v>41.559486166008092</v>
          </cell>
          <cell r="G797">
            <v>32.152371541501161</v>
          </cell>
          <cell r="H797">
            <v>32.152371541501161</v>
          </cell>
          <cell r="I797" t="e">
            <v>#N/A</v>
          </cell>
          <cell r="J797" t="e">
            <v>#N/A</v>
          </cell>
          <cell r="K797" t="e">
            <v>#N/A</v>
          </cell>
          <cell r="L797" t="e">
            <v>#N/A</v>
          </cell>
          <cell r="M797" t="e">
            <v>#N/A</v>
          </cell>
          <cell r="N797" t="e">
            <v>#N/A</v>
          </cell>
          <cell r="O797" t="e">
            <v>#N/A</v>
          </cell>
          <cell r="P797">
            <v>34.65</v>
          </cell>
          <cell r="Q797" t="str">
            <v/>
          </cell>
          <cell r="R797" t="e">
            <v>#N/A</v>
          </cell>
        </row>
        <row r="798">
          <cell r="A798">
            <v>40309</v>
          </cell>
          <cell r="B798">
            <v>40309</v>
          </cell>
          <cell r="C798" t="str">
            <v>Future</v>
          </cell>
          <cell r="D798" t="e">
            <v>#N/A</v>
          </cell>
          <cell r="E798">
            <v>1.9129644268775712</v>
          </cell>
          <cell r="F798">
            <v>41.588853754940899</v>
          </cell>
          <cell r="G798">
            <v>32.142213438734359</v>
          </cell>
          <cell r="H798">
            <v>32.142213438734359</v>
          </cell>
          <cell r="I798" t="e">
            <v>#N/A</v>
          </cell>
          <cell r="J798" t="e">
            <v>#N/A</v>
          </cell>
          <cell r="K798" t="e">
            <v>#N/A</v>
          </cell>
          <cell r="L798" t="e">
            <v>#N/A</v>
          </cell>
          <cell r="M798" t="e">
            <v>#N/A</v>
          </cell>
          <cell r="N798" t="e">
            <v>#N/A</v>
          </cell>
          <cell r="O798" t="e">
            <v>#N/A</v>
          </cell>
          <cell r="P798">
            <v>34.65</v>
          </cell>
          <cell r="Q798" t="str">
            <v/>
          </cell>
          <cell r="R798" t="e">
            <v>#N/A</v>
          </cell>
        </row>
        <row r="799">
          <cell r="A799">
            <v>40310</v>
          </cell>
          <cell r="B799">
            <v>40310</v>
          </cell>
          <cell r="C799" t="str">
            <v>Future</v>
          </cell>
          <cell r="D799" t="e">
            <v>#N/A</v>
          </cell>
          <cell r="E799">
            <v>1.7763241106720375</v>
          </cell>
          <cell r="F799">
            <v>41.618221343873707</v>
          </cell>
          <cell r="G799">
            <v>32.132055335967557</v>
          </cell>
          <cell r="H799">
            <v>32.132055335967557</v>
          </cell>
          <cell r="I799" t="e">
            <v>#N/A</v>
          </cell>
          <cell r="J799" t="e">
            <v>#N/A</v>
          </cell>
          <cell r="K799" t="e">
            <v>#N/A</v>
          </cell>
          <cell r="L799" t="e">
            <v>#N/A</v>
          </cell>
          <cell r="M799" t="e">
            <v>#N/A</v>
          </cell>
          <cell r="N799" t="e">
            <v>#N/A</v>
          </cell>
          <cell r="O799" t="e">
            <v>#N/A</v>
          </cell>
          <cell r="P799">
            <v>34.65</v>
          </cell>
          <cell r="Q799" t="str">
            <v/>
          </cell>
          <cell r="R799" t="e">
            <v>#N/A</v>
          </cell>
        </row>
        <row r="800">
          <cell r="A800">
            <v>40311</v>
          </cell>
          <cell r="B800">
            <v>40311</v>
          </cell>
          <cell r="C800" t="str">
            <v>Future</v>
          </cell>
          <cell r="D800" t="e">
            <v>#N/A</v>
          </cell>
          <cell r="E800">
            <v>1.6396837944665039</v>
          </cell>
          <cell r="F800">
            <v>41.647588932806514</v>
          </cell>
          <cell r="G800">
            <v>32.121897233200755</v>
          </cell>
          <cell r="H800">
            <v>32.121897233200755</v>
          </cell>
          <cell r="I800" t="e">
            <v>#N/A</v>
          </cell>
          <cell r="J800" t="e">
            <v>#N/A</v>
          </cell>
          <cell r="K800" t="e">
            <v>#N/A</v>
          </cell>
          <cell r="L800" t="e">
            <v>#N/A</v>
          </cell>
          <cell r="M800" t="e">
            <v>#N/A</v>
          </cell>
          <cell r="N800" t="e">
            <v>#N/A</v>
          </cell>
          <cell r="O800" t="e">
            <v>#N/A</v>
          </cell>
          <cell r="P800">
            <v>34.65</v>
          </cell>
          <cell r="Q800" t="str">
            <v/>
          </cell>
          <cell r="R800" t="e">
            <v>#N/A</v>
          </cell>
        </row>
        <row r="801">
          <cell r="A801">
            <v>40312</v>
          </cell>
          <cell r="B801">
            <v>40312</v>
          </cell>
          <cell r="C801" t="str">
            <v>Future</v>
          </cell>
          <cell r="D801" t="e">
            <v>#N/A</v>
          </cell>
          <cell r="E801">
            <v>1.5030434782609703</v>
          </cell>
          <cell r="F801">
            <v>41.676956521739321</v>
          </cell>
          <cell r="G801">
            <v>32.111739130433953</v>
          </cell>
          <cell r="H801">
            <v>32.111739130433953</v>
          </cell>
          <cell r="I801" t="e">
            <v>#N/A</v>
          </cell>
          <cell r="J801" t="e">
            <v>#N/A</v>
          </cell>
          <cell r="K801" t="e">
            <v>#N/A</v>
          </cell>
          <cell r="L801" t="e">
            <v>#N/A</v>
          </cell>
          <cell r="M801" t="e">
            <v>#N/A</v>
          </cell>
          <cell r="N801" t="e">
            <v>#N/A</v>
          </cell>
          <cell r="O801" t="e">
            <v>#N/A</v>
          </cell>
          <cell r="P801">
            <v>34.65</v>
          </cell>
          <cell r="Q801" t="str">
            <v/>
          </cell>
          <cell r="R801" t="e">
            <v>#N/A</v>
          </cell>
        </row>
        <row r="802">
          <cell r="A802">
            <v>40315</v>
          </cell>
          <cell r="B802">
            <v>40315</v>
          </cell>
          <cell r="C802" t="str">
            <v>Future</v>
          </cell>
          <cell r="D802" t="e">
            <v>#N/A</v>
          </cell>
          <cell r="E802">
            <v>1.3664031620554367</v>
          </cell>
          <cell r="F802">
            <v>41.706324110672128</v>
          </cell>
          <cell r="G802">
            <v>32.101581027667152</v>
          </cell>
          <cell r="H802">
            <v>32.101581027667152</v>
          </cell>
          <cell r="I802" t="e">
            <v>#N/A</v>
          </cell>
          <cell r="J802" t="e">
            <v>#N/A</v>
          </cell>
          <cell r="K802" t="e">
            <v>#N/A</v>
          </cell>
          <cell r="L802" t="e">
            <v>#N/A</v>
          </cell>
          <cell r="M802" t="e">
            <v>#N/A</v>
          </cell>
          <cell r="N802" t="e">
            <v>#N/A</v>
          </cell>
          <cell r="O802" t="e">
            <v>#N/A</v>
          </cell>
          <cell r="P802">
            <v>34.65</v>
          </cell>
          <cell r="Q802" t="str">
            <v/>
          </cell>
          <cell r="R802" t="e">
            <v>#N/A</v>
          </cell>
        </row>
        <row r="803">
          <cell r="A803">
            <v>40316</v>
          </cell>
          <cell r="B803">
            <v>40316</v>
          </cell>
          <cell r="C803" t="str">
            <v>Future</v>
          </cell>
          <cell r="D803" t="e">
            <v>#N/A</v>
          </cell>
          <cell r="E803">
            <v>1.229762845849903</v>
          </cell>
          <cell r="F803">
            <v>41.735691699604935</v>
          </cell>
          <cell r="G803">
            <v>32.09142292490035</v>
          </cell>
          <cell r="H803">
            <v>32.09142292490035</v>
          </cell>
          <cell r="I803" t="e">
            <v>#N/A</v>
          </cell>
          <cell r="J803" t="e">
            <v>#N/A</v>
          </cell>
          <cell r="K803" t="e">
            <v>#N/A</v>
          </cell>
          <cell r="L803" t="e">
            <v>#N/A</v>
          </cell>
          <cell r="M803" t="e">
            <v>#N/A</v>
          </cell>
          <cell r="N803" t="e">
            <v>#N/A</v>
          </cell>
          <cell r="O803" t="e">
            <v>#N/A</v>
          </cell>
          <cell r="P803">
            <v>34.65</v>
          </cell>
          <cell r="Q803" t="str">
            <v/>
          </cell>
          <cell r="R803" t="e">
            <v>#N/A</v>
          </cell>
        </row>
        <row r="804">
          <cell r="A804">
            <v>40317</v>
          </cell>
          <cell r="B804">
            <v>40317</v>
          </cell>
          <cell r="C804" t="str">
            <v>Future</v>
          </cell>
          <cell r="D804" t="e">
            <v>#N/A</v>
          </cell>
          <cell r="E804">
            <v>1.0931225296443694</v>
          </cell>
          <cell r="F804">
            <v>41.765059288537742</v>
          </cell>
          <cell r="G804">
            <v>32.081264822133548</v>
          </cell>
          <cell r="H804">
            <v>32.081264822133548</v>
          </cell>
          <cell r="I804" t="e">
            <v>#N/A</v>
          </cell>
          <cell r="J804" t="e">
            <v>#N/A</v>
          </cell>
          <cell r="K804" t="e">
            <v>#N/A</v>
          </cell>
          <cell r="L804" t="e">
            <v>#N/A</v>
          </cell>
          <cell r="M804" t="e">
            <v>#N/A</v>
          </cell>
          <cell r="N804" t="e">
            <v>#N/A</v>
          </cell>
          <cell r="O804" t="e">
            <v>#N/A</v>
          </cell>
          <cell r="P804">
            <v>34.65</v>
          </cell>
          <cell r="Q804" t="str">
            <v/>
          </cell>
          <cell r="R804" t="e">
            <v>#N/A</v>
          </cell>
        </row>
        <row r="805">
          <cell r="A805">
            <v>40318</v>
          </cell>
          <cell r="B805">
            <v>40318</v>
          </cell>
          <cell r="C805" t="str">
            <v>Future</v>
          </cell>
          <cell r="D805" t="e">
            <v>#N/A</v>
          </cell>
          <cell r="E805">
            <v>0.95648221343883577</v>
          </cell>
          <cell r="F805">
            <v>41.794426877470549</v>
          </cell>
          <cell r="G805">
            <v>32.071106719366746</v>
          </cell>
          <cell r="H805">
            <v>32.071106719366746</v>
          </cell>
          <cell r="I805" t="e">
            <v>#N/A</v>
          </cell>
          <cell r="J805" t="e">
            <v>#N/A</v>
          </cell>
          <cell r="K805" t="e">
            <v>#N/A</v>
          </cell>
          <cell r="L805" t="e">
            <v>#N/A</v>
          </cell>
          <cell r="M805" t="e">
            <v>#N/A</v>
          </cell>
          <cell r="N805" t="e">
            <v>#N/A</v>
          </cell>
          <cell r="O805" t="e">
            <v>#N/A</v>
          </cell>
          <cell r="P805">
            <v>34.65</v>
          </cell>
          <cell r="Q805" t="str">
            <v/>
          </cell>
          <cell r="R805" t="e">
            <v>#N/A</v>
          </cell>
        </row>
        <row r="806">
          <cell r="A806">
            <v>40319</v>
          </cell>
          <cell r="B806">
            <v>40319</v>
          </cell>
          <cell r="C806" t="str">
            <v>Future</v>
          </cell>
          <cell r="D806" t="e">
            <v>#N/A</v>
          </cell>
          <cell r="E806">
            <v>0.81984189723330214</v>
          </cell>
          <cell r="F806">
            <v>41.823794466403356</v>
          </cell>
          <cell r="G806">
            <v>32.060948616599944</v>
          </cell>
          <cell r="H806">
            <v>32.060948616599944</v>
          </cell>
          <cell r="I806" t="e">
            <v>#N/A</v>
          </cell>
          <cell r="J806" t="e">
            <v>#N/A</v>
          </cell>
          <cell r="K806" t="e">
            <v>#N/A</v>
          </cell>
          <cell r="L806" t="e">
            <v>#N/A</v>
          </cell>
          <cell r="M806" t="e">
            <v>#N/A</v>
          </cell>
          <cell r="N806" t="e">
            <v>#N/A</v>
          </cell>
          <cell r="O806" t="e">
            <v>#N/A</v>
          </cell>
          <cell r="P806">
            <v>34.65</v>
          </cell>
          <cell r="Q806" t="str">
            <v/>
          </cell>
          <cell r="R806" t="e">
            <v>#N/A</v>
          </cell>
        </row>
        <row r="807">
          <cell r="A807">
            <v>40322</v>
          </cell>
          <cell r="B807">
            <v>40322</v>
          </cell>
          <cell r="C807" t="str">
            <v>Future</v>
          </cell>
          <cell r="D807" t="e">
            <v>#N/A</v>
          </cell>
          <cell r="E807">
            <v>0.68320158102776851</v>
          </cell>
          <cell r="F807">
            <v>41.853162055336163</v>
          </cell>
          <cell r="G807">
            <v>32.050790513833142</v>
          </cell>
          <cell r="H807">
            <v>32.050790513833142</v>
          </cell>
          <cell r="I807" t="e">
            <v>#N/A</v>
          </cell>
          <cell r="J807" t="e">
            <v>#N/A</v>
          </cell>
          <cell r="K807" t="e">
            <v>#N/A</v>
          </cell>
          <cell r="L807" t="e">
            <v>#N/A</v>
          </cell>
          <cell r="M807" t="e">
            <v>#N/A</v>
          </cell>
          <cell r="N807" t="e">
            <v>#N/A</v>
          </cell>
          <cell r="O807" t="e">
            <v>#N/A</v>
          </cell>
          <cell r="P807">
            <v>34.65</v>
          </cell>
          <cell r="Q807" t="str">
            <v/>
          </cell>
          <cell r="R807" t="e">
            <v>#N/A</v>
          </cell>
        </row>
        <row r="808">
          <cell r="A808">
            <v>40323</v>
          </cell>
          <cell r="B808">
            <v>40323</v>
          </cell>
          <cell r="C808" t="str">
            <v>Future</v>
          </cell>
          <cell r="D808" t="e">
            <v>#N/A</v>
          </cell>
          <cell r="E808">
            <v>0.54656126482223488</v>
          </cell>
          <cell r="F808">
            <v>41.882529644268971</v>
          </cell>
          <cell r="G808">
            <v>32.040632411066341</v>
          </cell>
          <cell r="H808">
            <v>32.040632411066341</v>
          </cell>
          <cell r="I808" t="e">
            <v>#N/A</v>
          </cell>
          <cell r="J808" t="e">
            <v>#N/A</v>
          </cell>
          <cell r="K808" t="e">
            <v>#N/A</v>
          </cell>
          <cell r="L808" t="e">
            <v>#N/A</v>
          </cell>
          <cell r="M808" t="e">
            <v>#N/A</v>
          </cell>
          <cell r="N808" t="e">
            <v>#N/A</v>
          </cell>
          <cell r="O808" t="e">
            <v>#N/A</v>
          </cell>
          <cell r="P808">
            <v>34.65</v>
          </cell>
          <cell r="Q808" t="str">
            <v/>
          </cell>
          <cell r="R808" t="e">
            <v>#N/A</v>
          </cell>
        </row>
        <row r="809">
          <cell r="A809">
            <v>40324</v>
          </cell>
          <cell r="B809">
            <v>40324</v>
          </cell>
          <cell r="C809" t="str">
            <v>Future</v>
          </cell>
          <cell r="D809" t="e">
            <v>#N/A</v>
          </cell>
          <cell r="E809">
            <v>0.40992094861670125</v>
          </cell>
          <cell r="F809">
            <v>41.911897233201778</v>
          </cell>
          <cell r="G809">
            <v>32.030474308299539</v>
          </cell>
          <cell r="H809">
            <v>32.030474308299539</v>
          </cell>
          <cell r="I809" t="e">
            <v>#N/A</v>
          </cell>
          <cell r="J809" t="e">
            <v>#N/A</v>
          </cell>
          <cell r="K809" t="e">
            <v>#N/A</v>
          </cell>
          <cell r="L809" t="e">
            <v>#N/A</v>
          </cell>
          <cell r="M809" t="e">
            <v>#N/A</v>
          </cell>
          <cell r="N809" t="e">
            <v>#N/A</v>
          </cell>
          <cell r="O809" t="e">
            <v>#N/A</v>
          </cell>
          <cell r="P809">
            <v>34.65</v>
          </cell>
          <cell r="Q809" t="str">
            <v/>
          </cell>
          <cell r="R809" t="e">
            <v>#N/A</v>
          </cell>
        </row>
        <row r="810">
          <cell r="A810">
            <v>40325</v>
          </cell>
          <cell r="B810">
            <v>40325</v>
          </cell>
          <cell r="C810" t="str">
            <v>Future</v>
          </cell>
          <cell r="D810" t="e">
            <v>#N/A</v>
          </cell>
          <cell r="E810">
            <v>0.27328063241116762</v>
          </cell>
          <cell r="F810">
            <v>41.941264822134585</v>
          </cell>
          <cell r="G810">
            <v>32.020316205532737</v>
          </cell>
          <cell r="H810">
            <v>32.020316205532737</v>
          </cell>
          <cell r="I810" t="e">
            <v>#N/A</v>
          </cell>
          <cell r="J810" t="e">
            <v>#N/A</v>
          </cell>
          <cell r="K810" t="e">
            <v>#N/A</v>
          </cell>
          <cell r="L810" t="e">
            <v>#N/A</v>
          </cell>
          <cell r="M810" t="e">
            <v>#N/A</v>
          </cell>
          <cell r="N810" t="e">
            <v>#N/A</v>
          </cell>
          <cell r="O810" t="e">
            <v>#N/A</v>
          </cell>
          <cell r="P810">
            <v>34.65</v>
          </cell>
          <cell r="Q810" t="str">
            <v/>
          </cell>
          <cell r="R810" t="e">
            <v>#N/A</v>
          </cell>
        </row>
        <row r="811">
          <cell r="A811">
            <v>40326</v>
          </cell>
          <cell r="B811">
            <v>40326</v>
          </cell>
          <cell r="C811" t="str">
            <v>Future</v>
          </cell>
          <cell r="D811" t="e">
            <v>#N/A</v>
          </cell>
          <cell r="E811">
            <v>0.13664031620563402</v>
          </cell>
          <cell r="F811">
            <v>41.970632411067392</v>
          </cell>
          <cell r="G811">
            <v>32.010158102765935</v>
          </cell>
          <cell r="H811">
            <v>32.010158102765935</v>
          </cell>
          <cell r="I811" t="e">
            <v>#N/A</v>
          </cell>
          <cell r="J811" t="e">
            <v>#N/A</v>
          </cell>
          <cell r="K811">
            <v>42</v>
          </cell>
          <cell r="L811">
            <v>32</v>
          </cell>
          <cell r="M811" t="e">
            <v>#N/A</v>
          </cell>
          <cell r="N811">
            <v>37</v>
          </cell>
          <cell r="O811" t="e">
            <v>#N/A</v>
          </cell>
          <cell r="P811">
            <v>34.65</v>
          </cell>
          <cell r="Q811" t="str">
            <v/>
          </cell>
          <cell r="R811" t="e">
            <v>#N/A</v>
          </cell>
        </row>
        <row r="812">
          <cell r="A812" t="str">
            <v/>
          </cell>
          <cell r="B812" t="str">
            <v/>
          </cell>
          <cell r="C812" t="str">
            <v>Future</v>
          </cell>
          <cell r="D812" t="e">
            <v>#N/A</v>
          </cell>
          <cell r="E812">
            <v>1.0041967257734541E-13</v>
          </cell>
          <cell r="F812">
            <v>42.000000000000199</v>
          </cell>
          <cell r="G812">
            <v>31.999999999999137</v>
          </cell>
          <cell r="H812">
            <v>31.999999999999137</v>
          </cell>
          <cell r="I812" t="e">
            <v>#N/A</v>
          </cell>
          <cell r="J812" t="e">
            <v>#N/A</v>
          </cell>
          <cell r="K812">
            <v>42</v>
          </cell>
          <cell r="L812">
            <v>32</v>
          </cell>
          <cell r="M812" t="e">
            <v>#N/A</v>
          </cell>
          <cell r="N812">
            <v>37</v>
          </cell>
          <cell r="O812" t="e">
            <v>#N/A</v>
          </cell>
          <cell r="P812" t="str">
            <v/>
          </cell>
          <cell r="Q812" t="str">
            <v/>
          </cell>
          <cell r="R812" t="e">
            <v>#N/A</v>
          </cell>
        </row>
        <row r="813">
          <cell r="A813" t="str">
            <v/>
          </cell>
          <cell r="B813" t="str">
            <v/>
          </cell>
          <cell r="C813" t="str">
            <v>Future</v>
          </cell>
          <cell r="D813" t="e">
            <v>#N/A</v>
          </cell>
          <cell r="E813">
            <v>-0.13664031620543318</v>
          </cell>
          <cell r="F813">
            <v>42.029367588933006</v>
          </cell>
          <cell r="G813">
            <v>31.989841897232338</v>
          </cell>
          <cell r="H813">
            <v>31.989841897232338</v>
          </cell>
          <cell r="I813" t="e">
            <v>#N/A</v>
          </cell>
          <cell r="J813" t="e">
            <v>#N/A</v>
          </cell>
          <cell r="K813">
            <v>42</v>
          </cell>
          <cell r="L813">
            <v>32</v>
          </cell>
          <cell r="M813" t="e">
            <v>#N/A</v>
          </cell>
          <cell r="N813">
            <v>37</v>
          </cell>
          <cell r="O813" t="e">
            <v>#N/A</v>
          </cell>
          <cell r="P813" t="str">
            <v/>
          </cell>
          <cell r="Q813" t="str">
            <v/>
          </cell>
          <cell r="R813" t="e">
            <v>#N/A</v>
          </cell>
        </row>
        <row r="814">
          <cell r="A814" t="str">
            <v/>
          </cell>
          <cell r="B814" t="str">
            <v/>
          </cell>
          <cell r="C814" t="str">
            <v>Future</v>
          </cell>
          <cell r="D814" t="e">
            <v>#N/A</v>
          </cell>
          <cell r="E814">
            <v>-0.27328063241096678</v>
          </cell>
          <cell r="F814">
            <v>42.058735177865813</v>
          </cell>
          <cell r="G814">
            <v>31.97968379446554</v>
          </cell>
          <cell r="H814">
            <v>31.97968379446554</v>
          </cell>
          <cell r="I814" t="e">
            <v>#N/A</v>
          </cell>
          <cell r="J814" t="e">
            <v>#N/A</v>
          </cell>
          <cell r="K814">
            <v>42</v>
          </cell>
          <cell r="L814">
            <v>32</v>
          </cell>
          <cell r="M814" t="e">
            <v>#N/A</v>
          </cell>
          <cell r="N814">
            <v>37</v>
          </cell>
          <cell r="O814" t="e">
            <v>#N/A</v>
          </cell>
          <cell r="P814" t="str">
            <v/>
          </cell>
          <cell r="Q814" t="str">
            <v/>
          </cell>
          <cell r="R814" t="e">
            <v>#N/A</v>
          </cell>
        </row>
        <row r="815">
          <cell r="A815" t="str">
            <v/>
          </cell>
          <cell r="B815" t="str">
            <v/>
          </cell>
          <cell r="C815" t="str">
            <v>Future</v>
          </cell>
          <cell r="D815" t="e">
            <v>#N/A</v>
          </cell>
          <cell r="E815">
            <v>-0.40992094861650041</v>
          </cell>
          <cell r="F815">
            <v>42.08810276679862</v>
          </cell>
          <cell r="G815">
            <v>31.969525691698742</v>
          </cell>
          <cell r="H815">
            <v>31.969525691698742</v>
          </cell>
          <cell r="I815" t="e">
            <v>#N/A</v>
          </cell>
          <cell r="J815" t="e">
            <v>#N/A</v>
          </cell>
          <cell r="K815">
            <v>42</v>
          </cell>
          <cell r="L815">
            <v>32</v>
          </cell>
          <cell r="M815" t="e">
            <v>#N/A</v>
          </cell>
          <cell r="N815">
            <v>37</v>
          </cell>
          <cell r="O815" t="e">
            <v>#N/A</v>
          </cell>
          <cell r="P815" t="str">
            <v/>
          </cell>
          <cell r="Q815" t="str">
            <v/>
          </cell>
          <cell r="R815" t="e">
            <v>#N/A</v>
          </cell>
        </row>
        <row r="816">
          <cell r="A816" t="str">
            <v/>
          </cell>
          <cell r="B816" t="str">
            <v/>
          </cell>
          <cell r="C816" t="str">
            <v>Future</v>
          </cell>
          <cell r="D816" t="e">
            <v>#N/A</v>
          </cell>
          <cell r="E816">
            <v>-0.54656126482203404</v>
          </cell>
          <cell r="F816">
            <v>42.117470355731427</v>
          </cell>
          <cell r="G816">
            <v>31.959367588931944</v>
          </cell>
          <cell r="H816">
            <v>31.959367588931944</v>
          </cell>
          <cell r="I816" t="e">
            <v>#N/A</v>
          </cell>
          <cell r="J816" t="e">
            <v>#N/A</v>
          </cell>
          <cell r="K816">
            <v>42</v>
          </cell>
          <cell r="L816">
            <v>32</v>
          </cell>
          <cell r="M816" t="e">
            <v>#N/A</v>
          </cell>
          <cell r="N816">
            <v>37</v>
          </cell>
          <cell r="O816" t="e">
            <v>#N/A</v>
          </cell>
          <cell r="P816" t="str">
            <v/>
          </cell>
          <cell r="Q816" t="str">
            <v/>
          </cell>
          <cell r="R816" t="e">
            <v>#N/A</v>
          </cell>
        </row>
        <row r="817">
          <cell r="A817" t="str">
            <v/>
          </cell>
          <cell r="B817" t="str">
            <v/>
          </cell>
          <cell r="C817" t="str">
            <v>Future</v>
          </cell>
          <cell r="D817" t="e">
            <v>#N/A</v>
          </cell>
          <cell r="E817">
            <v>-0.68320158102756767</v>
          </cell>
          <cell r="F817">
            <v>42.146837944664234</v>
          </cell>
          <cell r="G817">
            <v>31.949209486165145</v>
          </cell>
          <cell r="H817">
            <v>31.949209486165145</v>
          </cell>
          <cell r="I817" t="e">
            <v>#N/A</v>
          </cell>
          <cell r="J817" t="e">
            <v>#N/A</v>
          </cell>
          <cell r="K817">
            <v>42</v>
          </cell>
          <cell r="L817">
            <v>32</v>
          </cell>
          <cell r="M817" t="e">
            <v>#N/A</v>
          </cell>
          <cell r="N817">
            <v>37</v>
          </cell>
          <cell r="O817" t="e">
            <v>#N/A</v>
          </cell>
          <cell r="P817" t="str">
            <v/>
          </cell>
          <cell r="Q817" t="str">
            <v/>
          </cell>
          <cell r="R817" t="e">
            <v>#N/A</v>
          </cell>
        </row>
        <row r="818">
          <cell r="A818" t="str">
            <v/>
          </cell>
          <cell r="B818" t="str">
            <v/>
          </cell>
          <cell r="C818" t="str">
            <v>Future</v>
          </cell>
          <cell r="D818" t="e">
            <v>#N/A</v>
          </cell>
          <cell r="E818">
            <v>-0.8198418972331013</v>
          </cell>
          <cell r="F818">
            <v>42.176205533597042</v>
          </cell>
          <cell r="G818">
            <v>31.939051383398347</v>
          </cell>
          <cell r="H818">
            <v>31.939051383398347</v>
          </cell>
          <cell r="I818" t="e">
            <v>#N/A</v>
          </cell>
          <cell r="J818" t="e">
            <v>#N/A</v>
          </cell>
          <cell r="K818">
            <v>42</v>
          </cell>
          <cell r="L818">
            <v>32</v>
          </cell>
          <cell r="M818" t="e">
            <v>#N/A</v>
          </cell>
          <cell r="N818">
            <v>37</v>
          </cell>
          <cell r="O818" t="e">
            <v>#N/A</v>
          </cell>
          <cell r="P818" t="str">
            <v/>
          </cell>
          <cell r="Q818" t="str">
            <v/>
          </cell>
          <cell r="R818" t="e">
            <v>#N/A</v>
          </cell>
        </row>
        <row r="819">
          <cell r="A819" t="str">
            <v/>
          </cell>
          <cell r="B819" t="str">
            <v/>
          </cell>
          <cell r="C819" t="str">
            <v>Future</v>
          </cell>
          <cell r="D819" t="e">
            <v>#N/A</v>
          </cell>
          <cell r="E819">
            <v>-0.95648221343863493</v>
          </cell>
          <cell r="F819">
            <v>42.205573122529849</v>
          </cell>
          <cell r="G819">
            <v>31.928893280631549</v>
          </cell>
          <cell r="H819">
            <v>31.928893280631549</v>
          </cell>
          <cell r="I819" t="e">
            <v>#N/A</v>
          </cell>
          <cell r="J819" t="e">
            <v>#N/A</v>
          </cell>
          <cell r="K819">
            <v>42</v>
          </cell>
          <cell r="L819">
            <v>32</v>
          </cell>
          <cell r="M819" t="e">
            <v>#N/A</v>
          </cell>
          <cell r="N819">
            <v>37</v>
          </cell>
          <cell r="O819" t="e">
            <v>#N/A</v>
          </cell>
          <cell r="P819" t="str">
            <v/>
          </cell>
          <cell r="Q819" t="str">
            <v/>
          </cell>
          <cell r="R819" t="e">
            <v>#N/A</v>
          </cell>
        </row>
        <row r="820">
          <cell r="A820" t="str">
            <v/>
          </cell>
          <cell r="B820" t="str">
            <v/>
          </cell>
          <cell r="C820" t="str">
            <v>Future</v>
          </cell>
          <cell r="D820" t="e">
            <v>#N/A</v>
          </cell>
          <cell r="E820">
            <v>-1.0931225296441685</v>
          </cell>
          <cell r="F820">
            <v>42.234940711462656</v>
          </cell>
          <cell r="G820">
            <v>31.91873517786475</v>
          </cell>
          <cell r="H820">
            <v>31.91873517786475</v>
          </cell>
          <cell r="I820" t="e">
            <v>#N/A</v>
          </cell>
          <cell r="J820" t="e">
            <v>#N/A</v>
          </cell>
          <cell r="K820">
            <v>42</v>
          </cell>
          <cell r="L820">
            <v>32</v>
          </cell>
          <cell r="M820" t="e">
            <v>#N/A</v>
          </cell>
          <cell r="N820">
            <v>37</v>
          </cell>
          <cell r="O820" t="e">
            <v>#N/A</v>
          </cell>
          <cell r="P820" t="str">
            <v/>
          </cell>
          <cell r="Q820" t="str">
            <v/>
          </cell>
          <cell r="R820" t="e">
            <v>#N/A</v>
          </cell>
        </row>
        <row r="821">
          <cell r="A821" t="str">
            <v/>
          </cell>
          <cell r="B821" t="str">
            <v/>
          </cell>
          <cell r="C821" t="str">
            <v>Future</v>
          </cell>
          <cell r="D821" t="e">
            <v>#N/A</v>
          </cell>
          <cell r="E821">
            <v>-1.2297628458497021</v>
          </cell>
          <cell r="F821">
            <v>42.264308300395463</v>
          </cell>
          <cell r="G821">
            <v>31.908577075097952</v>
          </cell>
          <cell r="H821">
            <v>31.908577075097952</v>
          </cell>
          <cell r="I821" t="e">
            <v>#N/A</v>
          </cell>
          <cell r="J821" t="e">
            <v>#N/A</v>
          </cell>
          <cell r="K821">
            <v>42</v>
          </cell>
          <cell r="L821">
            <v>32</v>
          </cell>
          <cell r="M821" t="e">
            <v>#N/A</v>
          </cell>
          <cell r="N821">
            <v>37</v>
          </cell>
          <cell r="O821" t="e">
            <v>#N/A</v>
          </cell>
          <cell r="P821" t="str">
            <v/>
          </cell>
          <cell r="Q821" t="str">
            <v/>
          </cell>
          <cell r="R821" t="e">
            <v>#N/A</v>
          </cell>
        </row>
        <row r="822">
          <cell r="A822" t="str">
            <v/>
          </cell>
          <cell r="B822" t="str">
            <v/>
          </cell>
          <cell r="C822" t="str">
            <v>Future</v>
          </cell>
          <cell r="D822" t="e">
            <v>#N/A</v>
          </cell>
          <cell r="E822">
            <v>-1.3664031620552357</v>
          </cell>
          <cell r="F822">
            <v>42.29367588932827</v>
          </cell>
          <cell r="G822">
            <v>31.898418972331154</v>
          </cell>
          <cell r="H822">
            <v>31.898418972331154</v>
          </cell>
          <cell r="I822" t="e">
            <v>#N/A</v>
          </cell>
          <cell r="J822" t="e">
            <v>#N/A</v>
          </cell>
          <cell r="K822">
            <v>42</v>
          </cell>
          <cell r="L822">
            <v>32</v>
          </cell>
          <cell r="M822" t="e">
            <v>#N/A</v>
          </cell>
          <cell r="N822">
            <v>37</v>
          </cell>
          <cell r="O822" t="e">
            <v>#N/A</v>
          </cell>
          <cell r="P822" t="str">
            <v/>
          </cell>
          <cell r="Q822" t="str">
            <v/>
          </cell>
          <cell r="R822" t="e">
            <v>#N/A</v>
          </cell>
        </row>
        <row r="823">
          <cell r="A823" t="str">
            <v/>
          </cell>
          <cell r="B823" t="str">
            <v/>
          </cell>
          <cell r="C823" t="str">
            <v>Future</v>
          </cell>
          <cell r="D823" t="e">
            <v>#N/A</v>
          </cell>
          <cell r="E823">
            <v>-1.5030434782607693</v>
          </cell>
          <cell r="F823">
            <v>42.323043478261077</v>
          </cell>
          <cell r="G823">
            <v>31.888260869564355</v>
          </cell>
          <cell r="H823">
            <v>31.888260869564355</v>
          </cell>
          <cell r="I823" t="e">
            <v>#N/A</v>
          </cell>
          <cell r="J823" t="e">
            <v>#N/A</v>
          </cell>
          <cell r="K823">
            <v>42</v>
          </cell>
          <cell r="L823">
            <v>32</v>
          </cell>
          <cell r="M823" t="e">
            <v>#N/A</v>
          </cell>
          <cell r="N823">
            <v>37</v>
          </cell>
          <cell r="O823" t="e">
            <v>#N/A</v>
          </cell>
          <cell r="P823" t="str">
            <v/>
          </cell>
          <cell r="Q823" t="str">
            <v/>
          </cell>
          <cell r="R823" t="e">
            <v>#N/A</v>
          </cell>
        </row>
        <row r="824">
          <cell r="A824" t="str">
            <v/>
          </cell>
          <cell r="B824" t="str">
            <v/>
          </cell>
          <cell r="C824" t="str">
            <v>Future</v>
          </cell>
          <cell r="D824" t="e">
            <v>#N/A</v>
          </cell>
          <cell r="E824">
            <v>-1.639683794466303</v>
          </cell>
          <cell r="F824">
            <v>42.352411067193884</v>
          </cell>
          <cell r="G824">
            <v>31.878102766797557</v>
          </cell>
          <cell r="H824">
            <v>31.878102766797557</v>
          </cell>
          <cell r="I824" t="e">
            <v>#N/A</v>
          </cell>
          <cell r="J824" t="e">
            <v>#N/A</v>
          </cell>
          <cell r="K824">
            <v>42</v>
          </cell>
          <cell r="L824">
            <v>32</v>
          </cell>
          <cell r="M824" t="e">
            <v>#N/A</v>
          </cell>
          <cell r="N824">
            <v>37</v>
          </cell>
          <cell r="O824" t="e">
            <v>#N/A</v>
          </cell>
          <cell r="P824" t="str">
            <v/>
          </cell>
          <cell r="Q824" t="str">
            <v/>
          </cell>
          <cell r="R824" t="e">
            <v>#N/A</v>
          </cell>
        </row>
        <row r="825">
          <cell r="A825" t="str">
            <v/>
          </cell>
          <cell r="B825" t="str">
            <v/>
          </cell>
          <cell r="C825" t="str">
            <v>Future</v>
          </cell>
          <cell r="D825" t="e">
            <v>#N/A</v>
          </cell>
          <cell r="E825">
            <v>-1.7763241106718366</v>
          </cell>
          <cell r="F825">
            <v>42.381778656126691</v>
          </cell>
          <cell r="G825">
            <v>31.867944664030759</v>
          </cell>
          <cell r="H825">
            <v>31.867944664030759</v>
          </cell>
          <cell r="I825" t="e">
            <v>#N/A</v>
          </cell>
          <cell r="J825" t="e">
            <v>#N/A</v>
          </cell>
          <cell r="K825">
            <v>42</v>
          </cell>
          <cell r="L825">
            <v>32</v>
          </cell>
          <cell r="M825" t="e">
            <v>#N/A</v>
          </cell>
          <cell r="N825">
            <v>37</v>
          </cell>
          <cell r="O825" t="e">
            <v>#N/A</v>
          </cell>
          <cell r="P825" t="str">
            <v/>
          </cell>
          <cell r="Q825" t="str">
            <v/>
          </cell>
          <cell r="R825" t="e">
            <v>#N/A</v>
          </cell>
        </row>
        <row r="826">
          <cell r="A826" t="str">
            <v/>
          </cell>
          <cell r="B826" t="str">
            <v/>
          </cell>
          <cell r="C826" t="str">
            <v>Future</v>
          </cell>
          <cell r="D826" t="e">
            <v>#N/A</v>
          </cell>
          <cell r="E826">
            <v>-1.9129644268773702</v>
          </cell>
          <cell r="F826">
            <v>42.411146245059498</v>
          </cell>
          <cell r="G826">
            <v>31.857786561263961</v>
          </cell>
          <cell r="H826">
            <v>31.857786561263961</v>
          </cell>
          <cell r="I826" t="e">
            <v>#N/A</v>
          </cell>
          <cell r="J826" t="e">
            <v>#N/A</v>
          </cell>
          <cell r="K826">
            <v>42</v>
          </cell>
          <cell r="L826">
            <v>32</v>
          </cell>
          <cell r="M826" t="e">
            <v>#N/A</v>
          </cell>
          <cell r="N826">
            <v>37</v>
          </cell>
          <cell r="O826" t="e">
            <v>#N/A</v>
          </cell>
          <cell r="P826" t="str">
            <v/>
          </cell>
          <cell r="Q826" t="str">
            <v/>
          </cell>
          <cell r="R826" t="e">
            <v>#N/A</v>
          </cell>
        </row>
        <row r="827">
          <cell r="A827" t="str">
            <v/>
          </cell>
          <cell r="B827" t="str">
            <v/>
          </cell>
          <cell r="C827" t="str">
            <v>Future</v>
          </cell>
          <cell r="D827" t="e">
            <v>#N/A</v>
          </cell>
          <cell r="E827">
            <v>-2.0496047430829036</v>
          </cell>
          <cell r="F827">
            <v>42.440513833992306</v>
          </cell>
          <cell r="G827">
            <v>31.847628458497162</v>
          </cell>
          <cell r="H827">
            <v>31.847628458497162</v>
          </cell>
          <cell r="I827" t="e">
            <v>#N/A</v>
          </cell>
          <cell r="J827" t="e">
            <v>#N/A</v>
          </cell>
          <cell r="K827">
            <v>42</v>
          </cell>
          <cell r="L827">
            <v>32</v>
          </cell>
          <cell r="M827" t="e">
            <v>#N/A</v>
          </cell>
          <cell r="N827">
            <v>37</v>
          </cell>
          <cell r="O827" t="e">
            <v>#N/A</v>
          </cell>
          <cell r="P827" t="str">
            <v/>
          </cell>
          <cell r="Q827" t="str">
            <v/>
          </cell>
          <cell r="R827" t="e">
            <v>#N/A</v>
          </cell>
        </row>
        <row r="828">
          <cell r="A828" t="str">
            <v/>
          </cell>
          <cell r="B828" t="str">
            <v/>
          </cell>
          <cell r="C828" t="str">
            <v>Future</v>
          </cell>
          <cell r="D828" t="e">
            <v>#N/A</v>
          </cell>
          <cell r="E828">
            <v>-2.1862450592884373</v>
          </cell>
          <cell r="F828">
            <v>42.469881422925113</v>
          </cell>
          <cell r="G828">
            <v>31.837470355730364</v>
          </cell>
          <cell r="H828">
            <v>31.837470355730364</v>
          </cell>
          <cell r="I828" t="e">
            <v>#N/A</v>
          </cell>
          <cell r="J828" t="e">
            <v>#N/A</v>
          </cell>
          <cell r="K828">
            <v>42</v>
          </cell>
          <cell r="L828">
            <v>32</v>
          </cell>
          <cell r="M828" t="e">
            <v>#N/A</v>
          </cell>
          <cell r="N828">
            <v>37</v>
          </cell>
          <cell r="O828" t="e">
            <v>#N/A</v>
          </cell>
          <cell r="P828" t="str">
            <v/>
          </cell>
          <cell r="Q828" t="str">
            <v/>
          </cell>
          <cell r="R828" t="e">
            <v>#N/A</v>
          </cell>
        </row>
        <row r="829">
          <cell r="A829" t="str">
            <v/>
          </cell>
          <cell r="B829" t="str">
            <v/>
          </cell>
          <cell r="C829" t="str">
            <v>Future</v>
          </cell>
          <cell r="D829" t="e">
            <v>#N/A</v>
          </cell>
          <cell r="E829">
            <v>-2.3228853754939709</v>
          </cell>
          <cell r="F829">
            <v>42.49924901185792</v>
          </cell>
          <cell r="G829">
            <v>31.827312252963566</v>
          </cell>
          <cell r="H829">
            <v>31.827312252963566</v>
          </cell>
          <cell r="I829" t="e">
            <v>#N/A</v>
          </cell>
          <cell r="J829" t="e">
            <v>#N/A</v>
          </cell>
          <cell r="K829">
            <v>42</v>
          </cell>
          <cell r="L829">
            <v>32</v>
          </cell>
          <cell r="M829" t="e">
            <v>#N/A</v>
          </cell>
          <cell r="N829">
            <v>37</v>
          </cell>
          <cell r="O829" t="e">
            <v>#N/A</v>
          </cell>
          <cell r="P829" t="str">
            <v/>
          </cell>
          <cell r="Q829" t="str">
            <v/>
          </cell>
          <cell r="R829" t="e">
            <v>#N/A</v>
          </cell>
        </row>
        <row r="830">
          <cell r="A830" t="str">
            <v/>
          </cell>
          <cell r="B830" t="str">
            <v/>
          </cell>
          <cell r="C830" t="str">
            <v>Future</v>
          </cell>
          <cell r="D830" t="e">
            <v>#N/A</v>
          </cell>
          <cell r="E830">
            <v>-2.4595256916995045</v>
          </cell>
          <cell r="F830">
            <v>42.528616600790727</v>
          </cell>
          <cell r="G830">
            <v>31.817154150196767</v>
          </cell>
          <cell r="H830">
            <v>31.817154150196767</v>
          </cell>
          <cell r="I830" t="e">
            <v>#N/A</v>
          </cell>
          <cell r="J830" t="e">
            <v>#N/A</v>
          </cell>
          <cell r="K830">
            <v>42</v>
          </cell>
          <cell r="L830">
            <v>32</v>
          </cell>
          <cell r="M830" t="e">
            <v>#N/A</v>
          </cell>
          <cell r="N830">
            <v>37</v>
          </cell>
          <cell r="O830" t="e">
            <v>#N/A</v>
          </cell>
          <cell r="P830" t="str">
            <v/>
          </cell>
          <cell r="Q830" t="str">
            <v/>
          </cell>
          <cell r="R830" t="e">
            <v>#N/A</v>
          </cell>
        </row>
        <row r="831">
          <cell r="A831" t="str">
            <v/>
          </cell>
          <cell r="B831" t="str">
            <v/>
          </cell>
          <cell r="C831" t="str">
            <v>Future</v>
          </cell>
          <cell r="D831" t="e">
            <v>#N/A</v>
          </cell>
          <cell r="E831">
            <v>-2.5961660079050382</v>
          </cell>
          <cell r="F831">
            <v>42.557984189723534</v>
          </cell>
          <cell r="G831">
            <v>31.806996047429969</v>
          </cell>
          <cell r="H831">
            <v>31.806996047429969</v>
          </cell>
          <cell r="I831" t="e">
            <v>#N/A</v>
          </cell>
          <cell r="J831" t="e">
            <v>#N/A</v>
          </cell>
          <cell r="K831">
            <v>42</v>
          </cell>
          <cell r="L831">
            <v>32</v>
          </cell>
          <cell r="M831" t="e">
            <v>#N/A</v>
          </cell>
          <cell r="N831">
            <v>37</v>
          </cell>
          <cell r="O831" t="e">
            <v>#N/A</v>
          </cell>
          <cell r="P831" t="str">
            <v/>
          </cell>
          <cell r="Q831" t="str">
            <v/>
          </cell>
          <cell r="R831" t="e">
            <v>#N/A</v>
          </cell>
        </row>
        <row r="832">
          <cell r="A832" t="str">
            <v/>
          </cell>
          <cell r="B832" t="str">
            <v/>
          </cell>
          <cell r="C832" t="str">
            <v>Future</v>
          </cell>
          <cell r="D832" t="e">
            <v>#N/A</v>
          </cell>
          <cell r="E832">
            <v>-2.7328063241105718</v>
          </cell>
          <cell r="F832">
            <v>42.587351778656341</v>
          </cell>
          <cell r="G832">
            <v>31.796837944663171</v>
          </cell>
          <cell r="H832">
            <v>31.796837944663171</v>
          </cell>
          <cell r="I832" t="e">
            <v>#N/A</v>
          </cell>
          <cell r="J832" t="e">
            <v>#N/A</v>
          </cell>
          <cell r="K832">
            <v>42</v>
          </cell>
          <cell r="L832">
            <v>32</v>
          </cell>
          <cell r="M832" t="e">
            <v>#N/A</v>
          </cell>
          <cell r="N832">
            <v>37</v>
          </cell>
          <cell r="O832" t="e">
            <v>#N/A</v>
          </cell>
          <cell r="P832" t="str">
            <v/>
          </cell>
          <cell r="Q832" t="str">
            <v/>
          </cell>
          <cell r="R832" t="e">
            <v>#N/A</v>
          </cell>
        </row>
        <row r="833">
          <cell r="A833" t="str">
            <v/>
          </cell>
          <cell r="B833" t="str">
            <v/>
          </cell>
          <cell r="C833" t="str">
            <v>Future</v>
          </cell>
          <cell r="D833" t="e">
            <v>#N/A</v>
          </cell>
          <cell r="E833">
            <v>-2.8694466403161054</v>
          </cell>
          <cell r="F833">
            <v>42.616719367589148</v>
          </cell>
          <cell r="G833">
            <v>31.786679841896373</v>
          </cell>
          <cell r="H833">
            <v>31.786679841896373</v>
          </cell>
          <cell r="I833" t="e">
            <v>#N/A</v>
          </cell>
          <cell r="J833" t="e">
            <v>#N/A</v>
          </cell>
          <cell r="K833">
            <v>42</v>
          </cell>
          <cell r="L833">
            <v>32</v>
          </cell>
          <cell r="M833" t="e">
            <v>#N/A</v>
          </cell>
          <cell r="N833">
            <v>37</v>
          </cell>
          <cell r="O833" t="e">
            <v>#N/A</v>
          </cell>
          <cell r="P833" t="str">
            <v/>
          </cell>
          <cell r="Q833" t="str">
            <v/>
          </cell>
          <cell r="R833" t="e">
            <v>#N/A</v>
          </cell>
        </row>
        <row r="834">
          <cell r="A834" t="str">
            <v/>
          </cell>
          <cell r="B834" t="str">
            <v/>
          </cell>
          <cell r="C834" t="str">
            <v>Future</v>
          </cell>
          <cell r="D834" t="e">
            <v>#N/A</v>
          </cell>
          <cell r="E834">
            <v>-3.006086956521639</v>
          </cell>
          <cell r="F834">
            <v>42.646086956521955</v>
          </cell>
          <cell r="G834">
            <v>31.776521739129574</v>
          </cell>
          <cell r="H834">
            <v>31.776521739129574</v>
          </cell>
          <cell r="I834" t="e">
            <v>#N/A</v>
          </cell>
          <cell r="J834" t="e">
            <v>#N/A</v>
          </cell>
          <cell r="K834">
            <v>42</v>
          </cell>
          <cell r="L834">
            <v>32</v>
          </cell>
          <cell r="M834" t="e">
            <v>#N/A</v>
          </cell>
          <cell r="N834">
            <v>37</v>
          </cell>
          <cell r="O834" t="e">
            <v>#N/A</v>
          </cell>
          <cell r="P834" t="str">
            <v/>
          </cell>
          <cell r="Q834" t="str">
            <v/>
          </cell>
          <cell r="R834" t="e">
            <v>#N/A</v>
          </cell>
        </row>
        <row r="835">
          <cell r="A835" t="str">
            <v/>
          </cell>
          <cell r="B835" t="str">
            <v/>
          </cell>
          <cell r="C835" t="str">
            <v>Future</v>
          </cell>
          <cell r="D835" t="e">
            <v>#N/A</v>
          </cell>
          <cell r="E835">
            <v>-3.1427272727271727</v>
          </cell>
          <cell r="F835">
            <v>42.675454545454762</v>
          </cell>
          <cell r="G835">
            <v>31.766363636362776</v>
          </cell>
          <cell r="H835">
            <v>31.766363636362776</v>
          </cell>
          <cell r="I835" t="e">
            <v>#N/A</v>
          </cell>
          <cell r="J835" t="e">
            <v>#N/A</v>
          </cell>
          <cell r="K835">
            <v>42</v>
          </cell>
          <cell r="L835">
            <v>32</v>
          </cell>
          <cell r="M835" t="e">
            <v>#N/A</v>
          </cell>
          <cell r="N835">
            <v>37</v>
          </cell>
          <cell r="O835" t="e">
            <v>#N/A</v>
          </cell>
          <cell r="P835" t="str">
            <v/>
          </cell>
          <cell r="Q835" t="str">
            <v/>
          </cell>
          <cell r="R835" t="e">
            <v>#N/A</v>
          </cell>
        </row>
        <row r="836">
          <cell r="A836" t="str">
            <v/>
          </cell>
          <cell r="B836" t="str">
            <v/>
          </cell>
          <cell r="C836" t="str">
            <v>Future</v>
          </cell>
          <cell r="D836" t="e">
            <v>#N/A</v>
          </cell>
          <cell r="E836">
            <v>-3.2793675889327063</v>
          </cell>
          <cell r="F836">
            <v>42.70482213438757</v>
          </cell>
          <cell r="G836">
            <v>31.756205533595978</v>
          </cell>
          <cell r="H836">
            <v>31.756205533595978</v>
          </cell>
          <cell r="I836" t="e">
            <v>#N/A</v>
          </cell>
          <cell r="J836" t="e">
            <v>#N/A</v>
          </cell>
          <cell r="K836">
            <v>42</v>
          </cell>
          <cell r="L836">
            <v>32</v>
          </cell>
          <cell r="M836" t="e">
            <v>#N/A</v>
          </cell>
          <cell r="N836">
            <v>37</v>
          </cell>
          <cell r="O836" t="e">
            <v>#N/A</v>
          </cell>
          <cell r="P836" t="str">
            <v/>
          </cell>
          <cell r="Q836" t="str">
            <v/>
          </cell>
          <cell r="R836" t="e">
            <v>#N/A</v>
          </cell>
        </row>
        <row r="837">
          <cell r="A837" t="str">
            <v/>
          </cell>
          <cell r="B837" t="str">
            <v/>
          </cell>
          <cell r="C837" t="str">
            <v>Future</v>
          </cell>
          <cell r="D837" t="e">
            <v>#N/A</v>
          </cell>
          <cell r="E837">
            <v>-3.4160079051382399</v>
          </cell>
          <cell r="F837">
            <v>42.734189723320377</v>
          </cell>
          <cell r="G837">
            <v>31.746047430829179</v>
          </cell>
          <cell r="H837">
            <v>31.746047430829179</v>
          </cell>
          <cell r="I837" t="e">
            <v>#N/A</v>
          </cell>
          <cell r="J837" t="e">
            <v>#N/A</v>
          </cell>
          <cell r="K837">
            <v>42</v>
          </cell>
          <cell r="L837">
            <v>32</v>
          </cell>
          <cell r="M837" t="e">
            <v>#N/A</v>
          </cell>
          <cell r="N837">
            <v>37</v>
          </cell>
          <cell r="O837" t="e">
            <v>#N/A</v>
          </cell>
          <cell r="P837" t="str">
            <v/>
          </cell>
          <cell r="Q837" t="str">
            <v/>
          </cell>
          <cell r="R837" t="e">
            <v>#N/A</v>
          </cell>
        </row>
        <row r="838">
          <cell r="A838" t="str">
            <v/>
          </cell>
          <cell r="B838" t="str">
            <v/>
          </cell>
          <cell r="C838" t="str">
            <v>Future</v>
          </cell>
          <cell r="D838" t="e">
            <v>#N/A</v>
          </cell>
          <cell r="E838">
            <v>-3.5526482213437736</v>
          </cell>
          <cell r="F838">
            <v>42.763557312253184</v>
          </cell>
          <cell r="G838">
            <v>31.735889328062381</v>
          </cell>
          <cell r="H838">
            <v>31.735889328062381</v>
          </cell>
          <cell r="I838" t="e">
            <v>#N/A</v>
          </cell>
          <cell r="J838" t="e">
            <v>#N/A</v>
          </cell>
          <cell r="K838">
            <v>42</v>
          </cell>
          <cell r="L838">
            <v>32</v>
          </cell>
          <cell r="M838" t="e">
            <v>#N/A</v>
          </cell>
          <cell r="N838">
            <v>37</v>
          </cell>
          <cell r="O838" t="e">
            <v>#N/A</v>
          </cell>
          <cell r="P838" t="str">
            <v/>
          </cell>
          <cell r="Q838" t="str">
            <v/>
          </cell>
          <cell r="R838" t="e">
            <v>#N/A</v>
          </cell>
        </row>
        <row r="839">
          <cell r="A839" t="str">
            <v/>
          </cell>
          <cell r="B839" t="str">
            <v/>
          </cell>
          <cell r="C839" t="str">
            <v>Future</v>
          </cell>
          <cell r="D839" t="e">
            <v>#N/A</v>
          </cell>
          <cell r="E839">
            <v>-3.6892885375493072</v>
          </cell>
          <cell r="F839">
            <v>42.792924901185991</v>
          </cell>
          <cell r="G839">
            <v>31.725731225295583</v>
          </cell>
          <cell r="H839">
            <v>31.725731225295583</v>
          </cell>
          <cell r="I839" t="e">
            <v>#N/A</v>
          </cell>
          <cell r="J839" t="e">
            <v>#N/A</v>
          </cell>
          <cell r="K839">
            <v>42</v>
          </cell>
          <cell r="L839">
            <v>32</v>
          </cell>
          <cell r="M839" t="e">
            <v>#N/A</v>
          </cell>
          <cell r="N839">
            <v>37</v>
          </cell>
          <cell r="O839" t="e">
            <v>#N/A</v>
          </cell>
          <cell r="P839" t="str">
            <v/>
          </cell>
          <cell r="Q839" t="str">
            <v/>
          </cell>
          <cell r="R839" t="e">
            <v>#N/A</v>
          </cell>
        </row>
        <row r="840">
          <cell r="A840" t="str">
            <v/>
          </cell>
          <cell r="B840" t="str">
            <v/>
          </cell>
          <cell r="C840" t="str">
            <v>Future</v>
          </cell>
          <cell r="D840" t="e">
            <v>#N/A</v>
          </cell>
          <cell r="E840">
            <v>-3.8259288537548408</v>
          </cell>
          <cell r="F840">
            <v>42.822292490118798</v>
          </cell>
          <cell r="G840">
            <v>31.715573122528784</v>
          </cell>
          <cell r="H840">
            <v>31.715573122528784</v>
          </cell>
          <cell r="I840" t="e">
            <v>#N/A</v>
          </cell>
          <cell r="J840" t="e">
            <v>#N/A</v>
          </cell>
          <cell r="K840">
            <v>42</v>
          </cell>
          <cell r="L840">
            <v>32</v>
          </cell>
          <cell r="M840" t="e">
            <v>#N/A</v>
          </cell>
          <cell r="N840">
            <v>37</v>
          </cell>
          <cell r="O840" t="e">
            <v>#N/A</v>
          </cell>
          <cell r="P840" t="str">
            <v/>
          </cell>
          <cell r="Q840" t="str">
            <v/>
          </cell>
          <cell r="R840" t="e">
            <v>#N/A</v>
          </cell>
        </row>
        <row r="841">
          <cell r="A841" t="str">
            <v/>
          </cell>
          <cell r="B841" t="str">
            <v/>
          </cell>
          <cell r="C841" t="str">
            <v>Future</v>
          </cell>
          <cell r="D841" t="e">
            <v>#N/A</v>
          </cell>
          <cell r="E841">
            <v>-3.9625691699603744</v>
          </cell>
          <cell r="F841">
            <v>42.851660079051605</v>
          </cell>
          <cell r="G841">
            <v>31.705415019761986</v>
          </cell>
          <cell r="H841">
            <v>31.705415019761986</v>
          </cell>
          <cell r="I841" t="e">
            <v>#N/A</v>
          </cell>
          <cell r="J841" t="e">
            <v>#N/A</v>
          </cell>
          <cell r="K841">
            <v>42</v>
          </cell>
          <cell r="L841">
            <v>32</v>
          </cell>
          <cell r="M841" t="e">
            <v>#N/A</v>
          </cell>
          <cell r="N841">
            <v>37</v>
          </cell>
          <cell r="O841" t="e">
            <v>#N/A</v>
          </cell>
          <cell r="P841" t="str">
            <v/>
          </cell>
          <cell r="Q841" t="str">
            <v/>
          </cell>
          <cell r="R841" t="e">
            <v>#N/A</v>
          </cell>
        </row>
        <row r="842">
          <cell r="A842" t="str">
            <v/>
          </cell>
          <cell r="B842" t="str">
            <v/>
          </cell>
          <cell r="C842" t="str">
            <v>Future</v>
          </cell>
          <cell r="D842" t="e">
            <v>#N/A</v>
          </cell>
          <cell r="E842">
            <v>-4.0992094861659076</v>
          </cell>
          <cell r="F842">
            <v>42.881027667984412</v>
          </cell>
          <cell r="G842">
            <v>31.695256916995188</v>
          </cell>
          <cell r="H842">
            <v>31.695256916995188</v>
          </cell>
          <cell r="I842" t="e">
            <v>#N/A</v>
          </cell>
          <cell r="J842" t="e">
            <v>#N/A</v>
          </cell>
          <cell r="K842">
            <v>42</v>
          </cell>
          <cell r="L842">
            <v>32</v>
          </cell>
          <cell r="M842" t="e">
            <v>#N/A</v>
          </cell>
          <cell r="N842">
            <v>37</v>
          </cell>
          <cell r="O842" t="e">
            <v>#N/A</v>
          </cell>
          <cell r="P842" t="str">
            <v/>
          </cell>
          <cell r="Q842" t="str">
            <v/>
          </cell>
          <cell r="R842" t="e">
            <v>#N/A</v>
          </cell>
        </row>
        <row r="843">
          <cell r="A843" t="str">
            <v/>
          </cell>
          <cell r="B843" t="str">
            <v/>
          </cell>
          <cell r="C843" t="str">
            <v>Future</v>
          </cell>
          <cell r="D843" t="e">
            <v>#N/A</v>
          </cell>
          <cell r="E843">
            <v>-4.2358498023714413</v>
          </cell>
          <cell r="F843">
            <v>42.910395256917219</v>
          </cell>
          <cell r="G843">
            <v>31.68509881422839</v>
          </cell>
          <cell r="H843">
            <v>31.68509881422839</v>
          </cell>
          <cell r="I843" t="e">
            <v>#N/A</v>
          </cell>
          <cell r="J843" t="e">
            <v>#N/A</v>
          </cell>
          <cell r="K843">
            <v>42</v>
          </cell>
          <cell r="L843">
            <v>32</v>
          </cell>
          <cell r="M843" t="e">
            <v>#N/A</v>
          </cell>
          <cell r="N843">
            <v>37</v>
          </cell>
          <cell r="O843" t="e">
            <v>#N/A</v>
          </cell>
          <cell r="P843" t="str">
            <v/>
          </cell>
          <cell r="Q843" t="str">
            <v/>
          </cell>
          <cell r="R843" t="e">
            <v>#N/A</v>
          </cell>
        </row>
        <row r="844">
          <cell r="A844" t="str">
            <v/>
          </cell>
          <cell r="B844" t="str">
            <v/>
          </cell>
          <cell r="C844" t="str">
            <v>Future</v>
          </cell>
          <cell r="D844" t="e">
            <v>#N/A</v>
          </cell>
          <cell r="E844">
            <v>-4.3724901185769749</v>
          </cell>
          <cell r="F844">
            <v>42.939762845850026</v>
          </cell>
          <cell r="G844">
            <v>31.674940711461591</v>
          </cell>
          <cell r="H844">
            <v>31.674940711461591</v>
          </cell>
          <cell r="I844" t="e">
            <v>#N/A</v>
          </cell>
          <cell r="J844" t="e">
            <v>#N/A</v>
          </cell>
          <cell r="K844">
            <v>42</v>
          </cell>
          <cell r="L844">
            <v>32</v>
          </cell>
          <cell r="M844" t="e">
            <v>#N/A</v>
          </cell>
          <cell r="N844">
            <v>37</v>
          </cell>
          <cell r="O844" t="e">
            <v>#N/A</v>
          </cell>
          <cell r="P844" t="str">
            <v/>
          </cell>
          <cell r="Q844" t="str">
            <v/>
          </cell>
          <cell r="R844" t="e">
            <v>#N/A</v>
          </cell>
        </row>
        <row r="845">
          <cell r="A845" t="str">
            <v/>
          </cell>
          <cell r="B845" t="str">
            <v/>
          </cell>
          <cell r="C845" t="str">
            <v>Future</v>
          </cell>
          <cell r="D845" t="e">
            <v>#N/A</v>
          </cell>
          <cell r="E845">
            <v>-4.5091304347825085</v>
          </cell>
          <cell r="F845">
            <v>42.969130434782834</v>
          </cell>
          <cell r="G845">
            <v>31.664782608694793</v>
          </cell>
          <cell r="H845">
            <v>31.664782608694793</v>
          </cell>
          <cell r="I845" t="e">
            <v>#N/A</v>
          </cell>
          <cell r="J845" t="e">
            <v>#N/A</v>
          </cell>
          <cell r="K845">
            <v>42</v>
          </cell>
          <cell r="L845">
            <v>32</v>
          </cell>
          <cell r="M845" t="e">
            <v>#N/A</v>
          </cell>
          <cell r="N845">
            <v>37</v>
          </cell>
          <cell r="O845" t="e">
            <v>#N/A</v>
          </cell>
          <cell r="P845" t="str">
            <v/>
          </cell>
          <cell r="Q845" t="str">
            <v/>
          </cell>
          <cell r="R845" t="e">
            <v>#N/A</v>
          </cell>
        </row>
        <row r="846">
          <cell r="A846" t="str">
            <v/>
          </cell>
          <cell r="B846" t="str">
            <v/>
          </cell>
          <cell r="C846" t="str">
            <v>Future</v>
          </cell>
          <cell r="D846" t="e">
            <v>#N/A</v>
          </cell>
          <cell r="E846">
            <v>-4.6457707509880422</v>
          </cell>
          <cell r="F846">
            <v>42.998498023715641</v>
          </cell>
          <cell r="G846">
            <v>31.654624505927995</v>
          </cell>
          <cell r="H846">
            <v>31.654624505927995</v>
          </cell>
          <cell r="I846" t="e">
            <v>#N/A</v>
          </cell>
          <cell r="J846" t="e">
            <v>#N/A</v>
          </cell>
          <cell r="K846">
            <v>42</v>
          </cell>
          <cell r="L846">
            <v>32</v>
          </cell>
          <cell r="M846" t="e">
            <v>#N/A</v>
          </cell>
          <cell r="N846">
            <v>37</v>
          </cell>
          <cell r="O846" t="e">
            <v>#N/A</v>
          </cell>
          <cell r="P846" t="str">
            <v/>
          </cell>
          <cell r="Q846" t="str">
            <v/>
          </cell>
          <cell r="R846" t="e">
            <v>#N/A</v>
          </cell>
        </row>
        <row r="847">
          <cell r="A847" t="str">
            <v/>
          </cell>
          <cell r="B847" t="str">
            <v/>
          </cell>
          <cell r="C847" t="str">
            <v>Future</v>
          </cell>
          <cell r="D847" t="e">
            <v>#N/A</v>
          </cell>
          <cell r="E847">
            <v>-4.7824110671935758</v>
          </cell>
          <cell r="F847">
            <v>43.027865612648448</v>
          </cell>
          <cell r="G847">
            <v>31.644466403161196</v>
          </cell>
          <cell r="H847">
            <v>31.644466403161196</v>
          </cell>
          <cell r="I847" t="e">
            <v>#N/A</v>
          </cell>
          <cell r="J847" t="e">
            <v>#N/A</v>
          </cell>
          <cell r="K847">
            <v>42</v>
          </cell>
          <cell r="L847">
            <v>32</v>
          </cell>
          <cell r="M847" t="e">
            <v>#N/A</v>
          </cell>
          <cell r="N847">
            <v>37</v>
          </cell>
          <cell r="O847" t="e">
            <v>#N/A</v>
          </cell>
          <cell r="P847" t="str">
            <v/>
          </cell>
          <cell r="Q847" t="str">
            <v/>
          </cell>
          <cell r="R847" t="e">
            <v>#N/A</v>
          </cell>
        </row>
        <row r="848">
          <cell r="A848" t="str">
            <v/>
          </cell>
          <cell r="B848" t="str">
            <v/>
          </cell>
          <cell r="C848" t="str">
            <v>Future</v>
          </cell>
          <cell r="D848" t="e">
            <v>#N/A</v>
          </cell>
          <cell r="E848">
            <v>-4.9190513833991094</v>
          </cell>
          <cell r="F848">
            <v>43.057233201581255</v>
          </cell>
          <cell r="G848">
            <v>31.634308300394398</v>
          </cell>
          <cell r="H848">
            <v>31.634308300394398</v>
          </cell>
          <cell r="I848" t="e">
            <v>#N/A</v>
          </cell>
          <cell r="J848" t="e">
            <v>#N/A</v>
          </cell>
          <cell r="K848">
            <v>42</v>
          </cell>
          <cell r="L848">
            <v>32</v>
          </cell>
          <cell r="M848" t="e">
            <v>#N/A</v>
          </cell>
          <cell r="N848">
            <v>37</v>
          </cell>
          <cell r="O848" t="e">
            <v>#N/A</v>
          </cell>
          <cell r="P848" t="str">
            <v/>
          </cell>
          <cell r="Q848" t="str">
            <v/>
          </cell>
          <cell r="R848" t="e">
            <v>#N/A</v>
          </cell>
        </row>
        <row r="849">
          <cell r="A849" t="str">
            <v/>
          </cell>
          <cell r="B849" t="str">
            <v/>
          </cell>
          <cell r="C849" t="str">
            <v>Future</v>
          </cell>
          <cell r="D849" t="e">
            <v>#N/A</v>
          </cell>
          <cell r="E849">
            <v>-5.055691699604643</v>
          </cell>
          <cell r="F849">
            <v>43.086600790514062</v>
          </cell>
          <cell r="G849">
            <v>31.6241501976276</v>
          </cell>
          <cell r="H849">
            <v>31.6241501976276</v>
          </cell>
          <cell r="I849" t="e">
            <v>#N/A</v>
          </cell>
          <cell r="J849" t="e">
            <v>#N/A</v>
          </cell>
          <cell r="K849">
            <v>42</v>
          </cell>
          <cell r="L849">
            <v>32</v>
          </cell>
          <cell r="M849" t="e">
            <v>#N/A</v>
          </cell>
          <cell r="N849">
            <v>37</v>
          </cell>
          <cell r="O849" t="e">
            <v>#N/A</v>
          </cell>
          <cell r="P849" t="str">
            <v/>
          </cell>
          <cell r="Q849" t="str">
            <v/>
          </cell>
          <cell r="R849" t="e">
            <v>#N/A</v>
          </cell>
        </row>
        <row r="850">
          <cell r="A850" t="str">
            <v/>
          </cell>
          <cell r="B850" t="str">
            <v/>
          </cell>
          <cell r="C850" t="str">
            <v>Future</v>
          </cell>
          <cell r="D850" t="e">
            <v>#N/A</v>
          </cell>
          <cell r="E850">
            <v>-5.1923320158101767</v>
          </cell>
          <cell r="F850">
            <v>43.115968379446869</v>
          </cell>
          <cell r="G850">
            <v>31.613992094860802</v>
          </cell>
          <cell r="H850">
            <v>31.613992094860802</v>
          </cell>
          <cell r="I850" t="e">
            <v>#N/A</v>
          </cell>
          <cell r="J850" t="e">
            <v>#N/A</v>
          </cell>
          <cell r="K850">
            <v>42</v>
          </cell>
          <cell r="L850">
            <v>32</v>
          </cell>
          <cell r="M850" t="e">
            <v>#N/A</v>
          </cell>
          <cell r="N850">
            <v>37</v>
          </cell>
          <cell r="O850" t="e">
            <v>#N/A</v>
          </cell>
          <cell r="P850" t="str">
            <v/>
          </cell>
          <cell r="Q850" t="str">
            <v/>
          </cell>
          <cell r="R850" t="e">
            <v>#N/A</v>
          </cell>
        </row>
        <row r="851">
          <cell r="A851" t="str">
            <v/>
          </cell>
          <cell r="B851" t="str">
            <v/>
          </cell>
          <cell r="C851" t="str">
            <v>Future</v>
          </cell>
          <cell r="D851" t="e">
            <v>#N/A</v>
          </cell>
          <cell r="E851">
            <v>-5.3289723320157103</v>
          </cell>
          <cell r="F851">
            <v>43.145335968379676</v>
          </cell>
          <cell r="G851">
            <v>31.603833992094003</v>
          </cell>
          <cell r="H851">
            <v>31.603833992094003</v>
          </cell>
          <cell r="I851" t="e">
            <v>#N/A</v>
          </cell>
          <cell r="J851" t="e">
            <v>#N/A</v>
          </cell>
          <cell r="K851">
            <v>42</v>
          </cell>
          <cell r="L851">
            <v>32</v>
          </cell>
          <cell r="M851" t="e">
            <v>#N/A</v>
          </cell>
          <cell r="N851">
            <v>37</v>
          </cell>
          <cell r="O851" t="e">
            <v>#N/A</v>
          </cell>
          <cell r="P851" t="str">
            <v/>
          </cell>
          <cell r="Q851" t="str">
            <v/>
          </cell>
          <cell r="R851" t="e">
            <v>#N/A</v>
          </cell>
        </row>
        <row r="852">
          <cell r="A852" t="str">
            <v/>
          </cell>
          <cell r="B852" t="str">
            <v/>
          </cell>
          <cell r="C852" t="str">
            <v>Future</v>
          </cell>
          <cell r="D852" t="e">
            <v>#N/A</v>
          </cell>
          <cell r="E852">
            <v>-5.4656126482212439</v>
          </cell>
          <cell r="F852">
            <v>43.174703557312483</v>
          </cell>
          <cell r="G852">
            <v>31.593675889327205</v>
          </cell>
          <cell r="H852">
            <v>31.593675889327205</v>
          </cell>
          <cell r="I852" t="e">
            <v>#N/A</v>
          </cell>
          <cell r="J852" t="e">
            <v>#N/A</v>
          </cell>
          <cell r="K852">
            <v>42</v>
          </cell>
          <cell r="L852">
            <v>32</v>
          </cell>
          <cell r="M852" t="e">
            <v>#N/A</v>
          </cell>
          <cell r="N852">
            <v>37</v>
          </cell>
          <cell r="O852" t="e">
            <v>#N/A</v>
          </cell>
          <cell r="P852" t="str">
            <v/>
          </cell>
          <cell r="Q852" t="str">
            <v/>
          </cell>
          <cell r="R852" t="e">
            <v>#N/A</v>
          </cell>
        </row>
        <row r="853">
          <cell r="A853" t="str">
            <v/>
          </cell>
          <cell r="B853" t="str">
            <v/>
          </cell>
          <cell r="C853" t="str">
            <v>Future</v>
          </cell>
          <cell r="D853" t="e">
            <v>#N/A</v>
          </cell>
          <cell r="E853">
            <v>-5.6022529644267776</v>
          </cell>
          <cell r="F853">
            <v>43.20407114624529</v>
          </cell>
          <cell r="G853">
            <v>31.583517786560407</v>
          </cell>
          <cell r="H853">
            <v>31.583517786560407</v>
          </cell>
          <cell r="I853" t="e">
            <v>#N/A</v>
          </cell>
          <cell r="J853" t="e">
            <v>#N/A</v>
          </cell>
          <cell r="K853">
            <v>42</v>
          </cell>
          <cell r="L853">
            <v>32</v>
          </cell>
          <cell r="M853" t="e">
            <v>#N/A</v>
          </cell>
          <cell r="N853">
            <v>37</v>
          </cell>
          <cell r="O853" t="e">
            <v>#N/A</v>
          </cell>
          <cell r="P853" t="str">
            <v/>
          </cell>
          <cell r="Q853" t="str">
            <v/>
          </cell>
          <cell r="R853" t="e">
            <v>#N/A</v>
          </cell>
        </row>
        <row r="854">
          <cell r="A854" t="str">
            <v/>
          </cell>
          <cell r="B854" t="str">
            <v/>
          </cell>
          <cell r="C854" t="str">
            <v>Future</v>
          </cell>
          <cell r="D854" t="e">
            <v>#N/A</v>
          </cell>
          <cell r="E854">
            <v>-5.7388932806323112</v>
          </cell>
          <cell r="F854">
            <v>43.233438735178098</v>
          </cell>
          <cell r="G854">
            <v>31.573359683793608</v>
          </cell>
          <cell r="H854">
            <v>31.573359683793608</v>
          </cell>
          <cell r="I854" t="e">
            <v>#N/A</v>
          </cell>
          <cell r="J854" t="e">
            <v>#N/A</v>
          </cell>
          <cell r="K854">
            <v>42</v>
          </cell>
          <cell r="L854">
            <v>32</v>
          </cell>
          <cell r="M854" t="e">
            <v>#N/A</v>
          </cell>
          <cell r="N854">
            <v>37</v>
          </cell>
          <cell r="O854" t="e">
            <v>#N/A</v>
          </cell>
          <cell r="P854" t="str">
            <v/>
          </cell>
          <cell r="Q854" t="str">
            <v/>
          </cell>
          <cell r="R854" t="e">
            <v>#N/A</v>
          </cell>
        </row>
        <row r="855">
          <cell r="A855" t="str">
            <v/>
          </cell>
          <cell r="B855" t="str">
            <v/>
          </cell>
          <cell r="C855" t="str">
            <v>Future</v>
          </cell>
          <cell r="D855" t="e">
            <v>#N/A</v>
          </cell>
          <cell r="E855">
            <v>-5.8755335968378448</v>
          </cell>
          <cell r="F855">
            <v>43.262806324110905</v>
          </cell>
          <cell r="G855">
            <v>31.56320158102681</v>
          </cell>
          <cell r="H855">
            <v>31.56320158102681</v>
          </cell>
          <cell r="I855" t="e">
            <v>#N/A</v>
          </cell>
          <cell r="J855" t="e">
            <v>#N/A</v>
          </cell>
          <cell r="K855">
            <v>42</v>
          </cell>
          <cell r="L855">
            <v>32</v>
          </cell>
          <cell r="M855" t="e">
            <v>#N/A</v>
          </cell>
          <cell r="N855">
            <v>37</v>
          </cell>
          <cell r="O855" t="e">
            <v>#N/A</v>
          </cell>
          <cell r="P855" t="str">
            <v/>
          </cell>
          <cell r="Q855" t="str">
            <v/>
          </cell>
          <cell r="R855" t="e">
            <v>#N/A</v>
          </cell>
        </row>
        <row r="856">
          <cell r="A856" t="str">
            <v/>
          </cell>
          <cell r="B856" t="str">
            <v/>
          </cell>
          <cell r="C856" t="str">
            <v>Future</v>
          </cell>
          <cell r="D856" t="e">
            <v>#N/A</v>
          </cell>
          <cell r="E856">
            <v>-6.0121739130433784</v>
          </cell>
          <cell r="F856">
            <v>43.292173913043712</v>
          </cell>
          <cell r="G856">
            <v>31.553043478260012</v>
          </cell>
          <cell r="H856">
            <v>31.553043478260012</v>
          </cell>
          <cell r="I856" t="e">
            <v>#N/A</v>
          </cell>
          <cell r="J856" t="e">
            <v>#N/A</v>
          </cell>
          <cell r="K856">
            <v>42</v>
          </cell>
          <cell r="L856">
            <v>32</v>
          </cell>
          <cell r="M856" t="e">
            <v>#N/A</v>
          </cell>
          <cell r="N856">
            <v>37</v>
          </cell>
          <cell r="O856" t="e">
            <v>#N/A</v>
          </cell>
          <cell r="P856" t="str">
            <v/>
          </cell>
          <cell r="Q856" t="str">
            <v/>
          </cell>
          <cell r="R856" t="e">
            <v>#N/A</v>
          </cell>
        </row>
        <row r="857">
          <cell r="A857" t="str">
            <v/>
          </cell>
          <cell r="B857" t="str">
            <v/>
          </cell>
          <cell r="C857" t="str">
            <v>Future</v>
          </cell>
          <cell r="D857" t="e">
            <v>#N/A</v>
          </cell>
          <cell r="E857">
            <v>-6.1488142292489121</v>
          </cell>
          <cell r="F857">
            <v>43.321541501976519</v>
          </cell>
          <cell r="G857">
            <v>31.542885375493213</v>
          </cell>
          <cell r="H857">
            <v>31.542885375493213</v>
          </cell>
          <cell r="I857" t="e">
            <v>#N/A</v>
          </cell>
          <cell r="J857" t="e">
            <v>#N/A</v>
          </cell>
          <cell r="K857">
            <v>42</v>
          </cell>
          <cell r="L857">
            <v>32</v>
          </cell>
          <cell r="M857" t="e">
            <v>#N/A</v>
          </cell>
          <cell r="N857">
            <v>37</v>
          </cell>
          <cell r="O857" t="e">
            <v>#N/A</v>
          </cell>
          <cell r="P857" t="str">
            <v/>
          </cell>
          <cell r="Q857" t="str">
            <v/>
          </cell>
          <cell r="R857" t="e">
            <v>#N/A</v>
          </cell>
        </row>
        <row r="858">
          <cell r="A858" t="str">
            <v/>
          </cell>
          <cell r="B858" t="str">
            <v/>
          </cell>
          <cell r="C858" t="str">
            <v>Future</v>
          </cell>
          <cell r="D858" t="e">
            <v>#N/A</v>
          </cell>
          <cell r="E858">
            <v>-6.2854545454544457</v>
          </cell>
          <cell r="F858">
            <v>43.350909090909326</v>
          </cell>
          <cell r="G858">
            <v>31.532727272726415</v>
          </cell>
          <cell r="H858">
            <v>31.532727272726415</v>
          </cell>
          <cell r="I858" t="e">
            <v>#N/A</v>
          </cell>
          <cell r="J858" t="e">
            <v>#N/A</v>
          </cell>
          <cell r="K858">
            <v>42</v>
          </cell>
          <cell r="L858">
            <v>32</v>
          </cell>
          <cell r="M858" t="e">
            <v>#N/A</v>
          </cell>
          <cell r="N858">
            <v>37</v>
          </cell>
          <cell r="O858" t="e">
            <v>#N/A</v>
          </cell>
          <cell r="P858" t="str">
            <v/>
          </cell>
          <cell r="Q858" t="str">
            <v/>
          </cell>
          <cell r="R858" t="e">
            <v>#N/A</v>
          </cell>
        </row>
        <row r="859">
          <cell r="A859" t="str">
            <v/>
          </cell>
          <cell r="B859" t="str">
            <v/>
          </cell>
          <cell r="C859" t="str">
            <v>Future</v>
          </cell>
          <cell r="D859" t="e">
            <v>#N/A</v>
          </cell>
          <cell r="E859">
            <v>-6.4220948616599793</v>
          </cell>
          <cell r="F859">
            <v>43.380276679842133</v>
          </cell>
          <cell r="G859">
            <v>31.522569169959617</v>
          </cell>
          <cell r="H859">
            <v>31.522569169959617</v>
          </cell>
          <cell r="I859" t="e">
            <v>#N/A</v>
          </cell>
          <cell r="J859" t="e">
            <v>#N/A</v>
          </cell>
          <cell r="K859">
            <v>42</v>
          </cell>
          <cell r="L859">
            <v>32</v>
          </cell>
          <cell r="M859" t="e">
            <v>#N/A</v>
          </cell>
          <cell r="N859">
            <v>37</v>
          </cell>
          <cell r="O859" t="e">
            <v>#N/A</v>
          </cell>
          <cell r="P859" t="str">
            <v/>
          </cell>
          <cell r="Q859" t="str">
            <v/>
          </cell>
          <cell r="R859" t="e">
            <v>#N/A</v>
          </cell>
        </row>
        <row r="860">
          <cell r="A860" t="str">
            <v/>
          </cell>
          <cell r="B860" t="str">
            <v/>
          </cell>
          <cell r="C860" t="str">
            <v>Future</v>
          </cell>
          <cell r="D860" t="e">
            <v>#N/A</v>
          </cell>
          <cell r="E860">
            <v>-6.558735177865513</v>
          </cell>
          <cell r="F860">
            <v>43.40964426877494</v>
          </cell>
          <cell r="G860">
            <v>31.512411067192819</v>
          </cell>
          <cell r="H860">
            <v>31.512411067192819</v>
          </cell>
          <cell r="I860" t="e">
            <v>#N/A</v>
          </cell>
          <cell r="J860" t="e">
            <v>#N/A</v>
          </cell>
          <cell r="K860">
            <v>42</v>
          </cell>
          <cell r="L860">
            <v>32</v>
          </cell>
          <cell r="M860" t="e">
            <v>#N/A</v>
          </cell>
          <cell r="N860">
            <v>37</v>
          </cell>
          <cell r="O860" t="e">
            <v>#N/A</v>
          </cell>
          <cell r="P860" t="str">
            <v/>
          </cell>
          <cell r="Q860" t="str">
            <v/>
          </cell>
          <cell r="R860" t="e">
            <v>#N/A</v>
          </cell>
        </row>
        <row r="861">
          <cell r="A861" t="str">
            <v/>
          </cell>
          <cell r="B861" t="str">
            <v/>
          </cell>
          <cell r="C861" t="str">
            <v>Future</v>
          </cell>
          <cell r="D861" t="e">
            <v>#N/A</v>
          </cell>
          <cell r="E861">
            <v>-6.6953754940710466</v>
          </cell>
          <cell r="F861">
            <v>43.439011857707747</v>
          </cell>
          <cell r="G861">
            <v>31.50225296442602</v>
          </cell>
          <cell r="H861">
            <v>31.50225296442602</v>
          </cell>
          <cell r="I861" t="e">
            <v>#N/A</v>
          </cell>
          <cell r="J861" t="e">
            <v>#N/A</v>
          </cell>
          <cell r="K861">
            <v>42</v>
          </cell>
          <cell r="L861">
            <v>32</v>
          </cell>
          <cell r="M861" t="e">
            <v>#N/A</v>
          </cell>
          <cell r="N861">
            <v>37</v>
          </cell>
          <cell r="O861" t="e">
            <v>#N/A</v>
          </cell>
          <cell r="P861" t="str">
            <v/>
          </cell>
          <cell r="Q861" t="str">
            <v/>
          </cell>
          <cell r="R861" t="e">
            <v>#N/A</v>
          </cell>
        </row>
        <row r="862">
          <cell r="A862" t="str">
            <v/>
          </cell>
          <cell r="B862" t="str">
            <v/>
          </cell>
          <cell r="C862" t="str">
            <v>Future</v>
          </cell>
          <cell r="D862" t="e">
            <v>#N/A</v>
          </cell>
          <cell r="E862">
            <v>-6.8320158102765802</v>
          </cell>
          <cell r="F862">
            <v>43.468379446640554</v>
          </cell>
          <cell r="G862">
            <v>31.492094861659222</v>
          </cell>
          <cell r="H862">
            <v>31.492094861659222</v>
          </cell>
          <cell r="I862" t="e">
            <v>#N/A</v>
          </cell>
          <cell r="J862" t="e">
            <v>#N/A</v>
          </cell>
          <cell r="K862">
            <v>42</v>
          </cell>
          <cell r="L862">
            <v>32</v>
          </cell>
          <cell r="M862" t="e">
            <v>#N/A</v>
          </cell>
          <cell r="N862">
            <v>37</v>
          </cell>
          <cell r="O862" t="e">
            <v>#N/A</v>
          </cell>
          <cell r="P862" t="str">
            <v/>
          </cell>
          <cell r="Q862" t="str">
            <v/>
          </cell>
          <cell r="R862" t="e">
            <v>#N/A</v>
          </cell>
        </row>
        <row r="863">
          <cell r="A863" t="str">
            <v/>
          </cell>
          <cell r="B863" t="str">
            <v/>
          </cell>
          <cell r="C863" t="str">
            <v>Future</v>
          </cell>
          <cell r="D863" t="e">
            <v>#N/A</v>
          </cell>
          <cell r="E863">
            <v>-6.9686561264821139</v>
          </cell>
          <cell r="F863">
            <v>43.497747035573362</v>
          </cell>
          <cell r="G863">
            <v>31.481936758892424</v>
          </cell>
          <cell r="H863">
            <v>31.481936758892424</v>
          </cell>
          <cell r="I863" t="e">
            <v>#N/A</v>
          </cell>
          <cell r="J863" t="e">
            <v>#N/A</v>
          </cell>
          <cell r="K863">
            <v>42</v>
          </cell>
          <cell r="L863">
            <v>32</v>
          </cell>
          <cell r="M863" t="e">
            <v>#N/A</v>
          </cell>
          <cell r="N863">
            <v>37</v>
          </cell>
          <cell r="O863" t="e">
            <v>#N/A</v>
          </cell>
          <cell r="P863" t="str">
            <v/>
          </cell>
          <cell r="Q863" t="str">
            <v/>
          </cell>
          <cell r="R863" t="e">
            <v>#N/A</v>
          </cell>
        </row>
        <row r="864">
          <cell r="A864" t="str">
            <v/>
          </cell>
          <cell r="B864" t="str">
            <v/>
          </cell>
          <cell r="C864" t="str">
            <v>Future</v>
          </cell>
          <cell r="D864" t="e">
            <v>#N/A</v>
          </cell>
          <cell r="E864">
            <v>-7.1052964426876475</v>
          </cell>
          <cell r="F864">
            <v>43.527114624506169</v>
          </cell>
          <cell r="G864">
            <v>31.471778656125625</v>
          </cell>
          <cell r="H864">
            <v>31.471778656125625</v>
          </cell>
          <cell r="I864" t="e">
            <v>#N/A</v>
          </cell>
          <cell r="J864" t="e">
            <v>#N/A</v>
          </cell>
          <cell r="K864">
            <v>42</v>
          </cell>
          <cell r="L864">
            <v>32</v>
          </cell>
          <cell r="M864" t="e">
            <v>#N/A</v>
          </cell>
          <cell r="N864">
            <v>37</v>
          </cell>
          <cell r="O864" t="e">
            <v>#N/A</v>
          </cell>
          <cell r="P864" t="str">
            <v/>
          </cell>
          <cell r="Q864" t="str">
            <v/>
          </cell>
          <cell r="R864" t="e">
            <v>#N/A</v>
          </cell>
        </row>
        <row r="865">
          <cell r="A865" t="str">
            <v/>
          </cell>
          <cell r="B865" t="str">
            <v/>
          </cell>
          <cell r="C865" t="str">
            <v>Future</v>
          </cell>
          <cell r="D865" t="e">
            <v>#N/A</v>
          </cell>
          <cell r="E865">
            <v>-7.2419367588931811</v>
          </cell>
          <cell r="F865">
            <v>43.556482213438976</v>
          </cell>
          <cell r="G865">
            <v>31.461620553358827</v>
          </cell>
          <cell r="H865">
            <v>31.461620553358827</v>
          </cell>
          <cell r="I865" t="e">
            <v>#N/A</v>
          </cell>
          <cell r="J865" t="e">
            <v>#N/A</v>
          </cell>
          <cell r="K865">
            <v>42</v>
          </cell>
          <cell r="L865">
            <v>32</v>
          </cell>
          <cell r="M865" t="e">
            <v>#N/A</v>
          </cell>
          <cell r="N865">
            <v>37</v>
          </cell>
          <cell r="O865" t="e">
            <v>#N/A</v>
          </cell>
          <cell r="P865" t="str">
            <v/>
          </cell>
          <cell r="Q865" t="str">
            <v/>
          </cell>
          <cell r="R865" t="e">
            <v>#N/A</v>
          </cell>
        </row>
        <row r="866">
          <cell r="A866" t="str">
            <v/>
          </cell>
          <cell r="B866" t="str">
            <v/>
          </cell>
          <cell r="C866" t="str">
            <v>Future</v>
          </cell>
          <cell r="D866" t="e">
            <v>#N/A</v>
          </cell>
          <cell r="E866">
            <v>-7.3785770750987147</v>
          </cell>
          <cell r="F866">
            <v>43.585849802371783</v>
          </cell>
          <cell r="G866">
            <v>31.451462450592029</v>
          </cell>
          <cell r="H866">
            <v>31.451462450592029</v>
          </cell>
          <cell r="I866" t="e">
            <v>#N/A</v>
          </cell>
          <cell r="J866" t="e">
            <v>#N/A</v>
          </cell>
          <cell r="K866">
            <v>42</v>
          </cell>
          <cell r="L866">
            <v>32</v>
          </cell>
          <cell r="M866" t="e">
            <v>#N/A</v>
          </cell>
          <cell r="N866">
            <v>37</v>
          </cell>
          <cell r="O866" t="e">
            <v>#N/A</v>
          </cell>
          <cell r="P866" t="str">
            <v/>
          </cell>
          <cell r="Q866" t="str">
            <v/>
          </cell>
          <cell r="R866" t="e">
            <v>#N/A</v>
          </cell>
        </row>
        <row r="867">
          <cell r="A867" t="str">
            <v/>
          </cell>
          <cell r="B867" t="str">
            <v/>
          </cell>
          <cell r="C867" t="str">
            <v>Future</v>
          </cell>
          <cell r="D867" t="e">
            <v>#N/A</v>
          </cell>
          <cell r="E867">
            <v>-7.5152173913042484</v>
          </cell>
          <cell r="F867">
            <v>43.61521739130459</v>
          </cell>
          <cell r="G867">
            <v>31.441304347825231</v>
          </cell>
          <cell r="H867">
            <v>31.441304347825231</v>
          </cell>
          <cell r="I867" t="e">
            <v>#N/A</v>
          </cell>
          <cell r="J867" t="e">
            <v>#N/A</v>
          </cell>
          <cell r="K867">
            <v>42</v>
          </cell>
          <cell r="L867">
            <v>32</v>
          </cell>
          <cell r="M867" t="e">
            <v>#N/A</v>
          </cell>
          <cell r="N867">
            <v>37</v>
          </cell>
          <cell r="O867" t="e">
            <v>#N/A</v>
          </cell>
          <cell r="P867" t="str">
            <v/>
          </cell>
          <cell r="Q867" t="str">
            <v/>
          </cell>
          <cell r="R867" t="e">
            <v>#N/A</v>
          </cell>
        </row>
        <row r="868">
          <cell r="A868" t="str">
            <v/>
          </cell>
          <cell r="B868" t="str">
            <v/>
          </cell>
          <cell r="C868" t="str">
            <v>Future</v>
          </cell>
          <cell r="D868" t="e">
            <v>#N/A</v>
          </cell>
          <cell r="E868">
            <v>-7.651857707509782</v>
          </cell>
          <cell r="F868">
            <v>43.644584980237397</v>
          </cell>
          <cell r="G868">
            <v>31.431146245058432</v>
          </cell>
          <cell r="H868">
            <v>31.431146245058432</v>
          </cell>
          <cell r="I868" t="e">
            <v>#N/A</v>
          </cell>
          <cell r="J868" t="e">
            <v>#N/A</v>
          </cell>
          <cell r="K868">
            <v>42</v>
          </cell>
          <cell r="L868">
            <v>32</v>
          </cell>
          <cell r="M868" t="e">
            <v>#N/A</v>
          </cell>
          <cell r="N868">
            <v>37</v>
          </cell>
          <cell r="O868" t="e">
            <v>#N/A</v>
          </cell>
          <cell r="P868" t="str">
            <v/>
          </cell>
          <cell r="Q868" t="str">
            <v/>
          </cell>
          <cell r="R868" t="e">
            <v>#N/A</v>
          </cell>
        </row>
        <row r="869">
          <cell r="A869" t="str">
            <v/>
          </cell>
          <cell r="B869" t="str">
            <v/>
          </cell>
          <cell r="C869" t="str">
            <v>Future</v>
          </cell>
          <cell r="D869" t="e">
            <v>#N/A</v>
          </cell>
          <cell r="E869">
            <v>-7.7884980237153156</v>
          </cell>
          <cell r="F869">
            <v>43.673952569170204</v>
          </cell>
          <cell r="G869">
            <v>31.420988142291634</v>
          </cell>
          <cell r="H869">
            <v>31.420988142291634</v>
          </cell>
          <cell r="I869" t="e">
            <v>#N/A</v>
          </cell>
          <cell r="J869" t="e">
            <v>#N/A</v>
          </cell>
          <cell r="K869">
            <v>42</v>
          </cell>
          <cell r="L869">
            <v>32</v>
          </cell>
          <cell r="M869" t="e">
            <v>#N/A</v>
          </cell>
          <cell r="N869">
            <v>37</v>
          </cell>
          <cell r="O869" t="e">
            <v>#N/A</v>
          </cell>
          <cell r="P869" t="str">
            <v/>
          </cell>
          <cell r="Q869" t="str">
            <v/>
          </cell>
          <cell r="R869" t="e">
            <v>#N/A</v>
          </cell>
        </row>
        <row r="870">
          <cell r="A870" t="str">
            <v/>
          </cell>
          <cell r="B870" t="str">
            <v/>
          </cell>
          <cell r="C870" t="str">
            <v>Future</v>
          </cell>
          <cell r="D870" t="e">
            <v>#N/A</v>
          </cell>
          <cell r="E870">
            <v>-7.9251383399208493</v>
          </cell>
          <cell r="F870">
            <v>43.703320158103011</v>
          </cell>
          <cell r="G870">
            <v>31.410830039524836</v>
          </cell>
          <cell r="H870">
            <v>31.410830039524836</v>
          </cell>
          <cell r="I870" t="e">
            <v>#N/A</v>
          </cell>
          <cell r="J870" t="e">
            <v>#N/A</v>
          </cell>
          <cell r="K870">
            <v>42</v>
          </cell>
          <cell r="L870">
            <v>32</v>
          </cell>
          <cell r="M870" t="e">
            <v>#N/A</v>
          </cell>
          <cell r="N870">
            <v>37</v>
          </cell>
          <cell r="O870" t="e">
            <v>#N/A</v>
          </cell>
          <cell r="P870" t="str">
            <v/>
          </cell>
          <cell r="Q870" t="str">
            <v/>
          </cell>
          <cell r="R870" t="e">
            <v>#N/A</v>
          </cell>
        </row>
        <row r="871">
          <cell r="A871" t="str">
            <v/>
          </cell>
          <cell r="B871" t="str">
            <v/>
          </cell>
          <cell r="C871" t="str">
            <v>Future</v>
          </cell>
          <cell r="D871" t="e">
            <v>#N/A</v>
          </cell>
          <cell r="E871">
            <v>-8.061778656126382</v>
          </cell>
          <cell r="F871">
            <v>43.732687747035818</v>
          </cell>
          <cell r="G871">
            <v>31.400671936758037</v>
          </cell>
          <cell r="H871">
            <v>31.400671936758037</v>
          </cell>
          <cell r="I871" t="e">
            <v>#N/A</v>
          </cell>
          <cell r="J871" t="e">
            <v>#N/A</v>
          </cell>
          <cell r="K871">
            <v>42</v>
          </cell>
          <cell r="L871">
            <v>32</v>
          </cell>
          <cell r="M871" t="e">
            <v>#N/A</v>
          </cell>
          <cell r="N871">
            <v>37</v>
          </cell>
          <cell r="O871" t="e">
            <v>#N/A</v>
          </cell>
          <cell r="P871" t="str">
            <v/>
          </cell>
          <cell r="Q871" t="str">
            <v/>
          </cell>
          <cell r="R871" t="e">
            <v>#N/A</v>
          </cell>
        </row>
        <row r="872">
          <cell r="A872" t="str">
            <v/>
          </cell>
          <cell r="B872" t="str">
            <v/>
          </cell>
          <cell r="C872" t="str">
            <v>Future</v>
          </cell>
          <cell r="D872" t="e">
            <v>#N/A</v>
          </cell>
          <cell r="E872">
            <v>-8.1984189723319147</v>
          </cell>
          <cell r="F872">
            <v>43.762055335968626</v>
          </cell>
          <cell r="G872">
            <v>31.390513833991239</v>
          </cell>
          <cell r="H872">
            <v>31.390513833991239</v>
          </cell>
          <cell r="I872" t="e">
            <v>#N/A</v>
          </cell>
          <cell r="J872" t="e">
            <v>#N/A</v>
          </cell>
          <cell r="K872">
            <v>42</v>
          </cell>
          <cell r="L872">
            <v>32</v>
          </cell>
          <cell r="M872" t="e">
            <v>#N/A</v>
          </cell>
          <cell r="N872">
            <v>37</v>
          </cell>
          <cell r="O872" t="e">
            <v>#N/A</v>
          </cell>
          <cell r="P872" t="str">
            <v/>
          </cell>
          <cell r="Q872" t="str">
            <v/>
          </cell>
          <cell r="R872" t="e">
            <v>#N/A</v>
          </cell>
        </row>
        <row r="873">
          <cell r="A873" t="str">
            <v/>
          </cell>
          <cell r="B873" t="str">
            <v/>
          </cell>
          <cell r="C873" t="str">
            <v>Future</v>
          </cell>
          <cell r="D873" t="e">
            <v>#N/A</v>
          </cell>
          <cell r="E873">
            <v>-8.3350592885374475</v>
          </cell>
          <cell r="F873">
            <v>43.791422924901433</v>
          </cell>
          <cell r="G873">
            <v>31.380355731224441</v>
          </cell>
          <cell r="H873">
            <v>31.380355731224441</v>
          </cell>
          <cell r="I873" t="e">
            <v>#N/A</v>
          </cell>
          <cell r="J873" t="e">
            <v>#N/A</v>
          </cell>
          <cell r="K873">
            <v>42</v>
          </cell>
          <cell r="L873">
            <v>32</v>
          </cell>
          <cell r="M873" t="e">
            <v>#N/A</v>
          </cell>
          <cell r="N873">
            <v>37</v>
          </cell>
          <cell r="O873" t="e">
            <v>#N/A</v>
          </cell>
          <cell r="P873" t="str">
            <v/>
          </cell>
          <cell r="Q873" t="str">
            <v/>
          </cell>
          <cell r="R873" t="e">
            <v>#N/A</v>
          </cell>
        </row>
        <row r="874">
          <cell r="A874" t="str">
            <v/>
          </cell>
          <cell r="B874" t="str">
            <v/>
          </cell>
          <cell r="C874" t="str">
            <v>Future</v>
          </cell>
          <cell r="D874" t="e">
            <v>#N/A</v>
          </cell>
          <cell r="E874">
            <v>-8.4716996047429802</v>
          </cell>
          <cell r="F874">
            <v>43.82079051383424</v>
          </cell>
          <cell r="G874">
            <v>31.370197628457642</v>
          </cell>
          <cell r="H874">
            <v>31.370197628457642</v>
          </cell>
          <cell r="I874" t="e">
            <v>#N/A</v>
          </cell>
          <cell r="J874" t="e">
            <v>#N/A</v>
          </cell>
          <cell r="K874">
            <v>42</v>
          </cell>
          <cell r="L874">
            <v>32</v>
          </cell>
          <cell r="M874" t="e">
            <v>#N/A</v>
          </cell>
          <cell r="N874">
            <v>37</v>
          </cell>
          <cell r="O874" t="e">
            <v>#N/A</v>
          </cell>
          <cell r="P874" t="str">
            <v/>
          </cell>
          <cell r="Q874" t="str">
            <v/>
          </cell>
          <cell r="R874" t="e">
            <v>#N/A</v>
          </cell>
        </row>
        <row r="875">
          <cell r="A875" t="str">
            <v/>
          </cell>
          <cell r="B875" t="str">
            <v/>
          </cell>
          <cell r="C875" t="str">
            <v>Future</v>
          </cell>
          <cell r="D875" t="e">
            <v>#N/A</v>
          </cell>
          <cell r="E875">
            <v>-8.608339920948513</v>
          </cell>
          <cell r="F875">
            <v>43.850158102767047</v>
          </cell>
          <cell r="G875">
            <v>31.360039525690844</v>
          </cell>
          <cell r="H875">
            <v>31.360039525690844</v>
          </cell>
          <cell r="I875" t="e">
            <v>#N/A</v>
          </cell>
          <cell r="J875" t="e">
            <v>#N/A</v>
          </cell>
          <cell r="K875">
            <v>42</v>
          </cell>
          <cell r="L875">
            <v>32</v>
          </cell>
          <cell r="M875" t="e">
            <v>#N/A</v>
          </cell>
          <cell r="N875">
            <v>37</v>
          </cell>
          <cell r="O875" t="e">
            <v>#N/A</v>
          </cell>
          <cell r="P875" t="str">
            <v/>
          </cell>
          <cell r="Q875" t="str">
            <v/>
          </cell>
          <cell r="R875" t="e">
            <v>#N/A</v>
          </cell>
        </row>
        <row r="876">
          <cell r="A876" t="str">
            <v/>
          </cell>
          <cell r="B876" t="str">
            <v/>
          </cell>
          <cell r="C876" t="str">
            <v>Future</v>
          </cell>
          <cell r="D876" t="e">
            <v>#N/A</v>
          </cell>
          <cell r="E876">
            <v>-8.7449802371540457</v>
          </cell>
          <cell r="F876">
            <v>43.879525691699854</v>
          </cell>
          <cell r="G876">
            <v>31.349881422924046</v>
          </cell>
          <cell r="H876">
            <v>31.349881422924046</v>
          </cell>
          <cell r="I876" t="e">
            <v>#N/A</v>
          </cell>
          <cell r="J876" t="e">
            <v>#N/A</v>
          </cell>
          <cell r="K876">
            <v>42</v>
          </cell>
          <cell r="L876">
            <v>32</v>
          </cell>
          <cell r="M876" t="e">
            <v>#N/A</v>
          </cell>
          <cell r="N876">
            <v>37</v>
          </cell>
          <cell r="O876" t="e">
            <v>#N/A</v>
          </cell>
          <cell r="P876" t="str">
            <v/>
          </cell>
          <cell r="Q876" t="str">
            <v/>
          </cell>
          <cell r="R876" t="e">
            <v>#N/A</v>
          </cell>
        </row>
        <row r="877">
          <cell r="A877" t="str">
            <v/>
          </cell>
          <cell r="B877" t="str">
            <v/>
          </cell>
          <cell r="C877" t="str">
            <v>Future</v>
          </cell>
          <cell r="D877" t="e">
            <v>#N/A</v>
          </cell>
          <cell r="E877">
            <v>-8.8816205533595785</v>
          </cell>
          <cell r="F877">
            <v>43.908893280632661</v>
          </cell>
          <cell r="G877">
            <v>31.339723320157248</v>
          </cell>
          <cell r="H877">
            <v>31.339723320157248</v>
          </cell>
          <cell r="I877" t="e">
            <v>#N/A</v>
          </cell>
          <cell r="J877" t="e">
            <v>#N/A</v>
          </cell>
          <cell r="K877">
            <v>42</v>
          </cell>
          <cell r="L877">
            <v>32</v>
          </cell>
          <cell r="M877" t="e">
            <v>#N/A</v>
          </cell>
          <cell r="N877">
            <v>37</v>
          </cell>
          <cell r="O877" t="e">
            <v>#N/A</v>
          </cell>
          <cell r="P877" t="str">
            <v/>
          </cell>
          <cell r="Q877" t="str">
            <v/>
          </cell>
          <cell r="R877" t="e">
            <v>#N/A</v>
          </cell>
        </row>
        <row r="878">
          <cell r="A878" t="str">
            <v/>
          </cell>
          <cell r="B878" t="str">
            <v/>
          </cell>
          <cell r="C878" t="str">
            <v>Future</v>
          </cell>
          <cell r="D878" t="e">
            <v>#N/A</v>
          </cell>
          <cell r="E878">
            <v>-9.0182608695651112</v>
          </cell>
          <cell r="F878">
            <v>43.938260869565468</v>
          </cell>
          <cell r="G878">
            <v>31.329565217390449</v>
          </cell>
          <cell r="H878">
            <v>31.329565217390449</v>
          </cell>
          <cell r="I878" t="e">
            <v>#N/A</v>
          </cell>
          <cell r="J878" t="e">
            <v>#N/A</v>
          </cell>
          <cell r="K878">
            <v>42</v>
          </cell>
          <cell r="L878">
            <v>32</v>
          </cell>
          <cell r="M878" t="e">
            <v>#N/A</v>
          </cell>
          <cell r="N878">
            <v>37</v>
          </cell>
          <cell r="O878" t="e">
            <v>#N/A</v>
          </cell>
          <cell r="P878" t="str">
            <v/>
          </cell>
          <cell r="Q878" t="str">
            <v/>
          </cell>
          <cell r="R878" t="e">
            <v>#N/A</v>
          </cell>
        </row>
        <row r="879">
          <cell r="A879" t="str">
            <v/>
          </cell>
          <cell r="B879" t="str">
            <v/>
          </cell>
          <cell r="C879" t="str">
            <v>Future</v>
          </cell>
          <cell r="D879" t="e">
            <v>#N/A</v>
          </cell>
          <cell r="E879">
            <v>-9.1549011857706439</v>
          </cell>
          <cell r="F879">
            <v>43.967628458498275</v>
          </cell>
          <cell r="G879">
            <v>31.319407114623651</v>
          </cell>
          <cell r="H879">
            <v>31.319407114623651</v>
          </cell>
          <cell r="I879" t="e">
            <v>#N/A</v>
          </cell>
          <cell r="J879" t="e">
            <v>#N/A</v>
          </cell>
          <cell r="K879">
            <v>42</v>
          </cell>
          <cell r="L879">
            <v>32</v>
          </cell>
          <cell r="M879" t="e">
            <v>#N/A</v>
          </cell>
          <cell r="N879">
            <v>37</v>
          </cell>
          <cell r="O879" t="e">
            <v>#N/A</v>
          </cell>
          <cell r="P879" t="str">
            <v/>
          </cell>
          <cell r="Q879" t="str">
            <v/>
          </cell>
          <cell r="R879" t="e">
            <v>#N/A</v>
          </cell>
        </row>
        <row r="880">
          <cell r="A880" t="str">
            <v/>
          </cell>
          <cell r="B880" t="str">
            <v/>
          </cell>
          <cell r="C880" t="str">
            <v>Future</v>
          </cell>
          <cell r="D880" t="e">
            <v>#N/A</v>
          </cell>
          <cell r="E880">
            <v>-9.2915415019761767</v>
          </cell>
          <cell r="F880">
            <v>43.996996047431082</v>
          </cell>
          <cell r="G880">
            <v>31.309249011856853</v>
          </cell>
          <cell r="H880">
            <v>31.309249011856853</v>
          </cell>
          <cell r="I880" t="e">
            <v>#N/A</v>
          </cell>
          <cell r="J880" t="e">
            <v>#N/A</v>
          </cell>
          <cell r="K880">
            <v>42</v>
          </cell>
          <cell r="L880">
            <v>32</v>
          </cell>
          <cell r="M880" t="e">
            <v>#N/A</v>
          </cell>
          <cell r="N880">
            <v>37</v>
          </cell>
          <cell r="O880" t="e">
            <v>#N/A</v>
          </cell>
          <cell r="P880" t="str">
            <v/>
          </cell>
          <cell r="Q880" t="str">
            <v/>
          </cell>
          <cell r="R880" t="e">
            <v>#N/A</v>
          </cell>
        </row>
        <row r="881">
          <cell r="A881" t="str">
            <v/>
          </cell>
          <cell r="B881" t="str">
            <v/>
          </cell>
          <cell r="C881" t="str">
            <v>Future</v>
          </cell>
          <cell r="D881" t="e">
            <v>#N/A</v>
          </cell>
          <cell r="E881">
            <v>-9.4281818181817094</v>
          </cell>
          <cell r="F881">
            <v>44.026363636363889</v>
          </cell>
          <cell r="G881">
            <v>31.299090909090054</v>
          </cell>
          <cell r="H881">
            <v>31.299090909090054</v>
          </cell>
          <cell r="I881" t="e">
            <v>#N/A</v>
          </cell>
          <cell r="J881" t="e">
            <v>#N/A</v>
          </cell>
          <cell r="K881">
            <v>42</v>
          </cell>
          <cell r="L881">
            <v>32</v>
          </cell>
          <cell r="M881" t="e">
            <v>#N/A</v>
          </cell>
          <cell r="N881">
            <v>37</v>
          </cell>
          <cell r="O881" t="e">
            <v>#N/A</v>
          </cell>
          <cell r="P881" t="str">
            <v/>
          </cell>
          <cell r="Q881" t="str">
            <v/>
          </cell>
          <cell r="R881" t="e">
            <v>#N/A</v>
          </cell>
        </row>
        <row r="882">
          <cell r="A882" t="str">
            <v/>
          </cell>
          <cell r="B882" t="str">
            <v/>
          </cell>
          <cell r="C882" t="str">
            <v>Future</v>
          </cell>
          <cell r="D882" t="e">
            <v>#N/A</v>
          </cell>
          <cell r="E882">
            <v>-9.5648221343872422</v>
          </cell>
          <cell r="F882">
            <v>44.055731225296697</v>
          </cell>
          <cell r="G882">
            <v>31.288932806323256</v>
          </cell>
          <cell r="H882">
            <v>31.288932806323256</v>
          </cell>
          <cell r="I882" t="e">
            <v>#N/A</v>
          </cell>
          <cell r="J882" t="e">
            <v>#N/A</v>
          </cell>
          <cell r="K882">
            <v>42</v>
          </cell>
          <cell r="L882">
            <v>32</v>
          </cell>
          <cell r="M882" t="e">
            <v>#N/A</v>
          </cell>
          <cell r="N882">
            <v>37</v>
          </cell>
          <cell r="O882" t="e">
            <v>#N/A</v>
          </cell>
          <cell r="P882" t="str">
            <v/>
          </cell>
          <cell r="Q882" t="str">
            <v/>
          </cell>
          <cell r="R882" t="e">
            <v>#N/A</v>
          </cell>
        </row>
        <row r="883">
          <cell r="A883" t="str">
            <v/>
          </cell>
          <cell r="B883" t="str">
            <v/>
          </cell>
          <cell r="C883" t="str">
            <v>Future</v>
          </cell>
          <cell r="D883" t="e">
            <v>#N/A</v>
          </cell>
          <cell r="E883">
            <v>-9.7014624505927749</v>
          </cell>
          <cell r="F883">
            <v>44.085098814229504</v>
          </cell>
          <cell r="G883">
            <v>31.278774703556458</v>
          </cell>
          <cell r="H883">
            <v>31.278774703556458</v>
          </cell>
          <cell r="I883" t="e">
            <v>#N/A</v>
          </cell>
          <cell r="J883" t="e">
            <v>#N/A</v>
          </cell>
          <cell r="K883">
            <v>42</v>
          </cell>
          <cell r="L883">
            <v>32</v>
          </cell>
          <cell r="M883" t="e">
            <v>#N/A</v>
          </cell>
          <cell r="N883">
            <v>37</v>
          </cell>
          <cell r="O883" t="e">
            <v>#N/A</v>
          </cell>
          <cell r="P883" t="str">
            <v/>
          </cell>
          <cell r="Q883" t="str">
            <v/>
          </cell>
          <cell r="R883" t="e">
            <v>#N/A</v>
          </cell>
        </row>
        <row r="884">
          <cell r="A884" t="str">
            <v/>
          </cell>
          <cell r="B884" t="str">
            <v/>
          </cell>
          <cell r="C884" t="str">
            <v>Future</v>
          </cell>
          <cell r="D884" t="e">
            <v>#N/A</v>
          </cell>
          <cell r="E884">
            <v>-9.8381027667983076</v>
          </cell>
          <cell r="F884">
            <v>44.114466403162311</v>
          </cell>
          <cell r="G884">
            <v>31.26861660078966</v>
          </cell>
          <cell r="H884">
            <v>31.26861660078966</v>
          </cell>
          <cell r="I884" t="e">
            <v>#N/A</v>
          </cell>
          <cell r="J884" t="e">
            <v>#N/A</v>
          </cell>
          <cell r="K884">
            <v>42</v>
          </cell>
          <cell r="L884">
            <v>32</v>
          </cell>
          <cell r="M884" t="e">
            <v>#N/A</v>
          </cell>
          <cell r="N884">
            <v>37</v>
          </cell>
          <cell r="O884" t="e">
            <v>#N/A</v>
          </cell>
          <cell r="P884" t="str">
            <v/>
          </cell>
          <cell r="Q884" t="str">
            <v/>
          </cell>
          <cell r="R884" t="e">
            <v>#N/A</v>
          </cell>
        </row>
        <row r="885">
          <cell r="A885" t="str">
            <v/>
          </cell>
          <cell r="B885" t="str">
            <v/>
          </cell>
          <cell r="C885" t="str">
            <v>Future</v>
          </cell>
          <cell r="D885" t="e">
            <v>#N/A</v>
          </cell>
          <cell r="E885">
            <v>-9.9747430830038404</v>
          </cell>
          <cell r="F885">
            <v>44.143833992095118</v>
          </cell>
          <cell r="G885">
            <v>31.258458498022861</v>
          </cell>
          <cell r="H885">
            <v>31.258458498022861</v>
          </cell>
          <cell r="I885" t="e">
            <v>#N/A</v>
          </cell>
          <cell r="J885" t="e">
            <v>#N/A</v>
          </cell>
          <cell r="K885">
            <v>42</v>
          </cell>
          <cell r="L885">
            <v>32</v>
          </cell>
          <cell r="M885" t="e">
            <v>#N/A</v>
          </cell>
          <cell r="N885">
            <v>37</v>
          </cell>
          <cell r="O885" t="e">
            <v>#N/A</v>
          </cell>
          <cell r="P885" t="str">
            <v/>
          </cell>
          <cell r="Q885" t="str">
            <v/>
          </cell>
          <cell r="R885" t="e">
            <v>#N/A</v>
          </cell>
        </row>
        <row r="886">
          <cell r="A886" t="str">
            <v/>
          </cell>
          <cell r="B886" t="str">
            <v/>
          </cell>
          <cell r="C886" t="str">
            <v>Future</v>
          </cell>
          <cell r="D886" t="e">
            <v>#N/A</v>
          </cell>
          <cell r="E886">
            <v>-10.111383399209373</v>
          </cell>
          <cell r="F886">
            <v>44.173201581027925</v>
          </cell>
          <cell r="G886">
            <v>31.248300395256063</v>
          </cell>
          <cell r="H886">
            <v>31.248300395256063</v>
          </cell>
          <cell r="I886" t="e">
            <v>#N/A</v>
          </cell>
          <cell r="J886" t="e">
            <v>#N/A</v>
          </cell>
          <cell r="K886">
            <v>42</v>
          </cell>
          <cell r="L886">
            <v>32</v>
          </cell>
          <cell r="M886" t="e">
            <v>#N/A</v>
          </cell>
          <cell r="N886">
            <v>37</v>
          </cell>
          <cell r="O886" t="e">
            <v>#N/A</v>
          </cell>
          <cell r="P886" t="str">
            <v/>
          </cell>
          <cell r="Q886" t="str">
            <v/>
          </cell>
          <cell r="R886" t="e">
            <v>#N/A</v>
          </cell>
        </row>
        <row r="887">
          <cell r="A887" t="str">
            <v/>
          </cell>
          <cell r="B887" t="str">
            <v/>
          </cell>
          <cell r="C887" t="str">
            <v>Future</v>
          </cell>
          <cell r="D887" t="e">
            <v>#N/A</v>
          </cell>
          <cell r="E887">
            <v>-10.248023715414906</v>
          </cell>
          <cell r="F887">
            <v>44.202569169960732</v>
          </cell>
          <cell r="G887">
            <v>31.238142292489265</v>
          </cell>
          <cell r="H887">
            <v>31.238142292489265</v>
          </cell>
          <cell r="I887" t="e">
            <v>#N/A</v>
          </cell>
          <cell r="J887" t="e">
            <v>#N/A</v>
          </cell>
          <cell r="K887">
            <v>42</v>
          </cell>
          <cell r="L887">
            <v>32</v>
          </cell>
          <cell r="M887" t="e">
            <v>#N/A</v>
          </cell>
          <cell r="N887">
            <v>37</v>
          </cell>
          <cell r="O887" t="e">
            <v>#N/A</v>
          </cell>
          <cell r="P887" t="str">
            <v/>
          </cell>
          <cell r="Q887" t="str">
            <v/>
          </cell>
          <cell r="R887" t="e">
            <v>#N/A</v>
          </cell>
        </row>
        <row r="888">
          <cell r="A888" t="str">
            <v/>
          </cell>
          <cell r="B888" t="str">
            <v/>
          </cell>
          <cell r="C888" t="str">
            <v>Future</v>
          </cell>
          <cell r="D888" t="e">
            <v>#N/A</v>
          </cell>
          <cell r="E888">
            <v>-10.384664031620439</v>
          </cell>
          <cell r="F888">
            <v>44.231936758893539</v>
          </cell>
          <cell r="G888">
            <v>31.227984189722466</v>
          </cell>
          <cell r="H888">
            <v>31.227984189722466</v>
          </cell>
          <cell r="I888" t="e">
            <v>#N/A</v>
          </cell>
          <cell r="J888" t="e">
            <v>#N/A</v>
          </cell>
          <cell r="K888">
            <v>42</v>
          </cell>
          <cell r="L888">
            <v>32</v>
          </cell>
          <cell r="M888" t="e">
            <v>#N/A</v>
          </cell>
          <cell r="N888">
            <v>37</v>
          </cell>
          <cell r="O888" t="e">
            <v>#N/A</v>
          </cell>
          <cell r="P888" t="str">
            <v/>
          </cell>
          <cell r="Q888" t="str">
            <v/>
          </cell>
          <cell r="R888" t="e">
            <v>#N/A</v>
          </cell>
        </row>
        <row r="889">
          <cell r="A889" t="str">
            <v/>
          </cell>
          <cell r="B889" t="str">
            <v/>
          </cell>
          <cell r="C889" t="str">
            <v>Future</v>
          </cell>
          <cell r="D889" t="e">
            <v>#N/A</v>
          </cell>
          <cell r="E889">
            <v>-10.521304347825971</v>
          </cell>
          <cell r="F889">
            <v>44.261304347826346</v>
          </cell>
          <cell r="G889">
            <v>31.217826086955668</v>
          </cell>
          <cell r="H889">
            <v>31.217826086955668</v>
          </cell>
          <cell r="I889" t="e">
            <v>#N/A</v>
          </cell>
          <cell r="J889" t="e">
            <v>#N/A</v>
          </cell>
          <cell r="K889">
            <v>42</v>
          </cell>
          <cell r="L889">
            <v>32</v>
          </cell>
          <cell r="M889" t="e">
            <v>#N/A</v>
          </cell>
          <cell r="N889">
            <v>37</v>
          </cell>
          <cell r="O889" t="e">
            <v>#N/A</v>
          </cell>
          <cell r="P889" t="str">
            <v/>
          </cell>
          <cell r="Q889" t="str">
            <v/>
          </cell>
          <cell r="R889" t="e">
            <v>#N/A</v>
          </cell>
        </row>
        <row r="890">
          <cell r="A890" t="str">
            <v/>
          </cell>
          <cell r="B890" t="str">
            <v/>
          </cell>
          <cell r="C890" t="str">
            <v>Future</v>
          </cell>
          <cell r="D890" t="e">
            <v>#N/A</v>
          </cell>
          <cell r="E890">
            <v>-10.657944664031504</v>
          </cell>
          <cell r="F890">
            <v>44.290671936759153</v>
          </cell>
          <cell r="G890">
            <v>31.20766798418887</v>
          </cell>
          <cell r="H890">
            <v>31.20766798418887</v>
          </cell>
          <cell r="I890" t="e">
            <v>#N/A</v>
          </cell>
          <cell r="J890" t="e">
            <v>#N/A</v>
          </cell>
          <cell r="K890">
            <v>42</v>
          </cell>
          <cell r="L890">
            <v>32</v>
          </cell>
          <cell r="M890" t="e">
            <v>#N/A</v>
          </cell>
          <cell r="N890">
            <v>37</v>
          </cell>
          <cell r="O890" t="e">
            <v>#N/A</v>
          </cell>
          <cell r="P890" t="str">
            <v/>
          </cell>
          <cell r="Q890" t="str">
            <v/>
          </cell>
          <cell r="R890" t="e">
            <v>#N/A</v>
          </cell>
        </row>
        <row r="891">
          <cell r="A891" t="str">
            <v/>
          </cell>
          <cell r="B891" t="str">
            <v/>
          </cell>
          <cell r="C891" t="str">
            <v>Future</v>
          </cell>
          <cell r="D891" t="e">
            <v>#N/A</v>
          </cell>
          <cell r="E891">
            <v>-10.794584980237037</v>
          </cell>
          <cell r="F891">
            <v>44.320039525691961</v>
          </cell>
          <cell r="G891">
            <v>31.197509881422071</v>
          </cell>
          <cell r="H891">
            <v>31.197509881422071</v>
          </cell>
          <cell r="I891" t="e">
            <v>#N/A</v>
          </cell>
          <cell r="J891" t="e">
            <v>#N/A</v>
          </cell>
          <cell r="K891">
            <v>42</v>
          </cell>
          <cell r="L891">
            <v>32</v>
          </cell>
          <cell r="M891" t="e">
            <v>#N/A</v>
          </cell>
          <cell r="N891">
            <v>37</v>
          </cell>
          <cell r="O891" t="e">
            <v>#N/A</v>
          </cell>
          <cell r="P891" t="str">
            <v/>
          </cell>
          <cell r="Q891" t="str">
            <v/>
          </cell>
          <cell r="R891" t="e">
            <v>#N/A</v>
          </cell>
        </row>
        <row r="892">
          <cell r="A892" t="str">
            <v/>
          </cell>
          <cell r="B892" t="str">
            <v/>
          </cell>
          <cell r="C892" t="str">
            <v>Future</v>
          </cell>
          <cell r="D892" t="e">
            <v>#N/A</v>
          </cell>
          <cell r="E892">
            <v>-10.93122529644257</v>
          </cell>
          <cell r="F892">
            <v>44.349407114624768</v>
          </cell>
          <cell r="G892">
            <v>31.187351778655273</v>
          </cell>
          <cell r="H892">
            <v>31.187351778655273</v>
          </cell>
          <cell r="I892" t="e">
            <v>#N/A</v>
          </cell>
          <cell r="J892" t="e">
            <v>#N/A</v>
          </cell>
          <cell r="K892">
            <v>42</v>
          </cell>
          <cell r="L892">
            <v>32</v>
          </cell>
          <cell r="M892" t="e">
            <v>#N/A</v>
          </cell>
          <cell r="N892">
            <v>37</v>
          </cell>
          <cell r="O892" t="e">
            <v>#N/A</v>
          </cell>
          <cell r="P892" t="str">
            <v/>
          </cell>
          <cell r="Q892" t="str">
            <v/>
          </cell>
          <cell r="R892" t="e">
            <v>#N/A</v>
          </cell>
        </row>
        <row r="893">
          <cell r="A893" t="str">
            <v/>
          </cell>
          <cell r="B893" t="str">
            <v/>
          </cell>
          <cell r="C893" t="str">
            <v>Future</v>
          </cell>
          <cell r="D893" t="e">
            <v>#N/A</v>
          </cell>
          <cell r="E893">
            <v>-11.067865612648102</v>
          </cell>
          <cell r="F893">
            <v>44.378774703557575</v>
          </cell>
          <cell r="G893">
            <v>31.177193675888475</v>
          </cell>
          <cell r="H893">
            <v>31.177193675888475</v>
          </cell>
          <cell r="I893" t="e">
            <v>#N/A</v>
          </cell>
          <cell r="J893" t="e">
            <v>#N/A</v>
          </cell>
          <cell r="K893">
            <v>42</v>
          </cell>
          <cell r="L893">
            <v>32</v>
          </cell>
          <cell r="M893" t="e">
            <v>#N/A</v>
          </cell>
          <cell r="N893">
            <v>37</v>
          </cell>
          <cell r="O893" t="e">
            <v>#N/A</v>
          </cell>
          <cell r="P893" t="str">
            <v/>
          </cell>
          <cell r="Q893" t="str">
            <v/>
          </cell>
          <cell r="R893" t="e">
            <v>#N/A</v>
          </cell>
        </row>
        <row r="894">
          <cell r="A894" t="str">
            <v/>
          </cell>
          <cell r="B894" t="str">
            <v/>
          </cell>
          <cell r="C894" t="str">
            <v>Future</v>
          </cell>
          <cell r="D894" t="e">
            <v>#N/A</v>
          </cell>
          <cell r="E894">
            <v>-11.204505928853635</v>
          </cell>
          <cell r="F894">
            <v>44.408142292490382</v>
          </cell>
          <cell r="G894">
            <v>31.167035573121677</v>
          </cell>
          <cell r="H894">
            <v>31.167035573121677</v>
          </cell>
          <cell r="I894" t="e">
            <v>#N/A</v>
          </cell>
          <cell r="J894" t="e">
            <v>#N/A</v>
          </cell>
          <cell r="K894">
            <v>42</v>
          </cell>
          <cell r="L894">
            <v>32</v>
          </cell>
          <cell r="M894" t="e">
            <v>#N/A</v>
          </cell>
          <cell r="N894">
            <v>37</v>
          </cell>
          <cell r="O894" t="e">
            <v>#N/A</v>
          </cell>
          <cell r="P894" t="str">
            <v/>
          </cell>
          <cell r="Q894" t="str">
            <v/>
          </cell>
          <cell r="R894" t="e">
            <v>#N/A</v>
          </cell>
        </row>
        <row r="895">
          <cell r="A895" t="str">
            <v/>
          </cell>
          <cell r="B895" t="str">
            <v/>
          </cell>
          <cell r="C895" t="str">
            <v>Future</v>
          </cell>
          <cell r="D895" t="e">
            <v>#N/A</v>
          </cell>
          <cell r="E895">
            <v>-11.341146245059168</v>
          </cell>
          <cell r="F895">
            <v>44.437509881423189</v>
          </cell>
          <cell r="G895">
            <v>31.156877470354878</v>
          </cell>
          <cell r="H895">
            <v>31.156877470354878</v>
          </cell>
          <cell r="I895" t="e">
            <v>#N/A</v>
          </cell>
          <cell r="J895" t="e">
            <v>#N/A</v>
          </cell>
          <cell r="K895">
            <v>42</v>
          </cell>
          <cell r="L895">
            <v>32</v>
          </cell>
          <cell r="M895" t="e">
            <v>#N/A</v>
          </cell>
          <cell r="N895">
            <v>37</v>
          </cell>
          <cell r="O895" t="e">
            <v>#N/A</v>
          </cell>
          <cell r="P895" t="str">
            <v/>
          </cell>
          <cell r="Q895" t="str">
            <v/>
          </cell>
          <cell r="R895" t="e">
            <v>#N/A</v>
          </cell>
        </row>
        <row r="896">
          <cell r="A896" t="str">
            <v/>
          </cell>
          <cell r="B896" t="str">
            <v/>
          </cell>
          <cell r="C896" t="str">
            <v>Future</v>
          </cell>
          <cell r="D896" t="e">
            <v>#N/A</v>
          </cell>
          <cell r="E896">
            <v>-11.477786561264701</v>
          </cell>
          <cell r="F896">
            <v>44.466877470355996</v>
          </cell>
          <cell r="G896">
            <v>31.14671936758808</v>
          </cell>
          <cell r="H896">
            <v>31.14671936758808</v>
          </cell>
          <cell r="I896" t="e">
            <v>#N/A</v>
          </cell>
          <cell r="J896" t="e">
            <v>#N/A</v>
          </cell>
          <cell r="K896">
            <v>42</v>
          </cell>
          <cell r="L896">
            <v>32</v>
          </cell>
          <cell r="M896" t="e">
            <v>#N/A</v>
          </cell>
          <cell r="N896">
            <v>37</v>
          </cell>
          <cell r="O896" t="e">
            <v>#N/A</v>
          </cell>
          <cell r="P896" t="str">
            <v/>
          </cell>
          <cell r="Q896" t="str">
            <v/>
          </cell>
          <cell r="R896" t="e">
            <v>#N/A</v>
          </cell>
        </row>
        <row r="897">
          <cell r="A897" t="str">
            <v/>
          </cell>
          <cell r="B897" t="str">
            <v/>
          </cell>
          <cell r="C897" t="str">
            <v>Future</v>
          </cell>
          <cell r="D897" t="e">
            <v>#N/A</v>
          </cell>
          <cell r="E897">
            <v>-11.614426877470233</v>
          </cell>
          <cell r="F897">
            <v>44.496245059288803</v>
          </cell>
          <cell r="G897">
            <v>31.136561264821282</v>
          </cell>
          <cell r="H897">
            <v>31.136561264821282</v>
          </cell>
          <cell r="I897" t="e">
            <v>#N/A</v>
          </cell>
          <cell r="J897" t="e">
            <v>#N/A</v>
          </cell>
          <cell r="K897">
            <v>42</v>
          </cell>
          <cell r="L897">
            <v>32</v>
          </cell>
          <cell r="M897" t="e">
            <v>#N/A</v>
          </cell>
          <cell r="N897">
            <v>37</v>
          </cell>
          <cell r="O897" t="e">
            <v>#N/A</v>
          </cell>
          <cell r="P897" t="str">
            <v/>
          </cell>
          <cell r="Q897" t="str">
            <v/>
          </cell>
          <cell r="R897" t="e">
            <v>#N/A</v>
          </cell>
        </row>
        <row r="898">
          <cell r="A898" t="str">
            <v/>
          </cell>
          <cell r="B898" t="str">
            <v/>
          </cell>
          <cell r="C898" t="str">
            <v>Future</v>
          </cell>
          <cell r="D898" t="e">
            <v>#N/A</v>
          </cell>
          <cell r="E898">
            <v>-11.751067193675766</v>
          </cell>
          <cell r="F898">
            <v>44.52561264822161</v>
          </cell>
          <cell r="G898">
            <v>31.126403162054483</v>
          </cell>
          <cell r="H898">
            <v>31.126403162054483</v>
          </cell>
          <cell r="I898" t="e">
            <v>#N/A</v>
          </cell>
          <cell r="J898" t="e">
            <v>#N/A</v>
          </cell>
          <cell r="K898">
            <v>42</v>
          </cell>
          <cell r="L898">
            <v>32</v>
          </cell>
          <cell r="M898" t="e">
            <v>#N/A</v>
          </cell>
          <cell r="N898">
            <v>37</v>
          </cell>
          <cell r="O898" t="e">
            <v>#N/A</v>
          </cell>
          <cell r="P898" t="str">
            <v/>
          </cell>
          <cell r="Q898" t="str">
            <v/>
          </cell>
          <cell r="R898" t="e">
            <v>#N/A</v>
          </cell>
        </row>
        <row r="899">
          <cell r="A899" t="str">
            <v/>
          </cell>
          <cell r="B899" t="str">
            <v/>
          </cell>
          <cell r="C899" t="str">
            <v>Future</v>
          </cell>
          <cell r="D899" t="e">
            <v>#N/A</v>
          </cell>
          <cell r="E899">
            <v>-11.887707509881299</v>
          </cell>
          <cell r="F899">
            <v>44.554980237154417</v>
          </cell>
          <cell r="G899">
            <v>31.116245059287685</v>
          </cell>
          <cell r="H899">
            <v>31.116245059287685</v>
          </cell>
          <cell r="I899" t="e">
            <v>#N/A</v>
          </cell>
          <cell r="J899" t="e">
            <v>#N/A</v>
          </cell>
          <cell r="K899">
            <v>42</v>
          </cell>
          <cell r="L899">
            <v>32</v>
          </cell>
          <cell r="M899" t="e">
            <v>#N/A</v>
          </cell>
          <cell r="N899">
            <v>37</v>
          </cell>
          <cell r="O899" t="e">
            <v>#N/A</v>
          </cell>
          <cell r="P899" t="str">
            <v/>
          </cell>
          <cell r="Q899" t="str">
            <v/>
          </cell>
          <cell r="R899" t="e">
            <v>#N/A</v>
          </cell>
        </row>
        <row r="900">
          <cell r="A900" t="str">
            <v/>
          </cell>
          <cell r="B900" t="str">
            <v/>
          </cell>
          <cell r="C900" t="str">
            <v>Future</v>
          </cell>
          <cell r="D900" t="e">
            <v>#N/A</v>
          </cell>
          <cell r="E900">
            <v>-12.024347826086832</v>
          </cell>
          <cell r="F900">
            <v>44.584347826087225</v>
          </cell>
          <cell r="G900">
            <v>31.106086956520887</v>
          </cell>
          <cell r="H900">
            <v>31.106086956520887</v>
          </cell>
          <cell r="I900" t="e">
            <v>#N/A</v>
          </cell>
          <cell r="J900" t="e">
            <v>#N/A</v>
          </cell>
          <cell r="K900">
            <v>42</v>
          </cell>
          <cell r="L900">
            <v>32</v>
          </cell>
          <cell r="M900" t="e">
            <v>#N/A</v>
          </cell>
          <cell r="N900">
            <v>37</v>
          </cell>
          <cell r="O900" t="e">
            <v>#N/A</v>
          </cell>
          <cell r="P900" t="str">
            <v/>
          </cell>
          <cell r="Q900" t="str">
            <v/>
          </cell>
          <cell r="R900" t="e">
            <v>#N/A</v>
          </cell>
        </row>
        <row r="901">
          <cell r="A901" t="str">
            <v/>
          </cell>
          <cell r="B901" t="str">
            <v/>
          </cell>
          <cell r="C901" t="str">
            <v>Future</v>
          </cell>
          <cell r="D901" t="e">
            <v>#N/A</v>
          </cell>
          <cell r="E901">
            <v>-12.160988142292364</v>
          </cell>
          <cell r="F901">
            <v>44.613715415020032</v>
          </cell>
          <cell r="G901">
            <v>31.095928853754089</v>
          </cell>
          <cell r="H901">
            <v>31.095928853754089</v>
          </cell>
          <cell r="I901" t="e">
            <v>#N/A</v>
          </cell>
          <cell r="J901" t="e">
            <v>#N/A</v>
          </cell>
          <cell r="K901">
            <v>42</v>
          </cell>
          <cell r="L901">
            <v>32</v>
          </cell>
          <cell r="M901" t="e">
            <v>#N/A</v>
          </cell>
          <cell r="N901">
            <v>37</v>
          </cell>
          <cell r="O901" t="e">
            <v>#N/A</v>
          </cell>
          <cell r="P901" t="str">
            <v/>
          </cell>
          <cell r="Q901" t="str">
            <v/>
          </cell>
          <cell r="R901" t="e">
            <v>#N/A</v>
          </cell>
        </row>
        <row r="902">
          <cell r="A902" t="str">
            <v/>
          </cell>
          <cell r="B902" t="str">
            <v/>
          </cell>
          <cell r="C902" t="str">
            <v>Future</v>
          </cell>
          <cell r="D902" t="e">
            <v>#N/A</v>
          </cell>
          <cell r="E902">
            <v>-12.297628458497897</v>
          </cell>
          <cell r="F902">
            <v>44.643083003952839</v>
          </cell>
          <cell r="G902">
            <v>31.08577075098729</v>
          </cell>
          <cell r="H902">
            <v>31.08577075098729</v>
          </cell>
          <cell r="I902" t="e">
            <v>#N/A</v>
          </cell>
          <cell r="J902" t="e">
            <v>#N/A</v>
          </cell>
          <cell r="K902">
            <v>42</v>
          </cell>
          <cell r="L902">
            <v>32</v>
          </cell>
          <cell r="M902" t="e">
            <v>#N/A</v>
          </cell>
          <cell r="N902">
            <v>37</v>
          </cell>
          <cell r="O902" t="e">
            <v>#N/A</v>
          </cell>
          <cell r="P902" t="str">
            <v/>
          </cell>
          <cell r="Q902" t="str">
            <v/>
          </cell>
          <cell r="R902" t="e">
            <v>#N/A</v>
          </cell>
        </row>
        <row r="903">
          <cell r="A903" t="str">
            <v/>
          </cell>
          <cell r="B903" t="str">
            <v/>
          </cell>
          <cell r="C903" t="str">
            <v>Future</v>
          </cell>
          <cell r="D903" t="e">
            <v>#N/A</v>
          </cell>
          <cell r="E903">
            <v>-12.43426877470343</v>
          </cell>
          <cell r="F903">
            <v>44.672450592885646</v>
          </cell>
          <cell r="G903">
            <v>31.075612648220492</v>
          </cell>
          <cell r="H903">
            <v>31.075612648220492</v>
          </cell>
          <cell r="I903" t="e">
            <v>#N/A</v>
          </cell>
          <cell r="J903" t="e">
            <v>#N/A</v>
          </cell>
          <cell r="K903">
            <v>42</v>
          </cell>
          <cell r="L903">
            <v>32</v>
          </cell>
          <cell r="M903" t="e">
            <v>#N/A</v>
          </cell>
          <cell r="N903">
            <v>37</v>
          </cell>
          <cell r="O903" t="e">
            <v>#N/A</v>
          </cell>
          <cell r="P903" t="str">
            <v/>
          </cell>
          <cell r="Q903" t="str">
            <v/>
          </cell>
          <cell r="R903" t="e">
            <v>#N/A</v>
          </cell>
        </row>
        <row r="904">
          <cell r="A904" t="str">
            <v/>
          </cell>
          <cell r="B904" t="str">
            <v/>
          </cell>
          <cell r="C904" t="str">
            <v>Future</v>
          </cell>
          <cell r="D904" t="e">
            <v>#N/A</v>
          </cell>
          <cell r="E904">
            <v>-12.570909090908962</v>
          </cell>
          <cell r="F904">
            <v>44.701818181818453</v>
          </cell>
          <cell r="G904">
            <v>31.065454545453694</v>
          </cell>
          <cell r="H904">
            <v>31.065454545453694</v>
          </cell>
          <cell r="I904" t="e">
            <v>#N/A</v>
          </cell>
          <cell r="J904" t="e">
            <v>#N/A</v>
          </cell>
          <cell r="K904">
            <v>42</v>
          </cell>
          <cell r="L904">
            <v>32</v>
          </cell>
          <cell r="M904" t="e">
            <v>#N/A</v>
          </cell>
          <cell r="N904">
            <v>37</v>
          </cell>
          <cell r="O904" t="e">
            <v>#N/A</v>
          </cell>
          <cell r="P904" t="str">
            <v/>
          </cell>
          <cell r="Q904" t="str">
            <v/>
          </cell>
          <cell r="R904" t="e">
            <v>#N/A</v>
          </cell>
        </row>
        <row r="905">
          <cell r="A905" t="str">
            <v/>
          </cell>
          <cell r="B905" t="str">
            <v/>
          </cell>
          <cell r="C905" t="str">
            <v>Future</v>
          </cell>
          <cell r="D905" t="e">
            <v>#N/A</v>
          </cell>
          <cell r="E905">
            <v>-12.707549407114495</v>
          </cell>
          <cell r="F905">
            <v>44.73118577075126</v>
          </cell>
          <cell r="G905">
            <v>31.055296442686895</v>
          </cell>
          <cell r="H905">
            <v>31.055296442686895</v>
          </cell>
          <cell r="I905" t="e">
            <v>#N/A</v>
          </cell>
          <cell r="J905" t="e">
            <v>#N/A</v>
          </cell>
          <cell r="K905">
            <v>42</v>
          </cell>
          <cell r="L905">
            <v>32</v>
          </cell>
          <cell r="M905" t="e">
            <v>#N/A</v>
          </cell>
          <cell r="N905">
            <v>37</v>
          </cell>
          <cell r="O905" t="e">
            <v>#N/A</v>
          </cell>
          <cell r="P905" t="str">
            <v/>
          </cell>
          <cell r="Q905" t="str">
            <v/>
          </cell>
          <cell r="R905" t="e">
            <v>#N/A</v>
          </cell>
        </row>
        <row r="906">
          <cell r="A906" t="str">
            <v/>
          </cell>
          <cell r="B906" t="str">
            <v/>
          </cell>
          <cell r="C906" t="str">
            <v>Future</v>
          </cell>
          <cell r="D906" t="e">
            <v>#N/A</v>
          </cell>
          <cell r="E906">
            <v>-12.844189723320028</v>
          </cell>
          <cell r="F906">
            <v>44.760553359684067</v>
          </cell>
          <cell r="G906">
            <v>31.045138339920097</v>
          </cell>
          <cell r="H906">
            <v>31.045138339920097</v>
          </cell>
          <cell r="I906" t="e">
            <v>#N/A</v>
          </cell>
          <cell r="J906" t="e">
            <v>#N/A</v>
          </cell>
          <cell r="K906">
            <v>42</v>
          </cell>
          <cell r="L906">
            <v>32</v>
          </cell>
          <cell r="M906" t="e">
            <v>#N/A</v>
          </cell>
          <cell r="N906">
            <v>37</v>
          </cell>
          <cell r="O906" t="e">
            <v>#N/A</v>
          </cell>
          <cell r="P906" t="str">
            <v/>
          </cell>
          <cell r="Q906" t="str">
            <v/>
          </cell>
          <cell r="R906" t="e">
            <v>#N/A</v>
          </cell>
        </row>
        <row r="907">
          <cell r="A907" t="str">
            <v/>
          </cell>
          <cell r="B907" t="str">
            <v/>
          </cell>
          <cell r="C907" t="str">
            <v>Future</v>
          </cell>
          <cell r="D907" t="e">
            <v>#N/A</v>
          </cell>
          <cell r="E907">
            <v>-12.980830039525561</v>
          </cell>
          <cell r="F907">
            <v>44.789920948616874</v>
          </cell>
          <cell r="G907">
            <v>31.034980237153299</v>
          </cell>
          <cell r="H907">
            <v>31.034980237153299</v>
          </cell>
          <cell r="I907" t="e">
            <v>#N/A</v>
          </cell>
          <cell r="J907" t="e">
            <v>#N/A</v>
          </cell>
          <cell r="K907">
            <v>42</v>
          </cell>
          <cell r="L907">
            <v>32</v>
          </cell>
          <cell r="M907" t="e">
            <v>#N/A</v>
          </cell>
          <cell r="N907">
            <v>37</v>
          </cell>
          <cell r="O907" t="e">
            <v>#N/A</v>
          </cell>
          <cell r="P907" t="str">
            <v/>
          </cell>
          <cell r="Q907" t="str">
            <v/>
          </cell>
          <cell r="R907" t="e">
            <v>#N/A</v>
          </cell>
        </row>
        <row r="908">
          <cell r="A908" t="str">
            <v/>
          </cell>
          <cell r="B908" t="str">
            <v/>
          </cell>
          <cell r="C908" t="str">
            <v>Future</v>
          </cell>
          <cell r="D908" t="e">
            <v>#N/A</v>
          </cell>
          <cell r="E908">
            <v>-13.117470355731093</v>
          </cell>
          <cell r="F908">
            <v>44.819288537549681</v>
          </cell>
          <cell r="G908">
            <v>31.0248221343865</v>
          </cell>
          <cell r="H908">
            <v>31.0248221343865</v>
          </cell>
          <cell r="I908" t="e">
            <v>#N/A</v>
          </cell>
          <cell r="J908" t="e">
            <v>#N/A</v>
          </cell>
          <cell r="K908">
            <v>42</v>
          </cell>
          <cell r="L908">
            <v>32</v>
          </cell>
          <cell r="M908" t="e">
            <v>#N/A</v>
          </cell>
          <cell r="N908">
            <v>37</v>
          </cell>
          <cell r="O908" t="e">
            <v>#N/A</v>
          </cell>
          <cell r="P908" t="str">
            <v/>
          </cell>
          <cell r="Q908" t="str">
            <v/>
          </cell>
          <cell r="R908" t="e">
            <v>#N/A</v>
          </cell>
        </row>
        <row r="909">
          <cell r="A909" t="str">
            <v/>
          </cell>
          <cell r="B909" t="str">
            <v/>
          </cell>
          <cell r="C909" t="str">
            <v>Future</v>
          </cell>
          <cell r="D909" t="e">
            <v>#N/A</v>
          </cell>
          <cell r="E909">
            <v>-13.254110671936626</v>
          </cell>
          <cell r="F909">
            <v>44.848656126482489</v>
          </cell>
          <cell r="G909">
            <v>31.014664031619702</v>
          </cell>
          <cell r="H909">
            <v>31.014664031619702</v>
          </cell>
          <cell r="I909" t="e">
            <v>#N/A</v>
          </cell>
          <cell r="J909" t="e">
            <v>#N/A</v>
          </cell>
          <cell r="K909">
            <v>42</v>
          </cell>
          <cell r="L909">
            <v>32</v>
          </cell>
          <cell r="M909" t="e">
            <v>#N/A</v>
          </cell>
          <cell r="N909">
            <v>37</v>
          </cell>
          <cell r="O909" t="e">
            <v>#N/A</v>
          </cell>
          <cell r="P909" t="str">
            <v/>
          </cell>
          <cell r="Q909" t="str">
            <v/>
          </cell>
          <cell r="R909" t="e">
            <v>#N/A</v>
          </cell>
        </row>
        <row r="910">
          <cell r="A910" t="str">
            <v/>
          </cell>
          <cell r="B910" t="str">
            <v/>
          </cell>
          <cell r="C910" t="str">
            <v>Future</v>
          </cell>
          <cell r="D910" t="e">
            <v>#N/A</v>
          </cell>
          <cell r="E910">
            <v>-13.390750988142159</v>
          </cell>
          <cell r="F910">
            <v>44.878023715415296</v>
          </cell>
          <cell r="G910">
            <v>31.004505928852904</v>
          </cell>
          <cell r="H910">
            <v>31.004505928852904</v>
          </cell>
          <cell r="I910" t="e">
            <v>#N/A</v>
          </cell>
          <cell r="J910" t="e">
            <v>#N/A</v>
          </cell>
          <cell r="K910">
            <v>42</v>
          </cell>
          <cell r="L910">
            <v>32</v>
          </cell>
          <cell r="M910" t="e">
            <v>#N/A</v>
          </cell>
          <cell r="N910">
            <v>37</v>
          </cell>
          <cell r="O910" t="e">
            <v>#N/A</v>
          </cell>
          <cell r="P910" t="str">
            <v/>
          </cell>
          <cell r="Q910" t="str">
            <v/>
          </cell>
          <cell r="R910" t="e">
            <v>#N/A</v>
          </cell>
        </row>
        <row r="911">
          <cell r="A911" t="str">
            <v/>
          </cell>
          <cell r="B911" t="str">
            <v/>
          </cell>
          <cell r="C911" t="str">
            <v>Future</v>
          </cell>
          <cell r="D911" t="e">
            <v>#N/A</v>
          </cell>
          <cell r="E911">
            <v>-13.527391304347692</v>
          </cell>
          <cell r="F911">
            <v>44.907391304348103</v>
          </cell>
          <cell r="G911">
            <v>30.994347826086106</v>
          </cell>
          <cell r="H911">
            <v>30.994347826086106</v>
          </cell>
          <cell r="I911" t="e">
            <v>#N/A</v>
          </cell>
          <cell r="J911" t="e">
            <v>#N/A</v>
          </cell>
          <cell r="K911">
            <v>42</v>
          </cell>
          <cell r="L911">
            <v>32</v>
          </cell>
          <cell r="M911" t="e">
            <v>#N/A</v>
          </cell>
          <cell r="N911">
            <v>37</v>
          </cell>
          <cell r="O911" t="e">
            <v>#N/A</v>
          </cell>
          <cell r="P911" t="str">
            <v/>
          </cell>
          <cell r="Q911" t="str">
            <v/>
          </cell>
          <cell r="R911" t="e">
            <v>#N/A</v>
          </cell>
        </row>
        <row r="912">
          <cell r="A912" t="str">
            <v/>
          </cell>
          <cell r="B912" t="str">
            <v/>
          </cell>
          <cell r="C912" t="str">
            <v>Future</v>
          </cell>
          <cell r="D912" t="e">
            <v>#N/A</v>
          </cell>
          <cell r="E912">
            <v>-13.664031620553224</v>
          </cell>
          <cell r="F912">
            <v>44.93675889328091</v>
          </cell>
          <cell r="G912">
            <v>30.984189723319307</v>
          </cell>
          <cell r="H912">
            <v>30.984189723319307</v>
          </cell>
          <cell r="I912" t="e">
            <v>#N/A</v>
          </cell>
          <cell r="J912" t="e">
            <v>#N/A</v>
          </cell>
          <cell r="K912">
            <v>42</v>
          </cell>
          <cell r="L912">
            <v>32</v>
          </cell>
          <cell r="M912" t="e">
            <v>#N/A</v>
          </cell>
          <cell r="N912">
            <v>37</v>
          </cell>
          <cell r="O912" t="e">
            <v>#N/A</v>
          </cell>
          <cell r="P912" t="str">
            <v/>
          </cell>
          <cell r="Q912" t="str">
            <v/>
          </cell>
          <cell r="R912" t="e">
            <v>#N/A</v>
          </cell>
        </row>
        <row r="913">
          <cell r="A913" t="str">
            <v/>
          </cell>
          <cell r="B913" t="str">
            <v/>
          </cell>
          <cell r="C913" t="str">
            <v>Future</v>
          </cell>
          <cell r="D913" t="e">
            <v>#N/A</v>
          </cell>
          <cell r="E913">
            <v>-13.800671936758757</v>
          </cell>
          <cell r="F913">
            <v>44.966126482213717</v>
          </cell>
          <cell r="G913">
            <v>30.974031620552509</v>
          </cell>
          <cell r="H913">
            <v>30.974031620552509</v>
          </cell>
          <cell r="I913" t="e">
            <v>#N/A</v>
          </cell>
          <cell r="J913" t="e">
            <v>#N/A</v>
          </cell>
          <cell r="K913">
            <v>42</v>
          </cell>
          <cell r="L913">
            <v>32</v>
          </cell>
          <cell r="M913" t="e">
            <v>#N/A</v>
          </cell>
          <cell r="N913">
            <v>37</v>
          </cell>
          <cell r="O913" t="e">
            <v>#N/A</v>
          </cell>
          <cell r="P913" t="str">
            <v/>
          </cell>
          <cell r="Q913" t="str">
            <v/>
          </cell>
          <cell r="R913" t="e">
            <v>#N/A</v>
          </cell>
        </row>
        <row r="914">
          <cell r="A914" t="str">
            <v/>
          </cell>
          <cell r="B914" t="str">
            <v/>
          </cell>
          <cell r="C914" t="str">
            <v>Future</v>
          </cell>
          <cell r="D914" t="e">
            <v>#N/A</v>
          </cell>
          <cell r="E914">
            <v>-13.93731225296429</v>
          </cell>
          <cell r="F914">
            <v>44.995494071146524</v>
          </cell>
          <cell r="G914">
            <v>30.963873517785711</v>
          </cell>
          <cell r="H914">
            <v>30.963873517785711</v>
          </cell>
          <cell r="I914" t="e">
            <v>#N/A</v>
          </cell>
          <cell r="J914" t="e">
            <v>#N/A</v>
          </cell>
          <cell r="K914">
            <v>42</v>
          </cell>
          <cell r="L914">
            <v>32</v>
          </cell>
          <cell r="M914" t="e">
            <v>#N/A</v>
          </cell>
          <cell r="N914">
            <v>37</v>
          </cell>
          <cell r="O914" t="e">
            <v>#N/A</v>
          </cell>
          <cell r="P914" t="str">
            <v/>
          </cell>
          <cell r="Q914" t="str">
            <v/>
          </cell>
          <cell r="R914" t="e">
            <v>#N/A</v>
          </cell>
        </row>
        <row r="915">
          <cell r="A915" t="str">
            <v/>
          </cell>
          <cell r="B915" t="str">
            <v/>
          </cell>
          <cell r="C915" t="str">
            <v>Future</v>
          </cell>
          <cell r="D915" t="e">
            <v>#N/A</v>
          </cell>
          <cell r="E915">
            <v>-14.073952569169823</v>
          </cell>
          <cell r="F915">
            <v>45.024861660079331</v>
          </cell>
          <cell r="G915">
            <v>30.953715415018912</v>
          </cell>
          <cell r="H915">
            <v>30.953715415018912</v>
          </cell>
          <cell r="I915" t="e">
            <v>#N/A</v>
          </cell>
          <cell r="J915" t="e">
            <v>#N/A</v>
          </cell>
          <cell r="K915">
            <v>42</v>
          </cell>
          <cell r="L915">
            <v>32</v>
          </cell>
          <cell r="M915" t="e">
            <v>#N/A</v>
          </cell>
          <cell r="N915">
            <v>37</v>
          </cell>
          <cell r="O915" t="e">
            <v>#N/A</v>
          </cell>
          <cell r="P915" t="str">
            <v/>
          </cell>
          <cell r="Q915" t="str">
            <v/>
          </cell>
          <cell r="R915" t="e">
            <v>#N/A</v>
          </cell>
        </row>
        <row r="916">
          <cell r="A916" t="str">
            <v/>
          </cell>
          <cell r="B916" t="str">
            <v/>
          </cell>
          <cell r="C916" t="str">
            <v>Future</v>
          </cell>
          <cell r="D916" t="e">
            <v>#N/A</v>
          </cell>
          <cell r="E916">
            <v>-14.210592885375355</v>
          </cell>
          <cell r="F916">
            <v>45.054229249012138</v>
          </cell>
          <cell r="G916">
            <v>30.943557312252114</v>
          </cell>
          <cell r="H916">
            <v>30.943557312252114</v>
          </cell>
          <cell r="I916" t="e">
            <v>#N/A</v>
          </cell>
          <cell r="J916" t="e">
            <v>#N/A</v>
          </cell>
          <cell r="K916">
            <v>42</v>
          </cell>
          <cell r="L916">
            <v>32</v>
          </cell>
          <cell r="M916" t="e">
            <v>#N/A</v>
          </cell>
          <cell r="N916">
            <v>37</v>
          </cell>
          <cell r="O916" t="e">
            <v>#N/A</v>
          </cell>
          <cell r="P916" t="str">
            <v/>
          </cell>
          <cell r="Q916" t="str">
            <v/>
          </cell>
          <cell r="R916" t="e">
            <v>#N/A</v>
          </cell>
        </row>
        <row r="917">
          <cell r="A917" t="str">
            <v/>
          </cell>
          <cell r="B917" t="str">
            <v/>
          </cell>
          <cell r="C917" t="str">
            <v>Future</v>
          </cell>
          <cell r="D917" t="e">
            <v>#N/A</v>
          </cell>
          <cell r="E917">
            <v>-14.347233201580888</v>
          </cell>
          <cell r="F917">
            <v>45.083596837944945</v>
          </cell>
          <cell r="G917">
            <v>30.933399209485316</v>
          </cell>
          <cell r="H917">
            <v>30.933399209485316</v>
          </cell>
          <cell r="I917" t="e">
            <v>#N/A</v>
          </cell>
          <cell r="J917" t="e">
            <v>#N/A</v>
          </cell>
          <cell r="K917">
            <v>42</v>
          </cell>
          <cell r="L917">
            <v>32</v>
          </cell>
          <cell r="M917" t="e">
            <v>#N/A</v>
          </cell>
          <cell r="N917">
            <v>37</v>
          </cell>
          <cell r="O917" t="e">
            <v>#N/A</v>
          </cell>
          <cell r="P917" t="str">
            <v/>
          </cell>
          <cell r="Q917" t="str">
            <v/>
          </cell>
          <cell r="R917" t="e">
            <v>#N/A</v>
          </cell>
        </row>
        <row r="918">
          <cell r="A918" t="str">
            <v/>
          </cell>
          <cell r="B918" t="str">
            <v/>
          </cell>
          <cell r="C918" t="str">
            <v>Future</v>
          </cell>
          <cell r="D918" t="e">
            <v>#N/A</v>
          </cell>
          <cell r="E918">
            <v>-14.483873517786421</v>
          </cell>
          <cell r="F918">
            <v>45.112964426877753</v>
          </cell>
          <cell r="G918">
            <v>30.923241106718518</v>
          </cell>
          <cell r="H918">
            <v>30.923241106718518</v>
          </cell>
          <cell r="I918" t="e">
            <v>#N/A</v>
          </cell>
          <cell r="J918" t="e">
            <v>#N/A</v>
          </cell>
          <cell r="K918">
            <v>42</v>
          </cell>
          <cell r="L918">
            <v>32</v>
          </cell>
          <cell r="M918" t="e">
            <v>#N/A</v>
          </cell>
          <cell r="N918">
            <v>37</v>
          </cell>
          <cell r="O918" t="e">
            <v>#N/A</v>
          </cell>
          <cell r="P918" t="str">
            <v/>
          </cell>
          <cell r="Q918" t="str">
            <v/>
          </cell>
          <cell r="R918" t="e">
            <v>#N/A</v>
          </cell>
        </row>
        <row r="919">
          <cell r="A919" t="str">
            <v/>
          </cell>
          <cell r="B919" t="str">
            <v/>
          </cell>
          <cell r="C919" t="str">
            <v>Future</v>
          </cell>
          <cell r="D919" t="e">
            <v>#N/A</v>
          </cell>
          <cell r="E919">
            <v>-14.620513833991954</v>
          </cell>
          <cell r="F919">
            <v>45.14233201581056</v>
          </cell>
          <cell r="G919">
            <v>30.913083003951719</v>
          </cell>
          <cell r="H919">
            <v>30.913083003951719</v>
          </cell>
          <cell r="I919" t="e">
            <v>#N/A</v>
          </cell>
          <cell r="J919" t="e">
            <v>#N/A</v>
          </cell>
          <cell r="K919">
            <v>42</v>
          </cell>
          <cell r="L919">
            <v>32</v>
          </cell>
          <cell r="M919" t="e">
            <v>#N/A</v>
          </cell>
          <cell r="N919">
            <v>37</v>
          </cell>
          <cell r="O919" t="e">
            <v>#N/A</v>
          </cell>
          <cell r="P919" t="str">
            <v/>
          </cell>
          <cell r="Q919" t="str">
            <v/>
          </cell>
          <cell r="R919" t="e">
            <v>#N/A</v>
          </cell>
        </row>
        <row r="920">
          <cell r="A920" t="str">
            <v/>
          </cell>
          <cell r="B920" t="str">
            <v/>
          </cell>
          <cell r="C920" t="str">
            <v>Future</v>
          </cell>
          <cell r="D920" t="e">
            <v>#N/A</v>
          </cell>
          <cell r="E920">
            <v>-14.757154150197486</v>
          </cell>
          <cell r="F920">
            <v>45.171699604743367</v>
          </cell>
          <cell r="G920">
            <v>30.902924901184921</v>
          </cell>
          <cell r="H920">
            <v>30.902924901184921</v>
          </cell>
          <cell r="I920" t="e">
            <v>#N/A</v>
          </cell>
          <cell r="J920" t="e">
            <v>#N/A</v>
          </cell>
          <cell r="K920">
            <v>42</v>
          </cell>
          <cell r="L920">
            <v>32</v>
          </cell>
          <cell r="M920" t="e">
            <v>#N/A</v>
          </cell>
          <cell r="N920">
            <v>37</v>
          </cell>
          <cell r="O920" t="e">
            <v>#N/A</v>
          </cell>
          <cell r="P920" t="str">
            <v/>
          </cell>
          <cell r="Q920" t="str">
            <v/>
          </cell>
          <cell r="R920" t="e">
            <v>#N/A</v>
          </cell>
        </row>
        <row r="921">
          <cell r="A921" t="str">
            <v/>
          </cell>
          <cell r="B921" t="str">
            <v/>
          </cell>
          <cell r="C921" t="str">
            <v>Future</v>
          </cell>
          <cell r="D921" t="e">
            <v>#N/A</v>
          </cell>
          <cell r="E921">
            <v>-14.893794466403019</v>
          </cell>
          <cell r="F921">
            <v>45.201067193676174</v>
          </cell>
          <cell r="G921">
            <v>30.892766798418123</v>
          </cell>
          <cell r="H921">
            <v>30.892766798418123</v>
          </cell>
          <cell r="I921" t="e">
            <v>#N/A</v>
          </cell>
          <cell r="J921" t="e">
            <v>#N/A</v>
          </cell>
          <cell r="K921">
            <v>42</v>
          </cell>
          <cell r="L921">
            <v>32</v>
          </cell>
          <cell r="M921" t="e">
            <v>#N/A</v>
          </cell>
          <cell r="N921">
            <v>37</v>
          </cell>
          <cell r="O921" t="e">
            <v>#N/A</v>
          </cell>
          <cell r="P921" t="str">
            <v/>
          </cell>
          <cell r="Q921" t="str">
            <v/>
          </cell>
          <cell r="R921" t="e">
            <v>#N/A</v>
          </cell>
        </row>
        <row r="922">
          <cell r="A922" t="str">
            <v/>
          </cell>
          <cell r="B922" t="str">
            <v/>
          </cell>
          <cell r="C922" t="str">
            <v>Future</v>
          </cell>
          <cell r="D922" t="e">
            <v>#N/A</v>
          </cell>
          <cell r="E922">
            <v>-15.030434782608552</v>
          </cell>
          <cell r="F922">
            <v>45.230434782608981</v>
          </cell>
          <cell r="G922">
            <v>30.882608695651324</v>
          </cell>
          <cell r="H922">
            <v>30.882608695651324</v>
          </cell>
          <cell r="I922" t="e">
            <v>#N/A</v>
          </cell>
          <cell r="J922" t="e">
            <v>#N/A</v>
          </cell>
          <cell r="K922">
            <v>42</v>
          </cell>
          <cell r="L922">
            <v>32</v>
          </cell>
          <cell r="M922" t="e">
            <v>#N/A</v>
          </cell>
          <cell r="N922">
            <v>37</v>
          </cell>
          <cell r="O922" t="e">
            <v>#N/A</v>
          </cell>
          <cell r="P922" t="str">
            <v/>
          </cell>
          <cell r="Q922" t="str">
            <v/>
          </cell>
          <cell r="R922" t="e">
            <v>#N/A</v>
          </cell>
        </row>
        <row r="923">
          <cell r="A923" t="str">
            <v/>
          </cell>
          <cell r="B923" t="str">
            <v/>
          </cell>
          <cell r="C923" t="str">
            <v>Future</v>
          </cell>
          <cell r="D923" t="e">
            <v>#N/A</v>
          </cell>
          <cell r="E923">
            <v>-15.167075098814085</v>
          </cell>
          <cell r="F923">
            <v>45.259802371541788</v>
          </cell>
          <cell r="G923">
            <v>30.872450592884526</v>
          </cell>
          <cell r="H923">
            <v>30.872450592884526</v>
          </cell>
          <cell r="I923" t="e">
            <v>#N/A</v>
          </cell>
          <cell r="J923" t="e">
            <v>#N/A</v>
          </cell>
          <cell r="K923">
            <v>42</v>
          </cell>
          <cell r="L923">
            <v>32</v>
          </cell>
          <cell r="M923" t="e">
            <v>#N/A</v>
          </cell>
          <cell r="N923">
            <v>37</v>
          </cell>
          <cell r="O923" t="e">
            <v>#N/A</v>
          </cell>
          <cell r="P923" t="str">
            <v/>
          </cell>
          <cell r="Q923" t="str">
            <v/>
          </cell>
          <cell r="R923" t="e">
            <v>#N/A</v>
          </cell>
        </row>
        <row r="924">
          <cell r="A924" t="str">
            <v/>
          </cell>
          <cell r="B924" t="str">
            <v/>
          </cell>
          <cell r="C924" t="str">
            <v>Future</v>
          </cell>
          <cell r="D924" t="e">
            <v>#N/A</v>
          </cell>
          <cell r="E924">
            <v>-15.303715415019617</v>
          </cell>
          <cell r="F924">
            <v>45.289169960474595</v>
          </cell>
          <cell r="G924">
            <v>30.862292490117728</v>
          </cell>
          <cell r="H924">
            <v>30.862292490117728</v>
          </cell>
          <cell r="I924" t="e">
            <v>#N/A</v>
          </cell>
          <cell r="J924" t="e">
            <v>#N/A</v>
          </cell>
          <cell r="K924">
            <v>42</v>
          </cell>
          <cell r="L924">
            <v>32</v>
          </cell>
          <cell r="M924" t="e">
            <v>#N/A</v>
          </cell>
          <cell r="N924">
            <v>37</v>
          </cell>
          <cell r="O924" t="e">
            <v>#N/A</v>
          </cell>
          <cell r="P924" t="str">
            <v/>
          </cell>
          <cell r="Q924" t="str">
            <v/>
          </cell>
          <cell r="R924" t="e">
            <v>#N/A</v>
          </cell>
        </row>
        <row r="925">
          <cell r="A925" t="str">
            <v/>
          </cell>
          <cell r="B925" t="str">
            <v/>
          </cell>
          <cell r="C925" t="str">
            <v>Future</v>
          </cell>
          <cell r="D925" t="e">
            <v>#N/A</v>
          </cell>
          <cell r="E925">
            <v>-15.44035573122515</v>
          </cell>
          <cell r="F925">
            <v>45.318537549407402</v>
          </cell>
          <cell r="G925">
            <v>30.85213438735093</v>
          </cell>
          <cell r="H925">
            <v>30.85213438735093</v>
          </cell>
          <cell r="I925" t="e">
            <v>#N/A</v>
          </cell>
          <cell r="J925" t="e">
            <v>#N/A</v>
          </cell>
          <cell r="K925">
            <v>42</v>
          </cell>
          <cell r="L925">
            <v>32</v>
          </cell>
          <cell r="M925" t="e">
            <v>#N/A</v>
          </cell>
          <cell r="N925">
            <v>37</v>
          </cell>
          <cell r="O925" t="e">
            <v>#N/A</v>
          </cell>
          <cell r="P925" t="str">
            <v/>
          </cell>
          <cell r="Q925" t="str">
            <v/>
          </cell>
          <cell r="R925" t="e">
            <v>#N/A</v>
          </cell>
        </row>
        <row r="926">
          <cell r="A926" t="str">
            <v/>
          </cell>
          <cell r="B926" t="str">
            <v/>
          </cell>
          <cell r="C926" t="str">
            <v>Future</v>
          </cell>
          <cell r="D926" t="e">
            <v>#N/A</v>
          </cell>
          <cell r="E926">
            <v>-15.576996047430683</v>
          </cell>
          <cell r="F926">
            <v>45.347905138340209</v>
          </cell>
          <cell r="G926">
            <v>30.841976284584131</v>
          </cell>
          <cell r="H926">
            <v>30.841976284584131</v>
          </cell>
          <cell r="I926" t="e">
            <v>#N/A</v>
          </cell>
          <cell r="J926" t="e">
            <v>#N/A</v>
          </cell>
          <cell r="K926">
            <v>42</v>
          </cell>
          <cell r="L926">
            <v>32</v>
          </cell>
          <cell r="M926" t="e">
            <v>#N/A</v>
          </cell>
          <cell r="N926">
            <v>37</v>
          </cell>
          <cell r="O926" t="e">
            <v>#N/A</v>
          </cell>
          <cell r="P926" t="str">
            <v/>
          </cell>
          <cell r="Q926" t="str">
            <v/>
          </cell>
          <cell r="R926" t="e">
            <v>#N/A</v>
          </cell>
        </row>
        <row r="927">
          <cell r="A927" t="str">
            <v/>
          </cell>
          <cell r="B927" t="str">
            <v/>
          </cell>
          <cell r="C927" t="str">
            <v>Future</v>
          </cell>
          <cell r="D927" t="e">
            <v>#N/A</v>
          </cell>
          <cell r="E927">
            <v>-15.713636363636216</v>
          </cell>
          <cell r="F927">
            <v>45.377272727273017</v>
          </cell>
          <cell r="G927">
            <v>30.831818181817333</v>
          </cell>
          <cell r="H927">
            <v>30.831818181817333</v>
          </cell>
          <cell r="I927" t="e">
            <v>#N/A</v>
          </cell>
          <cell r="J927" t="e">
            <v>#N/A</v>
          </cell>
          <cell r="K927">
            <v>42</v>
          </cell>
          <cell r="L927">
            <v>32</v>
          </cell>
          <cell r="M927" t="e">
            <v>#N/A</v>
          </cell>
          <cell r="N927">
            <v>37</v>
          </cell>
          <cell r="O927" t="e">
            <v>#N/A</v>
          </cell>
          <cell r="P927" t="str">
            <v/>
          </cell>
          <cell r="Q927" t="str">
            <v/>
          </cell>
          <cell r="R927" t="e">
            <v>#N/A</v>
          </cell>
        </row>
        <row r="928">
          <cell r="A928" t="str">
            <v/>
          </cell>
          <cell r="B928" t="str">
            <v/>
          </cell>
          <cell r="C928" t="str">
            <v>Future</v>
          </cell>
          <cell r="D928" t="e">
            <v>#N/A</v>
          </cell>
          <cell r="E928">
            <v>-15.850276679841748</v>
          </cell>
          <cell r="F928">
            <v>45.406640316205824</v>
          </cell>
          <cell r="G928">
            <v>30.821660079050535</v>
          </cell>
          <cell r="H928">
            <v>30.821660079050535</v>
          </cell>
          <cell r="I928" t="e">
            <v>#N/A</v>
          </cell>
          <cell r="J928" t="e">
            <v>#N/A</v>
          </cell>
          <cell r="K928">
            <v>42</v>
          </cell>
          <cell r="L928">
            <v>32</v>
          </cell>
          <cell r="M928" t="e">
            <v>#N/A</v>
          </cell>
          <cell r="N928">
            <v>37</v>
          </cell>
          <cell r="O928" t="e">
            <v>#N/A</v>
          </cell>
          <cell r="P928" t="str">
            <v/>
          </cell>
          <cell r="Q928" t="str">
            <v/>
          </cell>
          <cell r="R928" t="e">
            <v>#N/A</v>
          </cell>
        </row>
        <row r="929">
          <cell r="A929" t="str">
            <v/>
          </cell>
          <cell r="B929" t="str">
            <v/>
          </cell>
          <cell r="C929" t="str">
            <v>Future</v>
          </cell>
          <cell r="D929" t="e">
            <v>#N/A</v>
          </cell>
          <cell r="E929">
            <v>-15.986916996047281</v>
          </cell>
          <cell r="F929">
            <v>45.436007905138631</v>
          </cell>
          <cell r="G929">
            <v>30.811501976283736</v>
          </cell>
          <cell r="H929">
            <v>30.811501976283736</v>
          </cell>
          <cell r="I929" t="e">
            <v>#N/A</v>
          </cell>
          <cell r="J929" t="e">
            <v>#N/A</v>
          </cell>
          <cell r="K929">
            <v>42</v>
          </cell>
          <cell r="L929">
            <v>32</v>
          </cell>
          <cell r="M929" t="e">
            <v>#N/A</v>
          </cell>
          <cell r="N929">
            <v>37</v>
          </cell>
          <cell r="O929" t="e">
            <v>#N/A</v>
          </cell>
          <cell r="P929" t="str">
            <v/>
          </cell>
          <cell r="Q929" t="str">
            <v/>
          </cell>
          <cell r="R929" t="e">
            <v>#N/A</v>
          </cell>
        </row>
        <row r="930">
          <cell r="A930" t="str">
            <v/>
          </cell>
          <cell r="B930" t="str">
            <v/>
          </cell>
          <cell r="C930" t="str">
            <v>Future</v>
          </cell>
          <cell r="D930" t="e">
            <v>#N/A</v>
          </cell>
          <cell r="E930">
            <v>-16.123557312252814</v>
          </cell>
          <cell r="F930">
            <v>45.465375494071438</v>
          </cell>
          <cell r="G930">
            <v>30.801343873516938</v>
          </cell>
          <cell r="H930">
            <v>30.801343873516938</v>
          </cell>
          <cell r="I930" t="e">
            <v>#N/A</v>
          </cell>
          <cell r="J930" t="e">
            <v>#N/A</v>
          </cell>
          <cell r="K930">
            <v>42</v>
          </cell>
          <cell r="L930">
            <v>32</v>
          </cell>
          <cell r="M930" t="e">
            <v>#N/A</v>
          </cell>
          <cell r="N930">
            <v>37</v>
          </cell>
          <cell r="O930" t="e">
            <v>#N/A</v>
          </cell>
          <cell r="P930" t="str">
            <v/>
          </cell>
          <cell r="Q930" t="str">
            <v/>
          </cell>
          <cell r="R930" t="e">
            <v>#N/A</v>
          </cell>
        </row>
        <row r="931">
          <cell r="A931" t="str">
            <v/>
          </cell>
          <cell r="B931" t="str">
            <v/>
          </cell>
          <cell r="C931" t="str">
            <v>Future</v>
          </cell>
          <cell r="D931" t="e">
            <v>#N/A</v>
          </cell>
          <cell r="E931">
            <v>-16.260197628458346</v>
          </cell>
          <cell r="F931">
            <v>45.494743083004245</v>
          </cell>
          <cell r="G931">
            <v>30.79118577075014</v>
          </cell>
          <cell r="H931">
            <v>30.79118577075014</v>
          </cell>
          <cell r="I931" t="e">
            <v>#N/A</v>
          </cell>
          <cell r="J931" t="e">
            <v>#N/A</v>
          </cell>
          <cell r="K931">
            <v>42</v>
          </cell>
          <cell r="L931">
            <v>32</v>
          </cell>
          <cell r="M931" t="e">
            <v>#N/A</v>
          </cell>
          <cell r="N931">
            <v>37</v>
          </cell>
          <cell r="O931" t="e">
            <v>#N/A</v>
          </cell>
          <cell r="P931" t="str">
            <v/>
          </cell>
          <cell r="Q931" t="str">
            <v/>
          </cell>
          <cell r="R931" t="e">
            <v>#N/A</v>
          </cell>
        </row>
        <row r="932">
          <cell r="A932" t="str">
            <v/>
          </cell>
          <cell r="B932" t="str">
            <v/>
          </cell>
          <cell r="C932" t="str">
            <v>Future</v>
          </cell>
          <cell r="D932" t="e">
            <v>#N/A</v>
          </cell>
          <cell r="E932">
            <v>-16.396837944663879</v>
          </cell>
          <cell r="F932">
            <v>45.524110671937052</v>
          </cell>
          <cell r="G932">
            <v>30.781027667983341</v>
          </cell>
          <cell r="H932">
            <v>30.781027667983341</v>
          </cell>
          <cell r="I932" t="e">
            <v>#N/A</v>
          </cell>
          <cell r="J932" t="e">
            <v>#N/A</v>
          </cell>
          <cell r="K932">
            <v>42</v>
          </cell>
          <cell r="L932">
            <v>32</v>
          </cell>
          <cell r="M932" t="e">
            <v>#N/A</v>
          </cell>
          <cell r="N932">
            <v>37</v>
          </cell>
          <cell r="O932" t="e">
            <v>#N/A</v>
          </cell>
          <cell r="P932" t="str">
            <v/>
          </cell>
          <cell r="Q932" t="str">
            <v/>
          </cell>
          <cell r="R932" t="e">
            <v>#N/A</v>
          </cell>
        </row>
        <row r="933">
          <cell r="A933" t="str">
            <v/>
          </cell>
          <cell r="B933" t="str">
            <v/>
          </cell>
          <cell r="C933" t="str">
            <v>Future</v>
          </cell>
          <cell r="D933" t="e">
            <v>#N/A</v>
          </cell>
          <cell r="E933">
            <v>-16.533478260869412</v>
          </cell>
          <cell r="F933">
            <v>45.553478260869859</v>
          </cell>
          <cell r="G933">
            <v>30.770869565216543</v>
          </cell>
          <cell r="H933">
            <v>30.770869565216543</v>
          </cell>
          <cell r="I933" t="e">
            <v>#N/A</v>
          </cell>
          <cell r="J933" t="e">
            <v>#N/A</v>
          </cell>
          <cell r="K933">
            <v>42</v>
          </cell>
          <cell r="L933">
            <v>32</v>
          </cell>
          <cell r="M933" t="e">
            <v>#N/A</v>
          </cell>
          <cell r="N933">
            <v>37</v>
          </cell>
          <cell r="O933" t="e">
            <v>#N/A</v>
          </cell>
          <cell r="P933" t="str">
            <v/>
          </cell>
          <cell r="Q933" t="str">
            <v/>
          </cell>
          <cell r="R933" t="e">
            <v>#N/A</v>
          </cell>
        </row>
        <row r="934">
          <cell r="A934" t="str">
            <v/>
          </cell>
          <cell r="B934" t="str">
            <v/>
          </cell>
          <cell r="C934" t="str">
            <v>Future</v>
          </cell>
          <cell r="D934" t="e">
            <v>#N/A</v>
          </cell>
          <cell r="E934">
            <v>-16.670118577074945</v>
          </cell>
          <cell r="F934">
            <v>45.582845849802666</v>
          </cell>
          <cell r="G934">
            <v>30.760711462449745</v>
          </cell>
          <cell r="H934">
            <v>30.760711462449745</v>
          </cell>
          <cell r="I934" t="e">
            <v>#N/A</v>
          </cell>
          <cell r="J934" t="e">
            <v>#N/A</v>
          </cell>
          <cell r="K934">
            <v>42</v>
          </cell>
          <cell r="L934">
            <v>32</v>
          </cell>
          <cell r="M934" t="e">
            <v>#N/A</v>
          </cell>
          <cell r="N934">
            <v>37</v>
          </cell>
          <cell r="O934" t="e">
            <v>#N/A</v>
          </cell>
          <cell r="P934" t="str">
            <v/>
          </cell>
          <cell r="Q934" t="str">
            <v/>
          </cell>
          <cell r="R934" t="e">
            <v>#N/A</v>
          </cell>
        </row>
        <row r="935">
          <cell r="A935" t="str">
            <v/>
          </cell>
          <cell r="B935" t="str">
            <v/>
          </cell>
          <cell r="C935" t="str">
            <v>Future</v>
          </cell>
          <cell r="D935" t="e">
            <v>#N/A</v>
          </cell>
          <cell r="E935">
            <v>-16.806758893280477</v>
          </cell>
          <cell r="F935">
            <v>45.612213438735473</v>
          </cell>
          <cell r="G935">
            <v>30.750553359682947</v>
          </cell>
          <cell r="H935">
            <v>30.750553359682947</v>
          </cell>
          <cell r="I935" t="e">
            <v>#N/A</v>
          </cell>
          <cell r="J935" t="e">
            <v>#N/A</v>
          </cell>
          <cell r="K935">
            <v>42</v>
          </cell>
          <cell r="L935">
            <v>32</v>
          </cell>
          <cell r="M935" t="e">
            <v>#N/A</v>
          </cell>
          <cell r="N935">
            <v>37</v>
          </cell>
          <cell r="O935" t="e">
            <v>#N/A</v>
          </cell>
          <cell r="P935" t="str">
            <v/>
          </cell>
          <cell r="Q935" t="str">
            <v/>
          </cell>
          <cell r="R935" t="e">
            <v>#N/A</v>
          </cell>
        </row>
        <row r="936">
          <cell r="A936" t="str">
            <v/>
          </cell>
          <cell r="B936" t="str">
            <v/>
          </cell>
          <cell r="C936" t="str">
            <v>Future</v>
          </cell>
          <cell r="D936" t="e">
            <v>#N/A</v>
          </cell>
          <cell r="E936">
            <v>-16.94339920948601</v>
          </cell>
          <cell r="F936">
            <v>45.641581027668281</v>
          </cell>
          <cell r="G936">
            <v>30.740395256916148</v>
          </cell>
          <cell r="H936">
            <v>30.740395256916148</v>
          </cell>
          <cell r="I936" t="e">
            <v>#N/A</v>
          </cell>
          <cell r="J936" t="e">
            <v>#N/A</v>
          </cell>
          <cell r="K936">
            <v>42</v>
          </cell>
          <cell r="L936">
            <v>32</v>
          </cell>
          <cell r="M936" t="e">
            <v>#N/A</v>
          </cell>
          <cell r="N936">
            <v>37</v>
          </cell>
          <cell r="O936" t="e">
            <v>#N/A</v>
          </cell>
          <cell r="P936" t="str">
            <v/>
          </cell>
          <cell r="Q936" t="str">
            <v/>
          </cell>
          <cell r="R936" t="e">
            <v>#N/A</v>
          </cell>
        </row>
        <row r="937">
          <cell r="A937" t="str">
            <v/>
          </cell>
          <cell r="B937" t="str">
            <v/>
          </cell>
          <cell r="C937" t="str">
            <v>Future</v>
          </cell>
          <cell r="D937" t="e">
            <v>#N/A</v>
          </cell>
          <cell r="E937">
            <v>-17.080039525691543</v>
          </cell>
          <cell r="F937">
            <v>45.670948616601088</v>
          </cell>
          <cell r="G937">
            <v>30.73023715414935</v>
          </cell>
          <cell r="H937">
            <v>30.73023715414935</v>
          </cell>
          <cell r="I937" t="e">
            <v>#N/A</v>
          </cell>
          <cell r="J937" t="e">
            <v>#N/A</v>
          </cell>
          <cell r="K937">
            <v>42</v>
          </cell>
          <cell r="L937">
            <v>32</v>
          </cell>
          <cell r="M937" t="e">
            <v>#N/A</v>
          </cell>
          <cell r="N937">
            <v>37</v>
          </cell>
          <cell r="O937" t="e">
            <v>#N/A</v>
          </cell>
          <cell r="P937" t="str">
            <v/>
          </cell>
          <cell r="Q937" t="str">
            <v/>
          </cell>
          <cell r="R937" t="e">
            <v>#N/A</v>
          </cell>
        </row>
        <row r="938">
          <cell r="A938" t="str">
            <v/>
          </cell>
          <cell r="B938" t="str">
            <v/>
          </cell>
          <cell r="C938" t="str">
            <v>Future</v>
          </cell>
          <cell r="D938" t="e">
            <v>#N/A</v>
          </cell>
          <cell r="E938">
            <v>-17.216679841897076</v>
          </cell>
          <cell r="F938">
            <v>45.700316205533895</v>
          </cell>
          <cell r="G938">
            <v>30.720079051382552</v>
          </cell>
          <cell r="H938">
            <v>30.720079051382552</v>
          </cell>
          <cell r="I938" t="e">
            <v>#N/A</v>
          </cell>
          <cell r="J938" t="e">
            <v>#N/A</v>
          </cell>
          <cell r="K938">
            <v>42</v>
          </cell>
          <cell r="L938">
            <v>32</v>
          </cell>
          <cell r="M938" t="e">
            <v>#N/A</v>
          </cell>
          <cell r="N938">
            <v>37</v>
          </cell>
          <cell r="O938" t="e">
            <v>#N/A</v>
          </cell>
          <cell r="P938" t="str">
            <v/>
          </cell>
          <cell r="Q938" t="str">
            <v/>
          </cell>
          <cell r="R938" t="e">
            <v>#N/A</v>
          </cell>
        </row>
        <row r="939">
          <cell r="A939" t="str">
            <v/>
          </cell>
          <cell r="B939" t="str">
            <v/>
          </cell>
          <cell r="C939" t="str">
            <v>Future</v>
          </cell>
          <cell r="D939" t="e">
            <v>#N/A</v>
          </cell>
          <cell r="E939">
            <v>-17.353320158102608</v>
          </cell>
          <cell r="F939">
            <v>45.729683794466702</v>
          </cell>
          <cell r="G939">
            <v>30.709920948615753</v>
          </cell>
          <cell r="H939">
            <v>30.709920948615753</v>
          </cell>
          <cell r="I939" t="e">
            <v>#N/A</v>
          </cell>
          <cell r="J939" t="e">
            <v>#N/A</v>
          </cell>
          <cell r="K939">
            <v>42</v>
          </cell>
          <cell r="L939">
            <v>32</v>
          </cell>
          <cell r="M939" t="e">
            <v>#N/A</v>
          </cell>
          <cell r="N939">
            <v>37</v>
          </cell>
          <cell r="O939" t="e">
            <v>#N/A</v>
          </cell>
          <cell r="P939" t="str">
            <v/>
          </cell>
          <cell r="Q939" t="str">
            <v/>
          </cell>
          <cell r="R939" t="e">
            <v>#N/A</v>
          </cell>
        </row>
        <row r="940">
          <cell r="A940" t="str">
            <v/>
          </cell>
          <cell r="B940" t="str">
            <v/>
          </cell>
          <cell r="C940" t="str">
            <v>Future</v>
          </cell>
          <cell r="D940" t="e">
            <v>#N/A</v>
          </cell>
          <cell r="E940">
            <v>-17.489960474308141</v>
          </cell>
          <cell r="F940">
            <v>45.759051383399509</v>
          </cell>
          <cell r="G940">
            <v>30.699762845848955</v>
          </cell>
          <cell r="H940">
            <v>30.699762845848955</v>
          </cell>
          <cell r="I940" t="e">
            <v>#N/A</v>
          </cell>
          <cell r="J940" t="e">
            <v>#N/A</v>
          </cell>
          <cell r="K940">
            <v>42</v>
          </cell>
          <cell r="L940">
            <v>32</v>
          </cell>
          <cell r="M940" t="e">
            <v>#N/A</v>
          </cell>
          <cell r="N940">
            <v>37</v>
          </cell>
          <cell r="O940" t="e">
            <v>#N/A</v>
          </cell>
          <cell r="P940" t="str">
            <v/>
          </cell>
          <cell r="Q940" t="str">
            <v/>
          </cell>
          <cell r="R940" t="e">
            <v>#N/A</v>
          </cell>
        </row>
        <row r="941">
          <cell r="A941" t="str">
            <v/>
          </cell>
          <cell r="B941" t="str">
            <v/>
          </cell>
          <cell r="C941" t="str">
            <v>Future</v>
          </cell>
          <cell r="D941" t="e">
            <v>#N/A</v>
          </cell>
          <cell r="E941">
            <v>-17.626600790513674</v>
          </cell>
          <cell r="F941">
            <v>45.788418972332316</v>
          </cell>
          <cell r="G941">
            <v>30.689604743082157</v>
          </cell>
          <cell r="H941">
            <v>30.689604743082157</v>
          </cell>
          <cell r="I941" t="e">
            <v>#N/A</v>
          </cell>
          <cell r="J941" t="e">
            <v>#N/A</v>
          </cell>
          <cell r="K941">
            <v>42</v>
          </cell>
          <cell r="L941">
            <v>32</v>
          </cell>
          <cell r="M941" t="e">
            <v>#N/A</v>
          </cell>
          <cell r="N941">
            <v>37</v>
          </cell>
          <cell r="O941" t="e">
            <v>#N/A</v>
          </cell>
          <cell r="P941" t="str">
            <v/>
          </cell>
          <cell r="Q941" t="str">
            <v/>
          </cell>
          <cell r="R941" t="e">
            <v>#N/A</v>
          </cell>
        </row>
        <row r="942">
          <cell r="A942" t="str">
            <v/>
          </cell>
          <cell r="B942" t="str">
            <v/>
          </cell>
          <cell r="C942" t="str">
            <v>Future</v>
          </cell>
          <cell r="D942" t="e">
            <v>#N/A</v>
          </cell>
          <cell r="E942">
            <v>-17.763241106719207</v>
          </cell>
          <cell r="F942">
            <v>45.817786561265123</v>
          </cell>
          <cell r="G942">
            <v>30.679446640315359</v>
          </cell>
          <cell r="H942">
            <v>30.679446640315359</v>
          </cell>
          <cell r="I942" t="e">
            <v>#N/A</v>
          </cell>
          <cell r="J942" t="e">
            <v>#N/A</v>
          </cell>
          <cell r="K942">
            <v>42</v>
          </cell>
          <cell r="L942">
            <v>32</v>
          </cell>
          <cell r="M942" t="e">
            <v>#N/A</v>
          </cell>
          <cell r="N942">
            <v>37</v>
          </cell>
          <cell r="O942" t="e">
            <v>#N/A</v>
          </cell>
          <cell r="P942" t="str">
            <v/>
          </cell>
          <cell r="Q942" t="str">
            <v/>
          </cell>
          <cell r="R942" t="e">
            <v>#N/A</v>
          </cell>
        </row>
        <row r="943">
          <cell r="A943" t="str">
            <v/>
          </cell>
          <cell r="B943" t="str">
            <v/>
          </cell>
          <cell r="C943" t="str">
            <v>Future</v>
          </cell>
          <cell r="D943" t="e">
            <v>#N/A</v>
          </cell>
          <cell r="E943">
            <v>-17.899881422924739</v>
          </cell>
          <cell r="F943">
            <v>45.84715415019793</v>
          </cell>
          <cell r="G943">
            <v>30.66928853754856</v>
          </cell>
          <cell r="H943">
            <v>30.66928853754856</v>
          </cell>
          <cell r="I943" t="e">
            <v>#N/A</v>
          </cell>
          <cell r="J943" t="e">
            <v>#N/A</v>
          </cell>
          <cell r="K943">
            <v>42</v>
          </cell>
          <cell r="L943">
            <v>32</v>
          </cell>
          <cell r="M943" t="e">
            <v>#N/A</v>
          </cell>
          <cell r="N943">
            <v>37</v>
          </cell>
          <cell r="O943" t="e">
            <v>#N/A</v>
          </cell>
          <cell r="P943" t="str">
            <v/>
          </cell>
          <cell r="Q943" t="str">
            <v/>
          </cell>
          <cell r="R943" t="e">
            <v>#N/A</v>
          </cell>
        </row>
        <row r="944">
          <cell r="A944" t="str">
            <v/>
          </cell>
          <cell r="B944" t="str">
            <v/>
          </cell>
          <cell r="C944" t="str">
            <v>Future</v>
          </cell>
          <cell r="D944" t="e">
            <v>#N/A</v>
          </cell>
          <cell r="E944">
            <v>-18.036521739130272</v>
          </cell>
          <cell r="F944">
            <v>45.876521739130737</v>
          </cell>
          <cell r="G944">
            <v>30.659130434781762</v>
          </cell>
          <cell r="H944">
            <v>30.659130434781762</v>
          </cell>
          <cell r="I944" t="e">
            <v>#N/A</v>
          </cell>
          <cell r="J944" t="e">
            <v>#N/A</v>
          </cell>
          <cell r="K944">
            <v>42</v>
          </cell>
          <cell r="L944">
            <v>32</v>
          </cell>
          <cell r="M944" t="e">
            <v>#N/A</v>
          </cell>
          <cell r="N944">
            <v>37</v>
          </cell>
          <cell r="O944" t="e">
            <v>#N/A</v>
          </cell>
          <cell r="P944" t="str">
            <v/>
          </cell>
          <cell r="Q944" t="str">
            <v/>
          </cell>
          <cell r="R944" t="e">
            <v>#N/A</v>
          </cell>
        </row>
        <row r="945">
          <cell r="A945" t="str">
            <v/>
          </cell>
          <cell r="B945" t="str">
            <v/>
          </cell>
          <cell r="C945" t="str">
            <v>Future</v>
          </cell>
          <cell r="D945" t="e">
            <v>#N/A</v>
          </cell>
          <cell r="E945">
            <v>-18.173162055335805</v>
          </cell>
          <cell r="F945">
            <v>45.905889328063544</v>
          </cell>
          <cell r="G945">
            <v>30.648972332014964</v>
          </cell>
          <cell r="H945">
            <v>30.648972332014964</v>
          </cell>
          <cell r="I945" t="e">
            <v>#N/A</v>
          </cell>
          <cell r="J945" t="e">
            <v>#N/A</v>
          </cell>
          <cell r="K945">
            <v>42</v>
          </cell>
          <cell r="L945">
            <v>32</v>
          </cell>
          <cell r="M945" t="e">
            <v>#N/A</v>
          </cell>
          <cell r="N945">
            <v>37</v>
          </cell>
          <cell r="O945" t="e">
            <v>#N/A</v>
          </cell>
          <cell r="P945" t="str">
            <v/>
          </cell>
          <cell r="Q945" t="str">
            <v/>
          </cell>
          <cell r="R945" t="e">
            <v>#N/A</v>
          </cell>
        </row>
        <row r="946">
          <cell r="A946" t="str">
            <v/>
          </cell>
          <cell r="B946" t="str">
            <v/>
          </cell>
          <cell r="C946" t="str">
            <v>Future</v>
          </cell>
          <cell r="D946" t="e">
            <v>#N/A</v>
          </cell>
          <cell r="E946">
            <v>-18.309802371541338</v>
          </cell>
          <cell r="F946">
            <v>45.935256916996352</v>
          </cell>
          <cell r="G946">
            <v>30.638814229248165</v>
          </cell>
          <cell r="H946">
            <v>30.638814229248165</v>
          </cell>
          <cell r="I946" t="e">
            <v>#N/A</v>
          </cell>
          <cell r="J946" t="e">
            <v>#N/A</v>
          </cell>
          <cell r="K946">
            <v>42</v>
          </cell>
          <cell r="L946">
            <v>32</v>
          </cell>
          <cell r="M946" t="e">
            <v>#N/A</v>
          </cell>
          <cell r="N946">
            <v>37</v>
          </cell>
          <cell r="O946" t="e">
            <v>#N/A</v>
          </cell>
          <cell r="P946" t="str">
            <v/>
          </cell>
          <cell r="Q946" t="str">
            <v/>
          </cell>
          <cell r="R946" t="e">
            <v>#N/A</v>
          </cell>
        </row>
        <row r="947">
          <cell r="A947" t="str">
            <v/>
          </cell>
          <cell r="B947" t="str">
            <v/>
          </cell>
          <cell r="C947" t="str">
            <v>Future</v>
          </cell>
          <cell r="D947" t="e">
            <v>#N/A</v>
          </cell>
          <cell r="E947">
            <v>-18.44644268774687</v>
          </cell>
          <cell r="F947">
            <v>45.964624505929159</v>
          </cell>
          <cell r="G947">
            <v>30.628656126481367</v>
          </cell>
          <cell r="H947">
            <v>30.628656126481367</v>
          </cell>
          <cell r="I947" t="e">
            <v>#N/A</v>
          </cell>
          <cell r="J947" t="e">
            <v>#N/A</v>
          </cell>
          <cell r="K947">
            <v>42</v>
          </cell>
          <cell r="L947">
            <v>32</v>
          </cell>
          <cell r="M947" t="e">
            <v>#N/A</v>
          </cell>
          <cell r="N947">
            <v>37</v>
          </cell>
          <cell r="O947" t="e">
            <v>#N/A</v>
          </cell>
          <cell r="P947" t="str">
            <v/>
          </cell>
          <cell r="Q947" t="str">
            <v/>
          </cell>
          <cell r="R947" t="e">
            <v>#N/A</v>
          </cell>
        </row>
        <row r="948">
          <cell r="A948" t="str">
            <v/>
          </cell>
          <cell r="B948" t="str">
            <v/>
          </cell>
          <cell r="C948" t="str">
            <v>Future</v>
          </cell>
          <cell r="D948" t="e">
            <v>#N/A</v>
          </cell>
          <cell r="E948">
            <v>-18.583083003952403</v>
          </cell>
          <cell r="F948">
            <v>45.993992094861966</v>
          </cell>
          <cell r="G948">
            <v>30.618498023714569</v>
          </cell>
          <cell r="H948">
            <v>30.618498023714569</v>
          </cell>
          <cell r="I948" t="e">
            <v>#N/A</v>
          </cell>
          <cell r="J948" t="e">
            <v>#N/A</v>
          </cell>
          <cell r="K948">
            <v>42</v>
          </cell>
          <cell r="L948">
            <v>32</v>
          </cell>
          <cell r="M948" t="e">
            <v>#N/A</v>
          </cell>
          <cell r="N948">
            <v>37</v>
          </cell>
          <cell r="O948" t="e">
            <v>#N/A</v>
          </cell>
          <cell r="P948" t="str">
            <v/>
          </cell>
          <cell r="Q948" t="str">
            <v/>
          </cell>
          <cell r="R948" t="e">
            <v>#N/A</v>
          </cell>
        </row>
        <row r="949">
          <cell r="A949" t="str">
            <v/>
          </cell>
          <cell r="B949" t="str">
            <v/>
          </cell>
          <cell r="C949" t="str">
            <v>Future</v>
          </cell>
          <cell r="D949" t="e">
            <v>#N/A</v>
          </cell>
          <cell r="E949">
            <v>-18.719723320157936</v>
          </cell>
          <cell r="F949">
            <v>46.023359683794773</v>
          </cell>
          <cell r="G949">
            <v>30.60833992094777</v>
          </cell>
          <cell r="H949">
            <v>30.60833992094777</v>
          </cell>
          <cell r="I949" t="e">
            <v>#N/A</v>
          </cell>
          <cell r="J949" t="e">
            <v>#N/A</v>
          </cell>
          <cell r="K949">
            <v>42</v>
          </cell>
          <cell r="L949">
            <v>32</v>
          </cell>
          <cell r="M949" t="e">
            <v>#N/A</v>
          </cell>
          <cell r="N949">
            <v>37</v>
          </cell>
          <cell r="O949" t="e">
            <v>#N/A</v>
          </cell>
          <cell r="P949" t="str">
            <v/>
          </cell>
          <cell r="Q949" t="str">
            <v/>
          </cell>
          <cell r="R949" t="e">
            <v>#N/A</v>
          </cell>
        </row>
        <row r="950">
          <cell r="A950" t="str">
            <v/>
          </cell>
          <cell r="B950" t="str">
            <v/>
          </cell>
          <cell r="C950" t="str">
            <v>Future</v>
          </cell>
          <cell r="D950" t="e">
            <v>#N/A</v>
          </cell>
          <cell r="E950">
            <v>-18.856363636363469</v>
          </cell>
          <cell r="F950">
            <v>46.05272727272758</v>
          </cell>
          <cell r="G950">
            <v>30.598181818180972</v>
          </cell>
          <cell r="H950">
            <v>30.598181818180972</v>
          </cell>
          <cell r="I950" t="e">
            <v>#N/A</v>
          </cell>
          <cell r="J950" t="e">
            <v>#N/A</v>
          </cell>
          <cell r="K950">
            <v>42</v>
          </cell>
          <cell r="L950">
            <v>32</v>
          </cell>
          <cell r="M950" t="e">
            <v>#N/A</v>
          </cell>
          <cell r="N950">
            <v>37</v>
          </cell>
          <cell r="O950" t="e">
            <v>#N/A</v>
          </cell>
          <cell r="P950" t="str">
            <v/>
          </cell>
          <cell r="Q950" t="str">
            <v/>
          </cell>
          <cell r="R950" t="e">
            <v>#N/A</v>
          </cell>
        </row>
        <row r="951">
          <cell r="A951" t="str">
            <v/>
          </cell>
          <cell r="B951" t="str">
            <v/>
          </cell>
          <cell r="C951" t="str">
            <v>Future</v>
          </cell>
          <cell r="D951" t="e">
            <v>#N/A</v>
          </cell>
          <cell r="E951">
            <v>-18.993003952569001</v>
          </cell>
          <cell r="F951">
            <v>46.082094861660387</v>
          </cell>
          <cell r="G951">
            <v>30.588023715414174</v>
          </cell>
          <cell r="H951">
            <v>30.588023715414174</v>
          </cell>
          <cell r="I951" t="e">
            <v>#N/A</v>
          </cell>
          <cell r="J951" t="e">
            <v>#N/A</v>
          </cell>
          <cell r="K951">
            <v>42</v>
          </cell>
          <cell r="L951">
            <v>32</v>
          </cell>
          <cell r="M951" t="e">
            <v>#N/A</v>
          </cell>
          <cell r="N951">
            <v>37</v>
          </cell>
          <cell r="O951" t="e">
            <v>#N/A</v>
          </cell>
          <cell r="P951" t="str">
            <v/>
          </cell>
          <cell r="Q951" t="str">
            <v/>
          </cell>
          <cell r="R951" t="e">
            <v>#N/A</v>
          </cell>
        </row>
        <row r="952">
          <cell r="A952" t="str">
            <v/>
          </cell>
          <cell r="B952" t="str">
            <v/>
          </cell>
          <cell r="C952" t="str">
            <v>Future</v>
          </cell>
          <cell r="D952" t="e">
            <v>#N/A</v>
          </cell>
          <cell r="E952">
            <v>-19.129644268774534</v>
          </cell>
          <cell r="F952">
            <v>46.111462450593194</v>
          </cell>
          <cell r="G952">
            <v>30.577865612647376</v>
          </cell>
          <cell r="H952">
            <v>30.577865612647376</v>
          </cell>
          <cell r="I952" t="e">
            <v>#N/A</v>
          </cell>
          <cell r="J952" t="e">
            <v>#N/A</v>
          </cell>
          <cell r="K952">
            <v>42</v>
          </cell>
          <cell r="L952">
            <v>32</v>
          </cell>
          <cell r="M952" t="e">
            <v>#N/A</v>
          </cell>
          <cell r="N952">
            <v>37</v>
          </cell>
          <cell r="O952" t="e">
            <v>#N/A</v>
          </cell>
          <cell r="P952" t="str">
            <v/>
          </cell>
          <cell r="Q952" t="str">
            <v/>
          </cell>
          <cell r="R952" t="e">
            <v>#N/A</v>
          </cell>
        </row>
        <row r="953">
          <cell r="A953" t="str">
            <v/>
          </cell>
          <cell r="B953" t="str">
            <v/>
          </cell>
          <cell r="C953" t="str">
            <v>Future</v>
          </cell>
          <cell r="D953" t="e">
            <v>#N/A</v>
          </cell>
          <cell r="E953">
            <v>-19.266284584980067</v>
          </cell>
          <cell r="F953">
            <v>46.140830039526001</v>
          </cell>
          <cell r="G953">
            <v>30.567707509880577</v>
          </cell>
          <cell r="H953">
            <v>30.567707509880577</v>
          </cell>
          <cell r="I953" t="e">
            <v>#N/A</v>
          </cell>
          <cell r="J953" t="e">
            <v>#N/A</v>
          </cell>
          <cell r="K953">
            <v>42</v>
          </cell>
          <cell r="L953">
            <v>32</v>
          </cell>
          <cell r="M953" t="e">
            <v>#N/A</v>
          </cell>
          <cell r="N953">
            <v>37</v>
          </cell>
          <cell r="O953" t="e">
            <v>#N/A</v>
          </cell>
          <cell r="P953" t="str">
            <v/>
          </cell>
          <cell r="Q953" t="str">
            <v/>
          </cell>
          <cell r="R953" t="e">
            <v>#N/A</v>
          </cell>
        </row>
        <row r="954">
          <cell r="A954" t="str">
            <v/>
          </cell>
          <cell r="B954" t="str">
            <v/>
          </cell>
          <cell r="C954" t="str">
            <v>Future</v>
          </cell>
          <cell r="D954" t="e">
            <v>#N/A</v>
          </cell>
          <cell r="E954">
            <v>-19.4029249011856</v>
          </cell>
          <cell r="F954">
            <v>46.170197628458808</v>
          </cell>
          <cell r="G954">
            <v>30.557549407113779</v>
          </cell>
          <cell r="H954">
            <v>30.557549407113779</v>
          </cell>
          <cell r="I954" t="e">
            <v>#N/A</v>
          </cell>
          <cell r="J954" t="e">
            <v>#N/A</v>
          </cell>
          <cell r="K954">
            <v>42</v>
          </cell>
          <cell r="L954">
            <v>32</v>
          </cell>
          <cell r="M954" t="e">
            <v>#N/A</v>
          </cell>
          <cell r="N954">
            <v>37</v>
          </cell>
          <cell r="O954" t="e">
            <v>#N/A</v>
          </cell>
          <cell r="P954" t="str">
            <v/>
          </cell>
          <cell r="Q954" t="str">
            <v/>
          </cell>
          <cell r="R954" t="e">
            <v>#N/A</v>
          </cell>
        </row>
        <row r="955">
          <cell r="A955" t="str">
            <v/>
          </cell>
          <cell r="B955" t="str">
            <v/>
          </cell>
          <cell r="C955" t="str">
            <v>Future</v>
          </cell>
          <cell r="D955" t="e">
            <v>#N/A</v>
          </cell>
          <cell r="E955">
            <v>-19.539565217391132</v>
          </cell>
          <cell r="F955">
            <v>46.199565217391616</v>
          </cell>
          <cell r="G955">
            <v>30.547391304346981</v>
          </cell>
          <cell r="H955">
            <v>30.547391304346981</v>
          </cell>
          <cell r="I955" t="e">
            <v>#N/A</v>
          </cell>
          <cell r="J955" t="e">
            <v>#N/A</v>
          </cell>
          <cell r="K955">
            <v>42</v>
          </cell>
          <cell r="L955">
            <v>32</v>
          </cell>
          <cell r="M955" t="e">
            <v>#N/A</v>
          </cell>
          <cell r="N955">
            <v>37</v>
          </cell>
          <cell r="O955" t="e">
            <v>#N/A</v>
          </cell>
          <cell r="P955" t="str">
            <v/>
          </cell>
          <cell r="Q955" t="str">
            <v/>
          </cell>
          <cell r="R955" t="e">
            <v>#N/A</v>
          </cell>
        </row>
        <row r="956">
          <cell r="A956" t="str">
            <v/>
          </cell>
          <cell r="B956" t="str">
            <v/>
          </cell>
          <cell r="C956" t="str">
            <v>Future</v>
          </cell>
          <cell r="D956" t="e">
            <v>#N/A</v>
          </cell>
          <cell r="E956">
            <v>-19.676205533596665</v>
          </cell>
          <cell r="F956">
            <v>46.228932806324423</v>
          </cell>
          <cell r="G956">
            <v>30.537233201580182</v>
          </cell>
          <cell r="H956">
            <v>30.537233201580182</v>
          </cell>
          <cell r="I956" t="e">
            <v>#N/A</v>
          </cell>
          <cell r="J956" t="e">
            <v>#N/A</v>
          </cell>
          <cell r="K956">
            <v>42</v>
          </cell>
          <cell r="L956">
            <v>32</v>
          </cell>
          <cell r="M956" t="e">
            <v>#N/A</v>
          </cell>
          <cell r="N956">
            <v>37</v>
          </cell>
          <cell r="O956" t="e">
            <v>#N/A</v>
          </cell>
          <cell r="P956" t="str">
            <v/>
          </cell>
          <cell r="Q956" t="str">
            <v/>
          </cell>
          <cell r="R956" t="e">
            <v>#N/A</v>
          </cell>
        </row>
        <row r="957">
          <cell r="A957" t="str">
            <v/>
          </cell>
          <cell r="B957" t="str">
            <v/>
          </cell>
          <cell r="C957" t="str">
            <v>Future</v>
          </cell>
          <cell r="D957" t="e">
            <v>#N/A</v>
          </cell>
          <cell r="E957">
            <v>-19.812845849802198</v>
          </cell>
          <cell r="F957">
            <v>46.25830039525723</v>
          </cell>
          <cell r="G957">
            <v>30.527075098813384</v>
          </cell>
          <cell r="H957">
            <v>30.527075098813384</v>
          </cell>
          <cell r="I957" t="e">
            <v>#N/A</v>
          </cell>
          <cell r="J957" t="e">
            <v>#N/A</v>
          </cell>
          <cell r="K957">
            <v>42</v>
          </cell>
          <cell r="L957">
            <v>32</v>
          </cell>
          <cell r="M957" t="e">
            <v>#N/A</v>
          </cell>
          <cell r="N957">
            <v>37</v>
          </cell>
          <cell r="O957" t="e">
            <v>#N/A</v>
          </cell>
          <cell r="P957" t="str">
            <v/>
          </cell>
          <cell r="Q957" t="str">
            <v/>
          </cell>
          <cell r="R957" t="e">
            <v>#N/A</v>
          </cell>
        </row>
        <row r="958">
          <cell r="A958" t="str">
            <v/>
          </cell>
          <cell r="B958" t="str">
            <v/>
          </cell>
          <cell r="C958" t="str">
            <v>Future</v>
          </cell>
          <cell r="D958" t="e">
            <v>#N/A</v>
          </cell>
          <cell r="E958">
            <v>-19.949486166007731</v>
          </cell>
          <cell r="F958">
            <v>46.287667984190037</v>
          </cell>
          <cell r="G958">
            <v>30.516916996046586</v>
          </cell>
          <cell r="H958">
            <v>30.516916996046586</v>
          </cell>
          <cell r="I958" t="e">
            <v>#N/A</v>
          </cell>
          <cell r="J958" t="e">
            <v>#N/A</v>
          </cell>
          <cell r="K958">
            <v>42</v>
          </cell>
          <cell r="L958">
            <v>32</v>
          </cell>
          <cell r="M958" t="e">
            <v>#N/A</v>
          </cell>
          <cell r="N958">
            <v>37</v>
          </cell>
          <cell r="O958" t="e">
            <v>#N/A</v>
          </cell>
          <cell r="P958" t="str">
            <v/>
          </cell>
          <cell r="Q958" t="str">
            <v/>
          </cell>
          <cell r="R958" t="e">
            <v>#N/A</v>
          </cell>
        </row>
        <row r="959">
          <cell r="A959" t="str">
            <v/>
          </cell>
          <cell r="B959" t="str">
            <v/>
          </cell>
          <cell r="C959" t="str">
            <v>Future</v>
          </cell>
          <cell r="D959" t="e">
            <v>#N/A</v>
          </cell>
          <cell r="E959">
            <v>-20.086126482213263</v>
          </cell>
          <cell r="F959">
            <v>46.317035573122844</v>
          </cell>
          <cell r="G959">
            <v>30.506758893279788</v>
          </cell>
          <cell r="H959">
            <v>30.506758893279788</v>
          </cell>
          <cell r="I959" t="e">
            <v>#N/A</v>
          </cell>
          <cell r="J959" t="e">
            <v>#N/A</v>
          </cell>
          <cell r="K959">
            <v>42</v>
          </cell>
          <cell r="L959">
            <v>32</v>
          </cell>
          <cell r="M959" t="e">
            <v>#N/A</v>
          </cell>
          <cell r="N959">
            <v>37</v>
          </cell>
          <cell r="O959" t="e">
            <v>#N/A</v>
          </cell>
          <cell r="P959" t="str">
            <v/>
          </cell>
          <cell r="Q959" t="str">
            <v/>
          </cell>
          <cell r="R959" t="e">
            <v>#N/A</v>
          </cell>
        </row>
        <row r="960">
          <cell r="A960" t="str">
            <v/>
          </cell>
          <cell r="B960" t="str">
            <v/>
          </cell>
          <cell r="C960" t="str">
            <v>Future</v>
          </cell>
          <cell r="D960" t="e">
            <v>#N/A</v>
          </cell>
          <cell r="E960">
            <v>-20.222766798418796</v>
          </cell>
          <cell r="F960">
            <v>46.346403162055651</v>
          </cell>
          <cell r="G960">
            <v>30.496600790512989</v>
          </cell>
          <cell r="H960">
            <v>30.496600790512989</v>
          </cell>
          <cell r="I960" t="e">
            <v>#N/A</v>
          </cell>
          <cell r="J960" t="e">
            <v>#N/A</v>
          </cell>
          <cell r="K960">
            <v>42</v>
          </cell>
          <cell r="L960">
            <v>32</v>
          </cell>
          <cell r="M960" t="e">
            <v>#N/A</v>
          </cell>
          <cell r="N960">
            <v>37</v>
          </cell>
          <cell r="O960" t="e">
            <v>#N/A</v>
          </cell>
          <cell r="P960" t="str">
            <v/>
          </cell>
          <cell r="Q960" t="str">
            <v/>
          </cell>
          <cell r="R960" t="e">
            <v>#N/A</v>
          </cell>
        </row>
        <row r="961">
          <cell r="A961" t="str">
            <v/>
          </cell>
          <cell r="B961" t="str">
            <v/>
          </cell>
          <cell r="C961" t="str">
            <v>Future</v>
          </cell>
          <cell r="D961" t="e">
            <v>#N/A</v>
          </cell>
          <cell r="E961">
            <v>-20.359407114624329</v>
          </cell>
          <cell r="F961">
            <v>46.375770750988458</v>
          </cell>
          <cell r="G961">
            <v>30.486442687746191</v>
          </cell>
          <cell r="H961">
            <v>30.486442687746191</v>
          </cell>
          <cell r="I961" t="e">
            <v>#N/A</v>
          </cell>
          <cell r="J961" t="e">
            <v>#N/A</v>
          </cell>
          <cell r="K961">
            <v>42</v>
          </cell>
          <cell r="L961">
            <v>32</v>
          </cell>
          <cell r="M961" t="e">
            <v>#N/A</v>
          </cell>
          <cell r="N961">
            <v>37</v>
          </cell>
          <cell r="O961" t="e">
            <v>#N/A</v>
          </cell>
          <cell r="P961" t="str">
            <v/>
          </cell>
          <cell r="Q961" t="str">
            <v/>
          </cell>
          <cell r="R961" t="e">
            <v>#N/A</v>
          </cell>
        </row>
        <row r="962">
          <cell r="A962" t="str">
            <v/>
          </cell>
          <cell r="B962" t="str">
            <v/>
          </cell>
          <cell r="C962" t="str">
            <v>Future</v>
          </cell>
          <cell r="D962" t="e">
            <v>#N/A</v>
          </cell>
          <cell r="E962">
            <v>-20.496047430829861</v>
          </cell>
          <cell r="F962">
            <v>46.405138339921265</v>
          </cell>
          <cell r="G962">
            <v>30.476284584979393</v>
          </cell>
          <cell r="H962">
            <v>30.476284584979393</v>
          </cell>
          <cell r="I962" t="e">
            <v>#N/A</v>
          </cell>
          <cell r="J962" t="e">
            <v>#N/A</v>
          </cell>
          <cell r="K962">
            <v>42</v>
          </cell>
          <cell r="L962">
            <v>32</v>
          </cell>
          <cell r="M962" t="e">
            <v>#N/A</v>
          </cell>
          <cell r="N962">
            <v>37</v>
          </cell>
          <cell r="O962" t="e">
            <v>#N/A</v>
          </cell>
          <cell r="P962" t="str">
            <v/>
          </cell>
          <cell r="Q962" t="str">
            <v/>
          </cell>
          <cell r="R962" t="e">
            <v>#N/A</v>
          </cell>
        </row>
        <row r="963">
          <cell r="A963" t="str">
            <v/>
          </cell>
          <cell r="B963" t="str">
            <v/>
          </cell>
          <cell r="C963" t="str">
            <v>Future</v>
          </cell>
          <cell r="D963" t="e">
            <v>#N/A</v>
          </cell>
          <cell r="E963">
            <v>-20.632687747035394</v>
          </cell>
          <cell r="F963">
            <v>46.434505928854072</v>
          </cell>
          <cell r="G963">
            <v>30.466126482212594</v>
          </cell>
          <cell r="H963">
            <v>30.466126482212594</v>
          </cell>
          <cell r="I963" t="e">
            <v>#N/A</v>
          </cell>
          <cell r="J963" t="e">
            <v>#N/A</v>
          </cell>
          <cell r="K963">
            <v>42</v>
          </cell>
          <cell r="L963">
            <v>32</v>
          </cell>
          <cell r="M963" t="e">
            <v>#N/A</v>
          </cell>
          <cell r="N963">
            <v>37</v>
          </cell>
          <cell r="O963" t="e">
            <v>#N/A</v>
          </cell>
          <cell r="P963" t="str">
            <v/>
          </cell>
          <cell r="Q963" t="str">
            <v/>
          </cell>
          <cell r="R963" t="e">
            <v>#N/A</v>
          </cell>
        </row>
        <row r="964">
          <cell r="A964" t="str">
            <v/>
          </cell>
          <cell r="B964" t="str">
            <v/>
          </cell>
          <cell r="C964" t="str">
            <v>Future</v>
          </cell>
          <cell r="D964" t="e">
            <v>#N/A</v>
          </cell>
          <cell r="E964">
            <v>-20.769328063240927</v>
          </cell>
          <cell r="F964">
            <v>46.46387351778688</v>
          </cell>
          <cell r="G964">
            <v>30.455968379445796</v>
          </cell>
          <cell r="H964">
            <v>30.455968379445796</v>
          </cell>
          <cell r="I964" t="e">
            <v>#N/A</v>
          </cell>
          <cell r="J964" t="e">
            <v>#N/A</v>
          </cell>
          <cell r="K964">
            <v>42</v>
          </cell>
          <cell r="L964">
            <v>32</v>
          </cell>
          <cell r="M964" t="e">
            <v>#N/A</v>
          </cell>
          <cell r="N964">
            <v>37</v>
          </cell>
          <cell r="O964" t="e">
            <v>#N/A</v>
          </cell>
          <cell r="P964" t="str">
            <v/>
          </cell>
          <cell r="Q964" t="str">
            <v/>
          </cell>
          <cell r="R964" t="e">
            <v>#N/A</v>
          </cell>
        </row>
        <row r="965">
          <cell r="A965" t="str">
            <v/>
          </cell>
          <cell r="B965" t="str">
            <v/>
          </cell>
          <cell r="C965" t="str">
            <v>Future</v>
          </cell>
          <cell r="D965" t="e">
            <v>#N/A</v>
          </cell>
          <cell r="E965">
            <v>-20.90596837944646</v>
          </cell>
          <cell r="F965">
            <v>46.493241106719687</v>
          </cell>
          <cell r="G965">
            <v>30.445810276678998</v>
          </cell>
          <cell r="H965">
            <v>30.445810276678998</v>
          </cell>
          <cell r="I965" t="e">
            <v>#N/A</v>
          </cell>
          <cell r="J965" t="e">
            <v>#N/A</v>
          </cell>
          <cell r="K965">
            <v>42</v>
          </cell>
          <cell r="L965">
            <v>32</v>
          </cell>
          <cell r="M965" t="e">
            <v>#N/A</v>
          </cell>
          <cell r="N965">
            <v>37</v>
          </cell>
          <cell r="O965" t="e">
            <v>#N/A</v>
          </cell>
          <cell r="P965" t="str">
            <v/>
          </cell>
          <cell r="Q965" t="str">
            <v/>
          </cell>
          <cell r="R965" t="e">
            <v>#N/A</v>
          </cell>
        </row>
        <row r="966">
          <cell r="A966" t="str">
            <v/>
          </cell>
          <cell r="B966" t="str">
            <v/>
          </cell>
          <cell r="C966" t="str">
            <v>Future</v>
          </cell>
          <cell r="D966" t="e">
            <v>#N/A</v>
          </cell>
          <cell r="E966">
            <v>-21.042608695651992</v>
          </cell>
          <cell r="F966">
            <v>46.522608695652494</v>
          </cell>
          <cell r="G966">
            <v>30.435652173912199</v>
          </cell>
          <cell r="H966">
            <v>30.435652173912199</v>
          </cell>
          <cell r="I966" t="e">
            <v>#N/A</v>
          </cell>
          <cell r="J966" t="e">
            <v>#N/A</v>
          </cell>
          <cell r="K966">
            <v>42</v>
          </cell>
          <cell r="L966">
            <v>32</v>
          </cell>
          <cell r="M966" t="e">
            <v>#N/A</v>
          </cell>
          <cell r="N966">
            <v>37</v>
          </cell>
          <cell r="O966" t="e">
            <v>#N/A</v>
          </cell>
          <cell r="P966" t="str">
            <v/>
          </cell>
          <cell r="Q966" t="str">
            <v/>
          </cell>
          <cell r="R966" t="e">
            <v>#N/A</v>
          </cell>
        </row>
        <row r="967">
          <cell r="A967" t="str">
            <v/>
          </cell>
          <cell r="B967" t="str">
            <v/>
          </cell>
          <cell r="C967" t="str">
            <v>Future</v>
          </cell>
          <cell r="D967" t="e">
            <v>#N/A</v>
          </cell>
          <cell r="E967">
            <v>-21.179249011857525</v>
          </cell>
          <cell r="F967">
            <v>46.551976284585301</v>
          </cell>
          <cell r="G967">
            <v>30.425494071145401</v>
          </cell>
          <cell r="H967">
            <v>30.425494071145401</v>
          </cell>
          <cell r="I967" t="e">
            <v>#N/A</v>
          </cell>
          <cell r="J967" t="e">
            <v>#N/A</v>
          </cell>
          <cell r="K967">
            <v>42</v>
          </cell>
          <cell r="L967">
            <v>32</v>
          </cell>
          <cell r="M967" t="e">
            <v>#N/A</v>
          </cell>
          <cell r="N967">
            <v>37</v>
          </cell>
          <cell r="O967" t="e">
            <v>#N/A</v>
          </cell>
          <cell r="P967" t="str">
            <v/>
          </cell>
          <cell r="Q967" t="str">
            <v/>
          </cell>
          <cell r="R967" t="e">
            <v>#N/A</v>
          </cell>
        </row>
        <row r="968">
          <cell r="A968" t="str">
            <v/>
          </cell>
          <cell r="B968" t="str">
            <v/>
          </cell>
          <cell r="C968" t="str">
            <v>Future</v>
          </cell>
          <cell r="D968" t="e">
            <v>#N/A</v>
          </cell>
          <cell r="E968">
            <v>-21.315889328063058</v>
          </cell>
          <cell r="F968">
            <v>46.581343873518108</v>
          </cell>
          <cell r="G968">
            <v>30.415335968378603</v>
          </cell>
          <cell r="H968">
            <v>30.415335968378603</v>
          </cell>
          <cell r="I968" t="e">
            <v>#N/A</v>
          </cell>
          <cell r="J968" t="e">
            <v>#N/A</v>
          </cell>
          <cell r="K968">
            <v>42</v>
          </cell>
          <cell r="L968">
            <v>32</v>
          </cell>
          <cell r="M968" t="e">
            <v>#N/A</v>
          </cell>
          <cell r="N968">
            <v>37</v>
          </cell>
          <cell r="O968" t="e">
            <v>#N/A</v>
          </cell>
          <cell r="P968" t="str">
            <v/>
          </cell>
          <cell r="Q968" t="str">
            <v/>
          </cell>
          <cell r="R968" t="e">
            <v>#N/A</v>
          </cell>
        </row>
        <row r="969">
          <cell r="A969" t="str">
            <v/>
          </cell>
          <cell r="B969" t="str">
            <v/>
          </cell>
          <cell r="C969" t="str">
            <v>Future</v>
          </cell>
          <cell r="D969" t="e">
            <v>#N/A</v>
          </cell>
          <cell r="E969">
            <v>-21.452529644268591</v>
          </cell>
          <cell r="F969">
            <v>46.610711462450915</v>
          </cell>
          <cell r="G969">
            <v>30.405177865611805</v>
          </cell>
          <cell r="H969">
            <v>30.405177865611805</v>
          </cell>
          <cell r="I969" t="e">
            <v>#N/A</v>
          </cell>
          <cell r="J969" t="e">
            <v>#N/A</v>
          </cell>
          <cell r="K969">
            <v>42</v>
          </cell>
          <cell r="L969">
            <v>32</v>
          </cell>
          <cell r="M969" t="e">
            <v>#N/A</v>
          </cell>
          <cell r="N969">
            <v>37</v>
          </cell>
          <cell r="O969" t="e">
            <v>#N/A</v>
          </cell>
          <cell r="P969" t="str">
            <v/>
          </cell>
          <cell r="Q969" t="str">
            <v/>
          </cell>
          <cell r="R969" t="e">
            <v>#N/A</v>
          </cell>
        </row>
        <row r="970">
          <cell r="A970" t="str">
            <v/>
          </cell>
          <cell r="B970" t="str">
            <v/>
          </cell>
          <cell r="C970" t="str">
            <v>Future</v>
          </cell>
          <cell r="D970" t="e">
            <v>#N/A</v>
          </cell>
          <cell r="E970">
            <v>-21.589169960474123</v>
          </cell>
          <cell r="F970">
            <v>46.640079051383722</v>
          </cell>
          <cell r="G970">
            <v>30.395019762845006</v>
          </cell>
          <cell r="H970">
            <v>30.395019762845006</v>
          </cell>
          <cell r="I970" t="e">
            <v>#N/A</v>
          </cell>
          <cell r="J970" t="e">
            <v>#N/A</v>
          </cell>
          <cell r="K970">
            <v>42</v>
          </cell>
          <cell r="L970">
            <v>32</v>
          </cell>
          <cell r="M970" t="e">
            <v>#N/A</v>
          </cell>
          <cell r="N970">
            <v>37</v>
          </cell>
          <cell r="O970" t="e">
            <v>#N/A</v>
          </cell>
          <cell r="P970" t="str">
            <v/>
          </cell>
          <cell r="Q970" t="str">
            <v/>
          </cell>
          <cell r="R970" t="e">
            <v>#N/A</v>
          </cell>
        </row>
        <row r="971">
          <cell r="A971" t="str">
            <v/>
          </cell>
          <cell r="B971" t="str">
            <v/>
          </cell>
          <cell r="C971" t="str">
            <v>Future</v>
          </cell>
          <cell r="D971" t="e">
            <v>#N/A</v>
          </cell>
          <cell r="E971">
            <v>-21.725810276679656</v>
          </cell>
          <cell r="F971">
            <v>46.669446640316529</v>
          </cell>
          <cell r="G971">
            <v>30.384861660078208</v>
          </cell>
          <cell r="H971">
            <v>30.384861660078208</v>
          </cell>
          <cell r="I971" t="e">
            <v>#N/A</v>
          </cell>
          <cell r="J971" t="e">
            <v>#N/A</v>
          </cell>
          <cell r="K971">
            <v>42</v>
          </cell>
          <cell r="L971">
            <v>32</v>
          </cell>
          <cell r="M971" t="e">
            <v>#N/A</v>
          </cell>
          <cell r="N971">
            <v>37</v>
          </cell>
          <cell r="O971" t="e">
            <v>#N/A</v>
          </cell>
          <cell r="P971" t="str">
            <v/>
          </cell>
          <cell r="Q971" t="str">
            <v/>
          </cell>
          <cell r="R971" t="e">
            <v>#N/A</v>
          </cell>
        </row>
        <row r="972">
          <cell r="A972" t="str">
            <v/>
          </cell>
          <cell r="B972" t="str">
            <v/>
          </cell>
          <cell r="C972" t="str">
            <v>Future</v>
          </cell>
          <cell r="D972" t="e">
            <v>#N/A</v>
          </cell>
          <cell r="E972">
            <v>-21.862450592885189</v>
          </cell>
          <cell r="F972">
            <v>46.698814229249336</v>
          </cell>
          <cell r="G972">
            <v>30.37470355731141</v>
          </cell>
          <cell r="H972">
            <v>30.37470355731141</v>
          </cell>
          <cell r="I972" t="e">
            <v>#N/A</v>
          </cell>
          <cell r="J972" t="e">
            <v>#N/A</v>
          </cell>
          <cell r="K972">
            <v>42</v>
          </cell>
          <cell r="L972">
            <v>32</v>
          </cell>
          <cell r="M972" t="e">
            <v>#N/A</v>
          </cell>
          <cell r="N972">
            <v>37</v>
          </cell>
          <cell r="O972" t="e">
            <v>#N/A</v>
          </cell>
          <cell r="P972" t="str">
            <v/>
          </cell>
          <cell r="Q972" t="str">
            <v/>
          </cell>
          <cell r="R972" t="e">
            <v>#N/A</v>
          </cell>
        </row>
        <row r="973">
          <cell r="A973" t="str">
            <v/>
          </cell>
          <cell r="B973" t="str">
            <v/>
          </cell>
          <cell r="C973" t="str">
            <v>Future</v>
          </cell>
          <cell r="D973" t="e">
            <v>#N/A</v>
          </cell>
          <cell r="E973">
            <v>-21.999090909090722</v>
          </cell>
          <cell r="F973">
            <v>46.728181818182144</v>
          </cell>
          <cell r="G973">
            <v>30.364545454544611</v>
          </cell>
          <cell r="H973">
            <v>30.364545454544611</v>
          </cell>
          <cell r="I973" t="e">
            <v>#N/A</v>
          </cell>
          <cell r="J973" t="e">
            <v>#N/A</v>
          </cell>
          <cell r="K973">
            <v>42</v>
          </cell>
          <cell r="L973">
            <v>32</v>
          </cell>
          <cell r="M973" t="e">
            <v>#N/A</v>
          </cell>
          <cell r="N973">
            <v>37</v>
          </cell>
          <cell r="O973" t="e">
            <v>#N/A</v>
          </cell>
          <cell r="P973" t="str">
            <v/>
          </cell>
          <cell r="Q973" t="str">
            <v/>
          </cell>
          <cell r="R973" t="e">
            <v>#N/A</v>
          </cell>
        </row>
        <row r="974">
          <cell r="A974" t="str">
            <v/>
          </cell>
          <cell r="B974" t="str">
            <v/>
          </cell>
          <cell r="C974" t="str">
            <v>Future</v>
          </cell>
          <cell r="D974" t="e">
            <v>#N/A</v>
          </cell>
          <cell r="E974">
            <v>-22.135731225296254</v>
          </cell>
          <cell r="F974">
            <v>46.757549407114951</v>
          </cell>
          <cell r="G974">
            <v>30.354387351777813</v>
          </cell>
          <cell r="H974">
            <v>30.354387351777813</v>
          </cell>
          <cell r="I974" t="e">
            <v>#N/A</v>
          </cell>
          <cell r="J974" t="e">
            <v>#N/A</v>
          </cell>
          <cell r="K974">
            <v>42</v>
          </cell>
          <cell r="L974">
            <v>32</v>
          </cell>
          <cell r="M974" t="e">
            <v>#N/A</v>
          </cell>
          <cell r="N974">
            <v>37</v>
          </cell>
          <cell r="O974" t="e">
            <v>#N/A</v>
          </cell>
          <cell r="P974" t="str">
            <v/>
          </cell>
          <cell r="Q974" t="str">
            <v/>
          </cell>
          <cell r="R974" t="e">
            <v>#N/A</v>
          </cell>
        </row>
        <row r="975">
          <cell r="A975" t="str">
            <v/>
          </cell>
          <cell r="B975" t="str">
            <v/>
          </cell>
          <cell r="C975" t="str">
            <v>Future</v>
          </cell>
          <cell r="D975" t="e">
            <v>#N/A</v>
          </cell>
          <cell r="E975">
            <v>-22.272371541501787</v>
          </cell>
          <cell r="F975">
            <v>46.786916996047758</v>
          </cell>
          <cell r="G975">
            <v>30.344229249011015</v>
          </cell>
          <cell r="H975">
            <v>30.344229249011015</v>
          </cell>
          <cell r="I975" t="e">
            <v>#N/A</v>
          </cell>
          <cell r="J975" t="e">
            <v>#N/A</v>
          </cell>
          <cell r="K975">
            <v>42</v>
          </cell>
          <cell r="L975">
            <v>32</v>
          </cell>
          <cell r="M975" t="e">
            <v>#N/A</v>
          </cell>
          <cell r="N975">
            <v>37</v>
          </cell>
          <cell r="O975" t="e">
            <v>#N/A</v>
          </cell>
          <cell r="P975" t="str">
            <v/>
          </cell>
          <cell r="Q975" t="str">
            <v/>
          </cell>
          <cell r="R975" t="e">
            <v>#N/A</v>
          </cell>
        </row>
        <row r="976">
          <cell r="A976" t="str">
            <v/>
          </cell>
          <cell r="B976" t="str">
            <v/>
          </cell>
          <cell r="C976" t="str">
            <v>Future</v>
          </cell>
          <cell r="D976" t="e">
            <v>#N/A</v>
          </cell>
          <cell r="E976">
            <v>-22.40901185770732</v>
          </cell>
          <cell r="F976">
            <v>46.816284584980565</v>
          </cell>
          <cell r="G976">
            <v>30.334071146244217</v>
          </cell>
          <cell r="H976">
            <v>30.334071146244217</v>
          </cell>
          <cell r="I976" t="e">
            <v>#N/A</v>
          </cell>
          <cell r="J976" t="e">
            <v>#N/A</v>
          </cell>
          <cell r="K976">
            <v>42</v>
          </cell>
          <cell r="L976">
            <v>32</v>
          </cell>
          <cell r="M976" t="e">
            <v>#N/A</v>
          </cell>
          <cell r="N976">
            <v>37</v>
          </cell>
          <cell r="O976" t="e">
            <v>#N/A</v>
          </cell>
          <cell r="P976" t="str">
            <v/>
          </cell>
          <cell r="Q976" t="str">
            <v/>
          </cell>
          <cell r="R976" t="e">
            <v>#N/A</v>
          </cell>
        </row>
        <row r="977">
          <cell r="A977" t="str">
            <v/>
          </cell>
          <cell r="B977" t="str">
            <v/>
          </cell>
          <cell r="C977" t="str">
            <v>Future</v>
          </cell>
          <cell r="D977" t="e">
            <v>#N/A</v>
          </cell>
          <cell r="E977">
            <v>-22.545652173912853</v>
          </cell>
          <cell r="F977">
            <v>46.845652173913372</v>
          </cell>
          <cell r="G977">
            <v>30.323913043477418</v>
          </cell>
          <cell r="H977">
            <v>30.323913043477418</v>
          </cell>
          <cell r="I977" t="e">
            <v>#N/A</v>
          </cell>
          <cell r="J977" t="e">
            <v>#N/A</v>
          </cell>
          <cell r="K977">
            <v>42</v>
          </cell>
          <cell r="L977">
            <v>32</v>
          </cell>
          <cell r="M977" t="e">
            <v>#N/A</v>
          </cell>
          <cell r="N977">
            <v>37</v>
          </cell>
          <cell r="O977" t="e">
            <v>#N/A</v>
          </cell>
          <cell r="P977" t="str">
            <v/>
          </cell>
          <cell r="Q977" t="str">
            <v/>
          </cell>
          <cell r="R977" t="e">
            <v>#N/A</v>
          </cell>
        </row>
        <row r="978">
          <cell r="A978" t="str">
            <v/>
          </cell>
          <cell r="B978" t="str">
            <v/>
          </cell>
          <cell r="C978" t="str">
            <v>Future</v>
          </cell>
          <cell r="D978" t="e">
            <v>#N/A</v>
          </cell>
          <cell r="E978">
            <v>-22.682292490118385</v>
          </cell>
          <cell r="F978">
            <v>46.875019762846179</v>
          </cell>
          <cell r="G978">
            <v>30.31375494071062</v>
          </cell>
          <cell r="H978">
            <v>30.31375494071062</v>
          </cell>
          <cell r="I978" t="e">
            <v>#N/A</v>
          </cell>
          <cell r="J978" t="e">
            <v>#N/A</v>
          </cell>
          <cell r="K978">
            <v>42</v>
          </cell>
          <cell r="L978">
            <v>32</v>
          </cell>
          <cell r="M978" t="e">
            <v>#N/A</v>
          </cell>
          <cell r="N978">
            <v>37</v>
          </cell>
          <cell r="O978" t="e">
            <v>#N/A</v>
          </cell>
          <cell r="P978" t="str">
            <v/>
          </cell>
          <cell r="Q978" t="str">
            <v/>
          </cell>
          <cell r="R978" t="e">
            <v>#N/A</v>
          </cell>
        </row>
        <row r="979">
          <cell r="A979" t="str">
            <v/>
          </cell>
          <cell r="B979" t="str">
            <v/>
          </cell>
          <cell r="C979" t="str">
            <v>Future</v>
          </cell>
          <cell r="D979" t="e">
            <v>#N/A</v>
          </cell>
          <cell r="E979">
            <v>-22.818932806323918</v>
          </cell>
          <cell r="F979">
            <v>46.904387351778986</v>
          </cell>
          <cell r="G979">
            <v>30.303596837943822</v>
          </cell>
          <cell r="H979">
            <v>30.303596837943822</v>
          </cell>
          <cell r="I979" t="e">
            <v>#N/A</v>
          </cell>
          <cell r="J979" t="e">
            <v>#N/A</v>
          </cell>
          <cell r="K979">
            <v>42</v>
          </cell>
          <cell r="L979">
            <v>32</v>
          </cell>
          <cell r="M979" t="e">
            <v>#N/A</v>
          </cell>
          <cell r="N979">
            <v>37</v>
          </cell>
          <cell r="O979" t="e">
            <v>#N/A</v>
          </cell>
          <cell r="P979" t="str">
            <v/>
          </cell>
          <cell r="Q979" t="str">
            <v/>
          </cell>
          <cell r="R979" t="e">
            <v>#N/A</v>
          </cell>
        </row>
        <row r="980">
          <cell r="A980" t="str">
            <v/>
          </cell>
          <cell r="B980" t="str">
            <v/>
          </cell>
          <cell r="C980" t="str">
            <v>Future</v>
          </cell>
          <cell r="D980" t="e">
            <v>#N/A</v>
          </cell>
          <cell r="E980">
            <v>-22.955573122529451</v>
          </cell>
          <cell r="F980">
            <v>46.933754940711793</v>
          </cell>
          <cell r="G980">
            <v>30.293438735177023</v>
          </cell>
          <cell r="H980">
            <v>30.293438735177023</v>
          </cell>
          <cell r="I980" t="e">
            <v>#N/A</v>
          </cell>
          <cell r="J980" t="e">
            <v>#N/A</v>
          </cell>
          <cell r="K980">
            <v>42</v>
          </cell>
          <cell r="L980">
            <v>32</v>
          </cell>
          <cell r="M980" t="e">
            <v>#N/A</v>
          </cell>
          <cell r="N980">
            <v>37</v>
          </cell>
          <cell r="O980" t="e">
            <v>#N/A</v>
          </cell>
          <cell r="P980" t="str">
            <v/>
          </cell>
          <cell r="Q980" t="str">
            <v/>
          </cell>
          <cell r="R980" t="e">
            <v>#N/A</v>
          </cell>
        </row>
        <row r="981">
          <cell r="A981" t="str">
            <v/>
          </cell>
          <cell r="B981" t="str">
            <v/>
          </cell>
          <cell r="C981" t="str">
            <v>Future</v>
          </cell>
          <cell r="D981" t="e">
            <v>#N/A</v>
          </cell>
          <cell r="E981">
            <v>-23.092213438734984</v>
          </cell>
          <cell r="F981">
            <v>46.9631225296446</v>
          </cell>
          <cell r="G981">
            <v>30.283280632410225</v>
          </cell>
          <cell r="H981">
            <v>30.283280632410225</v>
          </cell>
          <cell r="I981" t="e">
            <v>#N/A</v>
          </cell>
          <cell r="J981" t="e">
            <v>#N/A</v>
          </cell>
          <cell r="K981">
            <v>42</v>
          </cell>
          <cell r="L981">
            <v>32</v>
          </cell>
          <cell r="M981" t="e">
            <v>#N/A</v>
          </cell>
          <cell r="N981">
            <v>37</v>
          </cell>
          <cell r="O981" t="e">
            <v>#N/A</v>
          </cell>
          <cell r="P981" t="str">
            <v/>
          </cell>
          <cell r="Q981" t="str">
            <v/>
          </cell>
          <cell r="R981" t="e">
            <v>#N/A</v>
          </cell>
        </row>
        <row r="982">
          <cell r="A982" t="str">
            <v/>
          </cell>
          <cell r="B982" t="str">
            <v/>
          </cell>
          <cell r="C982" t="str">
            <v>Future</v>
          </cell>
          <cell r="D982" t="e">
            <v>#N/A</v>
          </cell>
          <cell r="E982">
            <v>-23.228853754940516</v>
          </cell>
          <cell r="F982">
            <v>46.992490118577408</v>
          </cell>
          <cell r="G982">
            <v>30.273122529643427</v>
          </cell>
          <cell r="H982">
            <v>30.273122529643427</v>
          </cell>
          <cell r="I982" t="e">
            <v>#N/A</v>
          </cell>
          <cell r="J982" t="e">
            <v>#N/A</v>
          </cell>
          <cell r="K982">
            <v>42</v>
          </cell>
          <cell r="L982">
            <v>32</v>
          </cell>
          <cell r="M982" t="e">
            <v>#N/A</v>
          </cell>
          <cell r="N982">
            <v>37</v>
          </cell>
          <cell r="O982" t="e">
            <v>#N/A</v>
          </cell>
          <cell r="P982" t="str">
            <v/>
          </cell>
          <cell r="Q982" t="str">
            <v/>
          </cell>
          <cell r="R982" t="e">
            <v>#N/A</v>
          </cell>
        </row>
        <row r="983">
          <cell r="A983" t="str">
            <v/>
          </cell>
          <cell r="B983" t="str">
            <v/>
          </cell>
          <cell r="C983" t="str">
            <v>Future</v>
          </cell>
          <cell r="D983" t="e">
            <v>#N/A</v>
          </cell>
          <cell r="E983">
            <v>-23.365494071146049</v>
          </cell>
          <cell r="F983">
            <v>47.021857707510215</v>
          </cell>
          <cell r="G983">
            <v>30.262964426876628</v>
          </cell>
          <cell r="H983">
            <v>30.262964426876628</v>
          </cell>
          <cell r="I983" t="e">
            <v>#N/A</v>
          </cell>
          <cell r="J983" t="e">
            <v>#N/A</v>
          </cell>
          <cell r="K983">
            <v>42</v>
          </cell>
          <cell r="L983">
            <v>32</v>
          </cell>
          <cell r="M983" t="e">
            <v>#N/A</v>
          </cell>
          <cell r="N983">
            <v>37</v>
          </cell>
          <cell r="O983" t="e">
            <v>#N/A</v>
          </cell>
          <cell r="P983" t="str">
            <v/>
          </cell>
          <cell r="Q983" t="str">
            <v/>
          </cell>
          <cell r="R983" t="e">
            <v>#N/A</v>
          </cell>
        </row>
        <row r="984">
          <cell r="A984" t="str">
            <v/>
          </cell>
          <cell r="B984" t="str">
            <v/>
          </cell>
          <cell r="C984" t="str">
            <v>Future</v>
          </cell>
          <cell r="D984" t="e">
            <v>#N/A</v>
          </cell>
          <cell r="E984">
            <v>-23.502134387351582</v>
          </cell>
          <cell r="F984">
            <v>47.051225296443022</v>
          </cell>
          <cell r="G984">
            <v>30.25280632410983</v>
          </cell>
          <cell r="H984">
            <v>30.25280632410983</v>
          </cell>
          <cell r="I984" t="e">
            <v>#N/A</v>
          </cell>
          <cell r="J984" t="e">
            <v>#N/A</v>
          </cell>
          <cell r="K984">
            <v>42</v>
          </cell>
          <cell r="L984">
            <v>32</v>
          </cell>
          <cell r="M984" t="e">
            <v>#N/A</v>
          </cell>
          <cell r="N984">
            <v>37</v>
          </cell>
          <cell r="O984" t="e">
            <v>#N/A</v>
          </cell>
          <cell r="P984" t="str">
            <v/>
          </cell>
          <cell r="Q984" t="str">
            <v/>
          </cell>
          <cell r="R984" t="e">
            <v>#N/A</v>
          </cell>
        </row>
        <row r="985">
          <cell r="A985" t="str">
            <v/>
          </cell>
          <cell r="B985" t="str">
            <v/>
          </cell>
          <cell r="C985" t="str">
            <v>Future</v>
          </cell>
          <cell r="D985" t="e">
            <v>#N/A</v>
          </cell>
          <cell r="E985">
            <v>-23.638774703557115</v>
          </cell>
          <cell r="F985">
            <v>47.080592885375829</v>
          </cell>
          <cell r="G985">
            <v>30.242648221343032</v>
          </cell>
          <cell r="H985">
            <v>30.242648221343032</v>
          </cell>
          <cell r="I985" t="e">
            <v>#N/A</v>
          </cell>
          <cell r="J985" t="e">
            <v>#N/A</v>
          </cell>
          <cell r="K985">
            <v>42</v>
          </cell>
          <cell r="L985">
            <v>32</v>
          </cell>
          <cell r="M985" t="e">
            <v>#N/A</v>
          </cell>
          <cell r="N985">
            <v>37</v>
          </cell>
          <cell r="O985" t="e">
            <v>#N/A</v>
          </cell>
          <cell r="P985" t="str">
            <v/>
          </cell>
          <cell r="Q985" t="str">
            <v/>
          </cell>
          <cell r="R985" t="e">
            <v>#N/A</v>
          </cell>
        </row>
        <row r="986">
          <cell r="A986" t="str">
            <v/>
          </cell>
          <cell r="B986" t="str">
            <v/>
          </cell>
          <cell r="C986" t="str">
            <v>Future</v>
          </cell>
          <cell r="D986" t="e">
            <v>#N/A</v>
          </cell>
          <cell r="E986">
            <v>-23.775415019762647</v>
          </cell>
          <cell r="F986">
            <v>47.109960474308636</v>
          </cell>
          <cell r="G986">
            <v>30.232490118576234</v>
          </cell>
          <cell r="H986">
            <v>30.232490118576234</v>
          </cell>
          <cell r="I986" t="e">
            <v>#N/A</v>
          </cell>
          <cell r="J986" t="e">
            <v>#N/A</v>
          </cell>
          <cell r="K986">
            <v>42</v>
          </cell>
          <cell r="L986">
            <v>32</v>
          </cell>
          <cell r="M986" t="e">
            <v>#N/A</v>
          </cell>
          <cell r="N986">
            <v>37</v>
          </cell>
          <cell r="O986" t="e">
            <v>#N/A</v>
          </cell>
          <cell r="P986" t="str">
            <v/>
          </cell>
          <cell r="Q986" t="str">
            <v/>
          </cell>
          <cell r="R986" t="e">
            <v>#N/A</v>
          </cell>
        </row>
        <row r="987">
          <cell r="A987" t="str">
            <v/>
          </cell>
          <cell r="B987" t="str">
            <v/>
          </cell>
          <cell r="C987" t="str">
            <v>Future</v>
          </cell>
          <cell r="D987" t="e">
            <v>#N/A</v>
          </cell>
          <cell r="E987">
            <v>-23.91205533596818</v>
          </cell>
          <cell r="F987">
            <v>47.139328063241443</v>
          </cell>
          <cell r="G987">
            <v>30.222332015809435</v>
          </cell>
          <cell r="H987">
            <v>30.222332015809435</v>
          </cell>
          <cell r="I987" t="e">
            <v>#N/A</v>
          </cell>
          <cell r="J987" t="e">
            <v>#N/A</v>
          </cell>
          <cell r="K987">
            <v>42</v>
          </cell>
          <cell r="L987">
            <v>32</v>
          </cell>
          <cell r="M987" t="e">
            <v>#N/A</v>
          </cell>
          <cell r="N987">
            <v>37</v>
          </cell>
          <cell r="O987" t="e">
            <v>#N/A</v>
          </cell>
          <cell r="P987" t="str">
            <v/>
          </cell>
          <cell r="Q987" t="str">
            <v/>
          </cell>
          <cell r="R987" t="e">
            <v>#N/A</v>
          </cell>
        </row>
        <row r="988">
          <cell r="A988" t="str">
            <v/>
          </cell>
          <cell r="B988" t="str">
            <v/>
          </cell>
          <cell r="C988" t="str">
            <v>Future</v>
          </cell>
          <cell r="D988" t="e">
            <v>#N/A</v>
          </cell>
          <cell r="E988">
            <v>-24.048695652173713</v>
          </cell>
          <cell r="F988">
            <v>47.16869565217425</v>
          </cell>
          <cell r="G988">
            <v>30.212173913042637</v>
          </cell>
          <cell r="H988">
            <v>30.212173913042637</v>
          </cell>
          <cell r="I988" t="e">
            <v>#N/A</v>
          </cell>
          <cell r="J988" t="e">
            <v>#N/A</v>
          </cell>
          <cell r="K988">
            <v>42</v>
          </cell>
          <cell r="L988">
            <v>32</v>
          </cell>
          <cell r="M988" t="e">
            <v>#N/A</v>
          </cell>
          <cell r="N988">
            <v>37</v>
          </cell>
          <cell r="O988" t="e">
            <v>#N/A</v>
          </cell>
          <cell r="P988" t="str">
            <v/>
          </cell>
          <cell r="Q988" t="str">
            <v/>
          </cell>
          <cell r="R988" t="e">
            <v>#N/A</v>
          </cell>
        </row>
        <row r="989">
          <cell r="A989" t="str">
            <v/>
          </cell>
          <cell r="B989" t="str">
            <v/>
          </cell>
          <cell r="C989" t="str">
            <v>Future</v>
          </cell>
          <cell r="D989" t="e">
            <v>#N/A</v>
          </cell>
          <cell r="E989">
            <v>-24.185335968379245</v>
          </cell>
          <cell r="F989">
            <v>47.198063241107057</v>
          </cell>
          <cell r="G989">
            <v>30.202015810275839</v>
          </cell>
          <cell r="H989">
            <v>30.202015810275839</v>
          </cell>
          <cell r="I989" t="e">
            <v>#N/A</v>
          </cell>
          <cell r="J989" t="e">
            <v>#N/A</v>
          </cell>
          <cell r="K989">
            <v>42</v>
          </cell>
          <cell r="L989">
            <v>32</v>
          </cell>
          <cell r="M989" t="e">
            <v>#N/A</v>
          </cell>
          <cell r="N989">
            <v>37</v>
          </cell>
          <cell r="O989" t="e">
            <v>#N/A</v>
          </cell>
          <cell r="P989" t="str">
            <v/>
          </cell>
          <cell r="Q989" t="str">
            <v/>
          </cell>
          <cell r="R989" t="e">
            <v>#N/A</v>
          </cell>
        </row>
        <row r="990">
          <cell r="A990" t="str">
            <v/>
          </cell>
          <cell r="B990" t="str">
            <v/>
          </cell>
          <cell r="C990" t="str">
            <v>Future</v>
          </cell>
          <cell r="D990" t="e">
            <v>#N/A</v>
          </cell>
          <cell r="E990">
            <v>-24.321976284584778</v>
          </cell>
          <cell r="F990">
            <v>47.227430830039864</v>
          </cell>
          <cell r="G990">
            <v>30.19185770750904</v>
          </cell>
          <cell r="H990">
            <v>30.19185770750904</v>
          </cell>
          <cell r="I990" t="e">
            <v>#N/A</v>
          </cell>
          <cell r="J990" t="e">
            <v>#N/A</v>
          </cell>
          <cell r="K990">
            <v>42</v>
          </cell>
          <cell r="L990">
            <v>32</v>
          </cell>
          <cell r="M990" t="e">
            <v>#N/A</v>
          </cell>
          <cell r="N990">
            <v>37</v>
          </cell>
          <cell r="O990" t="e">
            <v>#N/A</v>
          </cell>
          <cell r="P990" t="str">
            <v/>
          </cell>
          <cell r="Q990" t="str">
            <v/>
          </cell>
          <cell r="R990" t="e">
            <v>#N/A</v>
          </cell>
        </row>
        <row r="991">
          <cell r="A991" t="str">
            <v/>
          </cell>
          <cell r="B991" t="str">
            <v/>
          </cell>
          <cell r="C991" t="str">
            <v>Future</v>
          </cell>
          <cell r="D991" t="e">
            <v>#N/A</v>
          </cell>
          <cell r="E991">
            <v>-24.458616600790311</v>
          </cell>
          <cell r="F991">
            <v>47.256798418972672</v>
          </cell>
          <cell r="G991">
            <v>30.181699604742242</v>
          </cell>
          <cell r="H991">
            <v>30.181699604742242</v>
          </cell>
          <cell r="I991" t="e">
            <v>#N/A</v>
          </cell>
          <cell r="J991" t="e">
            <v>#N/A</v>
          </cell>
          <cell r="K991">
            <v>42</v>
          </cell>
          <cell r="L991">
            <v>32</v>
          </cell>
          <cell r="M991" t="e">
            <v>#N/A</v>
          </cell>
          <cell r="N991">
            <v>37</v>
          </cell>
          <cell r="O991" t="e">
            <v>#N/A</v>
          </cell>
          <cell r="P991" t="str">
            <v/>
          </cell>
          <cell r="Q991" t="str">
            <v/>
          </cell>
          <cell r="R991" t="e">
            <v>#N/A</v>
          </cell>
        </row>
        <row r="992">
          <cell r="A992" t="str">
            <v/>
          </cell>
          <cell r="B992" t="str">
            <v/>
          </cell>
          <cell r="C992" t="str">
            <v>Future</v>
          </cell>
          <cell r="D992" t="e">
            <v>#N/A</v>
          </cell>
          <cell r="E992">
            <v>-24.595256916995844</v>
          </cell>
          <cell r="F992">
            <v>47.286166007905479</v>
          </cell>
          <cell r="G992">
            <v>30.171541501975444</v>
          </cell>
          <cell r="H992">
            <v>30.171541501975444</v>
          </cell>
          <cell r="I992" t="e">
            <v>#N/A</v>
          </cell>
          <cell r="J992" t="e">
            <v>#N/A</v>
          </cell>
          <cell r="K992">
            <v>42</v>
          </cell>
          <cell r="L992">
            <v>32</v>
          </cell>
          <cell r="M992" t="e">
            <v>#N/A</v>
          </cell>
          <cell r="N992">
            <v>37</v>
          </cell>
          <cell r="O992" t="e">
            <v>#N/A</v>
          </cell>
          <cell r="P992" t="str">
            <v/>
          </cell>
          <cell r="Q992" t="str">
            <v/>
          </cell>
          <cell r="R992" t="e">
            <v>#N/A</v>
          </cell>
        </row>
        <row r="993">
          <cell r="A993" t="str">
            <v/>
          </cell>
          <cell r="B993" t="str">
            <v/>
          </cell>
          <cell r="C993" t="str">
            <v>Future</v>
          </cell>
          <cell r="D993" t="e">
            <v>#N/A</v>
          </cell>
          <cell r="E993">
            <v>-24.731897233201376</v>
          </cell>
          <cell r="F993">
            <v>47.315533596838286</v>
          </cell>
          <cell r="G993">
            <v>30.161383399208646</v>
          </cell>
          <cell r="H993">
            <v>30.161383399208646</v>
          </cell>
          <cell r="I993" t="e">
            <v>#N/A</v>
          </cell>
          <cell r="J993" t="e">
            <v>#N/A</v>
          </cell>
          <cell r="K993">
            <v>42</v>
          </cell>
          <cell r="L993">
            <v>32</v>
          </cell>
          <cell r="M993" t="e">
            <v>#N/A</v>
          </cell>
          <cell r="N993">
            <v>37</v>
          </cell>
          <cell r="O993" t="e">
            <v>#N/A</v>
          </cell>
          <cell r="P993" t="str">
            <v/>
          </cell>
          <cell r="Q993" t="str">
            <v/>
          </cell>
          <cell r="R993" t="e">
            <v>#N/A</v>
          </cell>
        </row>
        <row r="994">
          <cell r="A994" t="str">
            <v/>
          </cell>
          <cell r="B994" t="str">
            <v/>
          </cell>
          <cell r="C994" t="str">
            <v>Future</v>
          </cell>
          <cell r="D994" t="e">
            <v>#N/A</v>
          </cell>
          <cell r="E994">
            <v>-24.868537549406909</v>
          </cell>
          <cell r="F994">
            <v>47.344901185771093</v>
          </cell>
          <cell r="G994">
            <v>30.151225296441847</v>
          </cell>
          <cell r="H994">
            <v>30.151225296441847</v>
          </cell>
          <cell r="I994" t="e">
            <v>#N/A</v>
          </cell>
          <cell r="J994" t="e">
            <v>#N/A</v>
          </cell>
          <cell r="K994">
            <v>42</v>
          </cell>
          <cell r="L994">
            <v>32</v>
          </cell>
          <cell r="M994" t="e">
            <v>#N/A</v>
          </cell>
          <cell r="N994">
            <v>37</v>
          </cell>
          <cell r="O994" t="e">
            <v>#N/A</v>
          </cell>
          <cell r="P994" t="str">
            <v/>
          </cell>
          <cell r="Q994" t="str">
            <v/>
          </cell>
          <cell r="R994" t="e">
            <v>#N/A</v>
          </cell>
        </row>
        <row r="995">
          <cell r="A995" t="str">
            <v/>
          </cell>
          <cell r="B995" t="str">
            <v/>
          </cell>
          <cell r="C995" t="str">
            <v>Future</v>
          </cell>
          <cell r="D995" t="e">
            <v>#N/A</v>
          </cell>
          <cell r="E995">
            <v>-25.005177865612442</v>
          </cell>
          <cell r="F995">
            <v>47.3742687747039</v>
          </cell>
          <cell r="G995">
            <v>30.141067193675049</v>
          </cell>
          <cell r="H995">
            <v>30.141067193675049</v>
          </cell>
          <cell r="I995" t="e">
            <v>#N/A</v>
          </cell>
          <cell r="J995" t="e">
            <v>#N/A</v>
          </cell>
          <cell r="K995">
            <v>42</v>
          </cell>
          <cell r="L995">
            <v>32</v>
          </cell>
          <cell r="M995" t="e">
            <v>#N/A</v>
          </cell>
          <cell r="N995">
            <v>37</v>
          </cell>
          <cell r="O995" t="e">
            <v>#N/A</v>
          </cell>
          <cell r="P995" t="str">
            <v/>
          </cell>
          <cell r="Q995" t="str">
            <v/>
          </cell>
          <cell r="R995" t="e">
            <v>#N/A</v>
          </cell>
        </row>
        <row r="996">
          <cell r="A996" t="str">
            <v/>
          </cell>
          <cell r="B996" t="str">
            <v/>
          </cell>
          <cell r="C996" t="str">
            <v>Future</v>
          </cell>
          <cell r="D996" t="e">
            <v>#N/A</v>
          </cell>
          <cell r="E996">
            <v>-25.141818181817975</v>
          </cell>
          <cell r="F996">
            <v>47.403636363636707</v>
          </cell>
          <cell r="G996">
            <v>30.130909090908251</v>
          </cell>
          <cell r="H996">
            <v>30.130909090908251</v>
          </cell>
          <cell r="I996" t="e">
            <v>#N/A</v>
          </cell>
          <cell r="J996" t="e">
            <v>#N/A</v>
          </cell>
          <cell r="K996">
            <v>42</v>
          </cell>
          <cell r="L996">
            <v>32</v>
          </cell>
          <cell r="M996" t="e">
            <v>#N/A</v>
          </cell>
          <cell r="N996">
            <v>37</v>
          </cell>
          <cell r="O996" t="e">
            <v>#N/A</v>
          </cell>
          <cell r="P996" t="str">
            <v/>
          </cell>
          <cell r="Q996" t="str">
            <v/>
          </cell>
          <cell r="R996" t="e">
            <v>#N/A</v>
          </cell>
        </row>
        <row r="997">
          <cell r="A997" t="str">
            <v/>
          </cell>
          <cell r="B997" t="str">
            <v/>
          </cell>
          <cell r="C997" t="str">
            <v>Future</v>
          </cell>
          <cell r="D997" t="e">
            <v>#N/A</v>
          </cell>
          <cell r="E997">
            <v>-25.278458498023507</v>
          </cell>
          <cell r="F997">
            <v>47.433003952569514</v>
          </cell>
          <cell r="G997">
            <v>30.120750988141452</v>
          </cell>
          <cell r="H997">
            <v>30.120750988141452</v>
          </cell>
          <cell r="I997" t="e">
            <v>#N/A</v>
          </cell>
          <cell r="J997" t="e">
            <v>#N/A</v>
          </cell>
          <cell r="K997">
            <v>42</v>
          </cell>
          <cell r="L997">
            <v>32</v>
          </cell>
          <cell r="M997" t="e">
            <v>#N/A</v>
          </cell>
          <cell r="N997">
            <v>37</v>
          </cell>
          <cell r="O997" t="e">
            <v>#N/A</v>
          </cell>
          <cell r="P997" t="str">
            <v/>
          </cell>
          <cell r="Q997" t="str">
            <v/>
          </cell>
          <cell r="R997" t="e">
            <v>#N/A</v>
          </cell>
        </row>
        <row r="998">
          <cell r="A998" t="str">
            <v/>
          </cell>
          <cell r="B998" t="str">
            <v/>
          </cell>
          <cell r="C998" t="str">
            <v>Future</v>
          </cell>
          <cell r="D998" t="e">
            <v>#N/A</v>
          </cell>
          <cell r="E998">
            <v>-25.41509881422904</v>
          </cell>
          <cell r="F998">
            <v>47.462371541502321</v>
          </cell>
          <cell r="G998">
            <v>30.110592885374654</v>
          </cell>
          <cell r="H998">
            <v>30.110592885374654</v>
          </cell>
          <cell r="I998" t="e">
            <v>#N/A</v>
          </cell>
          <cell r="J998" t="e">
            <v>#N/A</v>
          </cell>
          <cell r="K998">
            <v>42</v>
          </cell>
          <cell r="L998">
            <v>32</v>
          </cell>
          <cell r="M998" t="e">
            <v>#N/A</v>
          </cell>
          <cell r="N998">
            <v>37</v>
          </cell>
          <cell r="O998" t="e">
            <v>#N/A</v>
          </cell>
          <cell r="P998" t="str">
            <v/>
          </cell>
          <cell r="Q998" t="str">
            <v/>
          </cell>
          <cell r="R998" t="e">
            <v>#N/A</v>
          </cell>
        </row>
        <row r="999">
          <cell r="A999" t="str">
            <v/>
          </cell>
          <cell r="B999" t="str">
            <v/>
          </cell>
          <cell r="C999" t="str">
            <v>Future</v>
          </cell>
          <cell r="D999" t="e">
            <v>#N/A</v>
          </cell>
          <cell r="E999">
            <v>-25.551739130434573</v>
          </cell>
          <cell r="F999">
            <v>47.491739130435128</v>
          </cell>
          <cell r="G999">
            <v>30.100434782607856</v>
          </cell>
          <cell r="H999">
            <v>30.100434782607856</v>
          </cell>
          <cell r="I999" t="e">
            <v>#N/A</v>
          </cell>
          <cell r="J999" t="e">
            <v>#N/A</v>
          </cell>
          <cell r="K999">
            <v>42</v>
          </cell>
          <cell r="L999">
            <v>32</v>
          </cell>
          <cell r="M999" t="e">
            <v>#N/A</v>
          </cell>
          <cell r="N999">
            <v>37</v>
          </cell>
          <cell r="O999" t="e">
            <v>#N/A</v>
          </cell>
          <cell r="P999" t="str">
            <v/>
          </cell>
          <cell r="Q999" t="str">
            <v/>
          </cell>
          <cell r="R999" t="e">
            <v>#N/A</v>
          </cell>
        </row>
        <row r="1000">
          <cell r="A1000" t="str">
            <v/>
          </cell>
          <cell r="B1000" t="str">
            <v/>
          </cell>
          <cell r="C1000" t="str">
            <v>Future</v>
          </cell>
          <cell r="D1000" t="e">
            <v>#N/A</v>
          </cell>
          <cell r="E1000">
            <v>-25.688379446640106</v>
          </cell>
          <cell r="F1000">
            <v>47.521106719367936</v>
          </cell>
          <cell r="G1000">
            <v>30.090276679841057</v>
          </cell>
          <cell r="H1000">
            <v>30.090276679841057</v>
          </cell>
          <cell r="I1000" t="e">
            <v>#N/A</v>
          </cell>
          <cell r="J1000" t="e">
            <v>#N/A</v>
          </cell>
          <cell r="K1000">
            <v>42</v>
          </cell>
          <cell r="L1000">
            <v>32</v>
          </cell>
          <cell r="M1000" t="e">
            <v>#N/A</v>
          </cell>
          <cell r="N1000">
            <v>37</v>
          </cell>
          <cell r="O1000" t="e">
            <v>#N/A</v>
          </cell>
          <cell r="P1000" t="str">
            <v/>
          </cell>
          <cell r="Q1000" t="str">
            <v/>
          </cell>
          <cell r="R1000" t="e">
            <v>#N/A</v>
          </cell>
        </row>
        <row r="1001">
          <cell r="A1001" t="str">
            <v/>
          </cell>
          <cell r="B1001" t="str">
            <v/>
          </cell>
          <cell r="C1001" t="str">
            <v>Future</v>
          </cell>
          <cell r="D1001" t="e">
            <v>#N/A</v>
          </cell>
          <cell r="E1001">
            <v>-25.825019762845638</v>
          </cell>
          <cell r="F1001">
            <v>47.550474308300743</v>
          </cell>
          <cell r="G1001">
            <v>30.080118577074259</v>
          </cell>
          <cell r="H1001">
            <v>30.080118577074259</v>
          </cell>
          <cell r="I1001" t="e">
            <v>#N/A</v>
          </cell>
          <cell r="J1001" t="e">
            <v>#N/A</v>
          </cell>
          <cell r="K1001">
            <v>42</v>
          </cell>
          <cell r="L1001">
            <v>32</v>
          </cell>
          <cell r="M1001" t="e">
            <v>#N/A</v>
          </cell>
          <cell r="N1001">
            <v>37</v>
          </cell>
          <cell r="O1001" t="e">
            <v>#N/A</v>
          </cell>
          <cell r="P1001" t="str">
            <v/>
          </cell>
          <cell r="Q1001" t="str">
            <v/>
          </cell>
          <cell r="R1001" t="e">
            <v>#N/A</v>
          </cell>
        </row>
        <row r="1002">
          <cell r="A1002" t="str">
            <v/>
          </cell>
          <cell r="B1002" t="str">
            <v/>
          </cell>
          <cell r="C1002" t="str">
            <v>Future</v>
          </cell>
          <cell r="D1002" t="e">
            <v>#N/A</v>
          </cell>
          <cell r="E1002">
            <v>-25.961660079051171</v>
          </cell>
          <cell r="F1002">
            <v>47.57984189723355</v>
          </cell>
          <cell r="G1002">
            <v>30.069960474307461</v>
          </cell>
          <cell r="H1002">
            <v>30.069960474307461</v>
          </cell>
          <cell r="I1002" t="e">
            <v>#N/A</v>
          </cell>
          <cell r="J1002" t="e">
            <v>#N/A</v>
          </cell>
          <cell r="K1002">
            <v>42</v>
          </cell>
          <cell r="L1002">
            <v>32</v>
          </cell>
          <cell r="M1002" t="e">
            <v>#N/A</v>
          </cell>
          <cell r="N1002">
            <v>37</v>
          </cell>
          <cell r="O1002" t="e">
            <v>#N/A</v>
          </cell>
          <cell r="P1002" t="str">
            <v/>
          </cell>
          <cell r="Q1002" t="str">
            <v/>
          </cell>
          <cell r="R1002" t="e">
            <v>#N/A</v>
          </cell>
        </row>
        <row r="1003">
          <cell r="A1003" t="str">
            <v/>
          </cell>
          <cell r="B1003" t="str">
            <v/>
          </cell>
          <cell r="C1003" t="str">
            <v>Future</v>
          </cell>
          <cell r="D1003" t="e">
            <v>#N/A</v>
          </cell>
          <cell r="E1003">
            <v>-26.098300395256704</v>
          </cell>
          <cell r="F1003">
            <v>47.609209486166357</v>
          </cell>
          <cell r="G1003">
            <v>30.059802371540663</v>
          </cell>
          <cell r="H1003">
            <v>30.059802371540663</v>
          </cell>
          <cell r="I1003" t="e">
            <v>#N/A</v>
          </cell>
          <cell r="J1003" t="e">
            <v>#N/A</v>
          </cell>
          <cell r="K1003">
            <v>42</v>
          </cell>
          <cell r="L1003">
            <v>32</v>
          </cell>
          <cell r="M1003" t="e">
            <v>#N/A</v>
          </cell>
          <cell r="N1003">
            <v>37</v>
          </cell>
          <cell r="O1003" t="e">
            <v>#N/A</v>
          </cell>
          <cell r="P1003" t="str">
            <v/>
          </cell>
          <cell r="Q1003" t="str">
            <v/>
          </cell>
          <cell r="R1003" t="e">
            <v>#N/A</v>
          </cell>
        </row>
        <row r="1004">
          <cell r="A1004" t="str">
            <v/>
          </cell>
          <cell r="B1004" t="str">
            <v/>
          </cell>
          <cell r="C1004" t="str">
            <v>Future</v>
          </cell>
          <cell r="D1004" t="e">
            <v>#N/A</v>
          </cell>
          <cell r="E1004">
            <v>-26.234940711462237</v>
          </cell>
          <cell r="F1004">
            <v>47.638577075099164</v>
          </cell>
          <cell r="G1004">
            <v>30.049644268773864</v>
          </cell>
          <cell r="H1004">
            <v>30.049644268773864</v>
          </cell>
          <cell r="I1004" t="e">
            <v>#N/A</v>
          </cell>
          <cell r="J1004" t="e">
            <v>#N/A</v>
          </cell>
          <cell r="K1004">
            <v>42</v>
          </cell>
          <cell r="L1004">
            <v>32</v>
          </cell>
          <cell r="M1004" t="e">
            <v>#N/A</v>
          </cell>
          <cell r="N1004">
            <v>37</v>
          </cell>
          <cell r="O1004" t="e">
            <v>#N/A</v>
          </cell>
          <cell r="P1004" t="str">
            <v/>
          </cell>
          <cell r="Q1004" t="str">
            <v/>
          </cell>
          <cell r="R1004" t="e">
            <v>#N/A</v>
          </cell>
        </row>
        <row r="1005">
          <cell r="A1005" t="str">
            <v/>
          </cell>
          <cell r="B1005" t="str">
            <v/>
          </cell>
          <cell r="C1005" t="str">
            <v>Future</v>
          </cell>
          <cell r="D1005" t="e">
            <v>#N/A</v>
          </cell>
          <cell r="E1005">
            <v>-26.371581027667769</v>
          </cell>
          <cell r="F1005">
            <v>47.667944664031971</v>
          </cell>
          <cell r="G1005">
            <v>30.039486166007066</v>
          </cell>
          <cell r="H1005">
            <v>30.039486166007066</v>
          </cell>
          <cell r="I1005" t="e">
            <v>#N/A</v>
          </cell>
          <cell r="J1005" t="e">
            <v>#N/A</v>
          </cell>
          <cell r="K1005">
            <v>42</v>
          </cell>
          <cell r="L1005">
            <v>32</v>
          </cell>
          <cell r="M1005" t="e">
            <v>#N/A</v>
          </cell>
          <cell r="N1005">
            <v>37</v>
          </cell>
          <cell r="O1005" t="e">
            <v>#N/A</v>
          </cell>
          <cell r="P1005" t="str">
            <v/>
          </cell>
          <cell r="Q1005" t="str">
            <v/>
          </cell>
          <cell r="R1005" t="e">
            <v>#N/A</v>
          </cell>
        </row>
        <row r="1006">
          <cell r="A1006" t="str">
            <v/>
          </cell>
          <cell r="B1006" t="str">
            <v/>
          </cell>
          <cell r="C1006" t="str">
            <v>Future</v>
          </cell>
          <cell r="D1006" t="e">
            <v>#N/A</v>
          </cell>
          <cell r="E1006">
            <v>-26.508221343873302</v>
          </cell>
          <cell r="F1006">
            <v>47.697312252964778</v>
          </cell>
          <cell r="G1006">
            <v>30.029328063240268</v>
          </cell>
          <cell r="H1006">
            <v>30.029328063240268</v>
          </cell>
          <cell r="I1006" t="e">
            <v>#N/A</v>
          </cell>
          <cell r="J1006" t="e">
            <v>#N/A</v>
          </cell>
          <cell r="K1006">
            <v>42</v>
          </cell>
          <cell r="L1006">
            <v>32</v>
          </cell>
          <cell r="M1006" t="e">
            <v>#N/A</v>
          </cell>
          <cell r="N1006">
            <v>37</v>
          </cell>
          <cell r="O1006" t="e">
            <v>#N/A</v>
          </cell>
          <cell r="P1006" t="str">
            <v/>
          </cell>
          <cell r="Q1006" t="str">
            <v/>
          </cell>
          <cell r="R1006" t="e">
            <v>#N/A</v>
          </cell>
        </row>
        <row r="1007">
          <cell r="A1007" t="str">
            <v/>
          </cell>
          <cell r="B1007" t="str">
            <v/>
          </cell>
          <cell r="C1007" t="str">
            <v>Future</v>
          </cell>
          <cell r="D1007" t="e">
            <v>#N/A</v>
          </cell>
          <cell r="E1007">
            <v>-26.644861660078835</v>
          </cell>
          <cell r="F1007">
            <v>47.726679841897585</v>
          </cell>
          <cell r="G1007">
            <v>30.019169960473469</v>
          </cell>
          <cell r="H1007">
            <v>30.019169960473469</v>
          </cell>
          <cell r="I1007" t="e">
            <v>#N/A</v>
          </cell>
          <cell r="J1007" t="e">
            <v>#N/A</v>
          </cell>
          <cell r="K1007">
            <v>42</v>
          </cell>
          <cell r="L1007">
            <v>32</v>
          </cell>
          <cell r="M1007" t="e">
            <v>#N/A</v>
          </cell>
          <cell r="N1007">
            <v>37</v>
          </cell>
          <cell r="O1007" t="e">
            <v>#N/A</v>
          </cell>
          <cell r="P1007" t="str">
            <v/>
          </cell>
          <cell r="Q1007" t="str">
            <v/>
          </cell>
          <cell r="R1007" t="e">
            <v>#N/A</v>
          </cell>
        </row>
        <row r="1008">
          <cell r="A1008" t="str">
            <v/>
          </cell>
          <cell r="B1008" t="str">
            <v/>
          </cell>
          <cell r="C1008" t="str">
            <v>Future</v>
          </cell>
          <cell r="D1008" t="e">
            <v>#N/A</v>
          </cell>
          <cell r="E1008">
            <v>-26.781501976284368</v>
          </cell>
          <cell r="F1008">
            <v>47.756047430830392</v>
          </cell>
          <cell r="G1008">
            <v>30.009011857706671</v>
          </cell>
          <cell r="H1008">
            <v>30.009011857706671</v>
          </cell>
          <cell r="I1008" t="e">
            <v>#N/A</v>
          </cell>
          <cell r="J1008" t="e">
            <v>#N/A</v>
          </cell>
          <cell r="K1008">
            <v>42</v>
          </cell>
          <cell r="L1008">
            <v>32</v>
          </cell>
          <cell r="M1008" t="e">
            <v>#N/A</v>
          </cell>
          <cell r="N1008">
            <v>37</v>
          </cell>
          <cell r="O1008" t="e">
            <v>#N/A</v>
          </cell>
          <cell r="P1008" t="str">
            <v/>
          </cell>
          <cell r="Q1008" t="str">
            <v/>
          </cell>
          <cell r="R1008" t="e">
            <v>#N/A</v>
          </cell>
        </row>
        <row r="1009">
          <cell r="A1009" t="str">
            <v/>
          </cell>
          <cell r="B1009" t="str">
            <v/>
          </cell>
          <cell r="C1009" t="str">
            <v>Future</v>
          </cell>
          <cell r="D1009" t="e">
            <v>#N/A</v>
          </cell>
          <cell r="E1009">
            <v>-26.9181422924899</v>
          </cell>
          <cell r="F1009">
            <v>47.785415019763199</v>
          </cell>
          <cell r="G1009">
            <v>29.998853754939873</v>
          </cell>
          <cell r="H1009">
            <v>29.998853754939873</v>
          </cell>
          <cell r="I1009" t="e">
            <v>#N/A</v>
          </cell>
          <cell r="J1009" t="e">
            <v>#N/A</v>
          </cell>
          <cell r="K1009">
            <v>42</v>
          </cell>
          <cell r="L1009">
            <v>32</v>
          </cell>
          <cell r="M1009" t="e">
            <v>#N/A</v>
          </cell>
          <cell r="N1009">
            <v>37</v>
          </cell>
          <cell r="O1009" t="e">
            <v>#N/A</v>
          </cell>
          <cell r="P1009" t="str">
            <v/>
          </cell>
          <cell r="Q1009" t="str">
            <v/>
          </cell>
          <cell r="R1009" t="e">
            <v>#N/A</v>
          </cell>
        </row>
        <row r="1010">
          <cell r="A1010" t="str">
            <v/>
          </cell>
          <cell r="B1010" t="str">
            <v/>
          </cell>
          <cell r="C1010" t="str">
            <v>Future</v>
          </cell>
          <cell r="D1010" t="e">
            <v>#N/A</v>
          </cell>
          <cell r="E1010">
            <v>-27.054782608695433</v>
          </cell>
          <cell r="F1010">
            <v>47.814782608696007</v>
          </cell>
          <cell r="G1010">
            <v>29.988695652173075</v>
          </cell>
          <cell r="H1010">
            <v>29.988695652173075</v>
          </cell>
          <cell r="I1010" t="e">
            <v>#N/A</v>
          </cell>
          <cell r="J1010" t="e">
            <v>#N/A</v>
          </cell>
          <cell r="K1010">
            <v>42</v>
          </cell>
          <cell r="L1010">
            <v>32</v>
          </cell>
          <cell r="M1010" t="e">
            <v>#N/A</v>
          </cell>
          <cell r="N1010">
            <v>37</v>
          </cell>
          <cell r="O1010" t="e">
            <v>#N/A</v>
          </cell>
          <cell r="P1010" t="str">
            <v/>
          </cell>
          <cell r="Q1010" t="str">
            <v/>
          </cell>
          <cell r="R1010" t="e">
            <v>#N/A</v>
          </cell>
        </row>
        <row r="1011">
          <cell r="A1011" t="str">
            <v/>
          </cell>
          <cell r="B1011" t="str">
            <v/>
          </cell>
          <cell r="C1011" t="str">
            <v>Future</v>
          </cell>
          <cell r="D1011" t="e">
            <v>#N/A</v>
          </cell>
          <cell r="E1011">
            <v>-27.191422924900966</v>
          </cell>
          <cell r="F1011">
            <v>47.844150197628814</v>
          </cell>
          <cell r="G1011">
            <v>29.978537549406276</v>
          </cell>
          <cell r="H1011">
            <v>29.978537549406276</v>
          </cell>
          <cell r="I1011" t="e">
            <v>#N/A</v>
          </cell>
          <cell r="J1011" t="e">
            <v>#N/A</v>
          </cell>
          <cell r="K1011">
            <v>42</v>
          </cell>
          <cell r="L1011">
            <v>32</v>
          </cell>
          <cell r="M1011" t="e">
            <v>#N/A</v>
          </cell>
          <cell r="N1011">
            <v>37</v>
          </cell>
          <cell r="O1011" t="e">
            <v>#N/A</v>
          </cell>
          <cell r="P1011" t="str">
            <v/>
          </cell>
          <cell r="Q1011" t="str">
            <v/>
          </cell>
          <cell r="R1011" t="e">
            <v>#N/A</v>
          </cell>
        </row>
        <row r="1012">
          <cell r="A1012" t="str">
            <v/>
          </cell>
          <cell r="B1012" t="str">
            <v/>
          </cell>
          <cell r="C1012" t="str">
            <v>Future</v>
          </cell>
          <cell r="D1012" t="e">
            <v>#N/A</v>
          </cell>
          <cell r="E1012">
            <v>-27.328063241106499</v>
          </cell>
          <cell r="F1012">
            <v>47.873517786561621</v>
          </cell>
          <cell r="G1012">
            <v>29.968379446639478</v>
          </cell>
          <cell r="H1012">
            <v>29.968379446639478</v>
          </cell>
          <cell r="I1012" t="e">
            <v>#N/A</v>
          </cell>
          <cell r="J1012" t="e">
            <v>#N/A</v>
          </cell>
          <cell r="K1012">
            <v>42</v>
          </cell>
          <cell r="L1012">
            <v>32</v>
          </cell>
          <cell r="M1012" t="e">
            <v>#N/A</v>
          </cell>
          <cell r="N1012">
            <v>37</v>
          </cell>
          <cell r="O1012" t="e">
            <v>#N/A</v>
          </cell>
          <cell r="P1012" t="str">
            <v/>
          </cell>
          <cell r="Q1012" t="str">
            <v/>
          </cell>
          <cell r="R1012" t="e">
            <v>#N/A</v>
          </cell>
        </row>
        <row r="1013">
          <cell r="A1013" t="str">
            <v/>
          </cell>
          <cell r="B1013" t="str">
            <v/>
          </cell>
          <cell r="C1013" t="str">
            <v>Future</v>
          </cell>
          <cell r="D1013" t="e">
            <v>#N/A</v>
          </cell>
          <cell r="E1013">
            <v>-27.464703557312031</v>
          </cell>
          <cell r="F1013">
            <v>47.902885375494428</v>
          </cell>
          <cell r="G1013">
            <v>29.95822134387268</v>
          </cell>
          <cell r="H1013">
            <v>29.95822134387268</v>
          </cell>
          <cell r="I1013" t="e">
            <v>#N/A</v>
          </cell>
          <cell r="J1013" t="e">
            <v>#N/A</v>
          </cell>
          <cell r="K1013">
            <v>42</v>
          </cell>
          <cell r="L1013">
            <v>32</v>
          </cell>
          <cell r="M1013" t="e">
            <v>#N/A</v>
          </cell>
          <cell r="N1013">
            <v>37</v>
          </cell>
          <cell r="O1013" t="e">
            <v>#N/A</v>
          </cell>
          <cell r="P1013" t="str">
            <v/>
          </cell>
          <cell r="Q1013" t="str">
            <v/>
          </cell>
          <cell r="R1013" t="e">
            <v>#N/A</v>
          </cell>
        </row>
        <row r="1014">
          <cell r="A1014" t="str">
            <v/>
          </cell>
          <cell r="B1014" t="str">
            <v/>
          </cell>
          <cell r="C1014" t="str">
            <v>Future</v>
          </cell>
          <cell r="D1014" t="e">
            <v>#N/A</v>
          </cell>
          <cell r="E1014">
            <v>-27.601343873517564</v>
          </cell>
          <cell r="F1014">
            <v>47.932252964427235</v>
          </cell>
          <cell r="G1014">
            <v>29.948063241105881</v>
          </cell>
          <cell r="H1014">
            <v>29.948063241105881</v>
          </cell>
          <cell r="I1014" t="e">
            <v>#N/A</v>
          </cell>
          <cell r="J1014" t="e">
            <v>#N/A</v>
          </cell>
          <cell r="K1014">
            <v>42</v>
          </cell>
          <cell r="L1014">
            <v>32</v>
          </cell>
          <cell r="M1014" t="e">
            <v>#N/A</v>
          </cell>
          <cell r="N1014">
            <v>37</v>
          </cell>
          <cell r="O1014" t="e">
            <v>#N/A</v>
          </cell>
          <cell r="P1014" t="str">
            <v/>
          </cell>
          <cell r="Q1014" t="str">
            <v/>
          </cell>
          <cell r="R1014" t="e">
            <v>#N/A</v>
          </cell>
        </row>
        <row r="1015">
          <cell r="A1015" t="str">
            <v/>
          </cell>
          <cell r="B1015" t="str">
            <v/>
          </cell>
          <cell r="C1015" t="str">
            <v>Future</v>
          </cell>
          <cell r="D1015" t="e">
            <v>#N/A</v>
          </cell>
          <cell r="E1015">
            <v>-27.737984189723097</v>
          </cell>
          <cell r="F1015">
            <v>47.961620553360042</v>
          </cell>
          <cell r="G1015">
            <v>29.937905138339083</v>
          </cell>
          <cell r="H1015">
            <v>29.937905138339083</v>
          </cell>
          <cell r="I1015" t="e">
            <v>#N/A</v>
          </cell>
          <cell r="J1015" t="e">
            <v>#N/A</v>
          </cell>
          <cell r="K1015">
            <v>42</v>
          </cell>
          <cell r="L1015">
            <v>32</v>
          </cell>
          <cell r="M1015" t="e">
            <v>#N/A</v>
          </cell>
          <cell r="N1015">
            <v>37</v>
          </cell>
          <cell r="O1015" t="e">
            <v>#N/A</v>
          </cell>
          <cell r="P1015" t="str">
            <v/>
          </cell>
          <cell r="Q1015" t="str">
            <v/>
          </cell>
          <cell r="R1015" t="e">
            <v>#N/A</v>
          </cell>
        </row>
        <row r="1016">
          <cell r="A1016" t="str">
            <v/>
          </cell>
          <cell r="B1016" t="str">
            <v/>
          </cell>
          <cell r="C1016" t="str">
            <v>Future</v>
          </cell>
          <cell r="D1016" t="e">
            <v>#N/A</v>
          </cell>
          <cell r="E1016">
            <v>-27.87462450592863</v>
          </cell>
          <cell r="F1016">
            <v>47.990988142292849</v>
          </cell>
          <cell r="G1016">
            <v>29.927747035572285</v>
          </cell>
          <cell r="H1016">
            <v>29.927747035572285</v>
          </cell>
          <cell r="I1016" t="e">
            <v>#N/A</v>
          </cell>
          <cell r="J1016" t="e">
            <v>#N/A</v>
          </cell>
          <cell r="K1016">
            <v>42</v>
          </cell>
          <cell r="L1016">
            <v>32</v>
          </cell>
          <cell r="M1016" t="e">
            <v>#N/A</v>
          </cell>
          <cell r="N1016">
            <v>37</v>
          </cell>
          <cell r="O1016" t="e">
            <v>#N/A</v>
          </cell>
          <cell r="P1016" t="str">
            <v/>
          </cell>
          <cell r="Q1016" t="str">
            <v/>
          </cell>
          <cell r="R1016" t="e">
            <v>#N/A</v>
          </cell>
        </row>
        <row r="1017">
          <cell r="A1017" t="str">
            <v/>
          </cell>
          <cell r="B1017" t="str">
            <v/>
          </cell>
          <cell r="C1017" t="str">
            <v>Future</v>
          </cell>
          <cell r="D1017" t="e">
            <v>#N/A</v>
          </cell>
          <cell r="E1017">
            <v>-28.011264822134162</v>
          </cell>
          <cell r="F1017">
            <v>48.020355731225656</v>
          </cell>
          <cell r="G1017">
            <v>29.917588932805486</v>
          </cell>
          <cell r="H1017">
            <v>29.917588932805486</v>
          </cell>
          <cell r="I1017" t="e">
            <v>#N/A</v>
          </cell>
          <cell r="J1017" t="e">
            <v>#N/A</v>
          </cell>
          <cell r="K1017">
            <v>42</v>
          </cell>
          <cell r="L1017">
            <v>32</v>
          </cell>
          <cell r="M1017" t="e">
            <v>#N/A</v>
          </cell>
          <cell r="N1017">
            <v>37</v>
          </cell>
          <cell r="O1017" t="e">
            <v>#N/A</v>
          </cell>
          <cell r="P1017" t="str">
            <v/>
          </cell>
          <cell r="Q1017" t="str">
            <v/>
          </cell>
          <cell r="R1017" t="e">
            <v>#N/A</v>
          </cell>
        </row>
        <row r="1018">
          <cell r="A1018" t="str">
            <v/>
          </cell>
          <cell r="B1018" t="str">
            <v/>
          </cell>
          <cell r="C1018" t="str">
            <v>Future</v>
          </cell>
          <cell r="D1018" t="e">
            <v>#N/A</v>
          </cell>
          <cell r="E1018">
            <v>-28.147905138339695</v>
          </cell>
          <cell r="F1018">
            <v>48.049723320158463</v>
          </cell>
          <cell r="G1018">
            <v>29.907430830038688</v>
          </cell>
          <cell r="H1018">
            <v>29.907430830038688</v>
          </cell>
          <cell r="I1018" t="e">
            <v>#N/A</v>
          </cell>
          <cell r="J1018" t="e">
            <v>#N/A</v>
          </cell>
          <cell r="K1018">
            <v>42</v>
          </cell>
          <cell r="L1018">
            <v>32</v>
          </cell>
          <cell r="M1018" t="e">
            <v>#N/A</v>
          </cell>
          <cell r="N1018">
            <v>37</v>
          </cell>
          <cell r="O1018" t="e">
            <v>#N/A</v>
          </cell>
          <cell r="P1018" t="str">
            <v/>
          </cell>
          <cell r="Q1018" t="str">
            <v/>
          </cell>
          <cell r="R1018" t="e">
            <v>#N/A</v>
          </cell>
        </row>
        <row r="1019">
          <cell r="A1019" t="str">
            <v/>
          </cell>
          <cell r="B1019" t="str">
            <v/>
          </cell>
          <cell r="C1019" t="str">
            <v>Future</v>
          </cell>
          <cell r="D1019" t="e">
            <v>#N/A</v>
          </cell>
          <cell r="E1019">
            <v>-28.284545454545228</v>
          </cell>
          <cell r="F1019">
            <v>48.079090909091271</v>
          </cell>
          <cell r="G1019">
            <v>29.89727272727189</v>
          </cell>
          <cell r="H1019">
            <v>29.89727272727189</v>
          </cell>
          <cell r="I1019" t="e">
            <v>#N/A</v>
          </cell>
          <cell r="J1019" t="e">
            <v>#N/A</v>
          </cell>
          <cell r="K1019">
            <v>42</v>
          </cell>
          <cell r="L1019">
            <v>32</v>
          </cell>
          <cell r="M1019" t="e">
            <v>#N/A</v>
          </cell>
          <cell r="N1019">
            <v>37</v>
          </cell>
          <cell r="O1019" t="e">
            <v>#N/A</v>
          </cell>
          <cell r="P1019" t="str">
            <v/>
          </cell>
          <cell r="Q1019" t="str">
            <v/>
          </cell>
          <cell r="R1019" t="e">
            <v>#N/A</v>
          </cell>
        </row>
        <row r="1020">
          <cell r="A1020" t="str">
            <v/>
          </cell>
          <cell r="B1020" t="str">
            <v/>
          </cell>
          <cell r="C1020" t="str">
            <v>Future</v>
          </cell>
          <cell r="D1020" t="e">
            <v>#N/A</v>
          </cell>
          <cell r="E1020">
            <v>-28.42118577075076</v>
          </cell>
          <cell r="F1020">
            <v>48.108458498024078</v>
          </cell>
          <cell r="G1020">
            <v>29.887114624505092</v>
          </cell>
          <cell r="H1020">
            <v>29.887114624505092</v>
          </cell>
          <cell r="I1020" t="e">
            <v>#N/A</v>
          </cell>
          <cell r="J1020" t="e">
            <v>#N/A</v>
          </cell>
          <cell r="K1020">
            <v>42</v>
          </cell>
          <cell r="L1020">
            <v>32</v>
          </cell>
          <cell r="M1020" t="e">
            <v>#N/A</v>
          </cell>
          <cell r="N1020">
            <v>37</v>
          </cell>
          <cell r="O1020" t="e">
            <v>#N/A</v>
          </cell>
          <cell r="P1020" t="str">
            <v/>
          </cell>
          <cell r="Q1020" t="str">
            <v/>
          </cell>
          <cell r="R1020" t="e">
            <v>#N/A</v>
          </cell>
        </row>
        <row r="1021">
          <cell r="A1021" t="str">
            <v/>
          </cell>
          <cell r="B1021" t="str">
            <v/>
          </cell>
          <cell r="C1021" t="str">
            <v>Future</v>
          </cell>
          <cell r="D1021" t="e">
            <v>#N/A</v>
          </cell>
          <cell r="E1021">
            <v>-28.557826086956293</v>
          </cell>
          <cell r="F1021">
            <v>48.137826086956885</v>
          </cell>
          <cell r="G1021">
            <v>29.876956521738293</v>
          </cell>
          <cell r="H1021">
            <v>29.876956521738293</v>
          </cell>
          <cell r="I1021" t="e">
            <v>#N/A</v>
          </cell>
          <cell r="J1021" t="e">
            <v>#N/A</v>
          </cell>
          <cell r="K1021">
            <v>42</v>
          </cell>
          <cell r="L1021">
            <v>32</v>
          </cell>
          <cell r="M1021" t="e">
            <v>#N/A</v>
          </cell>
          <cell r="N1021">
            <v>37</v>
          </cell>
          <cell r="O1021" t="e">
            <v>#N/A</v>
          </cell>
          <cell r="P1021" t="str">
            <v/>
          </cell>
          <cell r="Q1021" t="str">
            <v/>
          </cell>
          <cell r="R1021" t="e">
            <v>#N/A</v>
          </cell>
        </row>
        <row r="1022">
          <cell r="A1022" t="str">
            <v/>
          </cell>
          <cell r="B1022" t="str">
            <v/>
          </cell>
          <cell r="C1022" t="str">
            <v>Future</v>
          </cell>
          <cell r="D1022" t="e">
            <v>#N/A</v>
          </cell>
          <cell r="E1022">
            <v>-28.694466403161826</v>
          </cell>
          <cell r="F1022">
            <v>48.167193675889692</v>
          </cell>
          <cell r="G1022">
            <v>29.866798418971495</v>
          </cell>
          <cell r="H1022">
            <v>29.866798418971495</v>
          </cell>
          <cell r="I1022" t="e">
            <v>#N/A</v>
          </cell>
          <cell r="J1022" t="e">
            <v>#N/A</v>
          </cell>
          <cell r="K1022">
            <v>42</v>
          </cell>
          <cell r="L1022">
            <v>32</v>
          </cell>
          <cell r="M1022" t="e">
            <v>#N/A</v>
          </cell>
          <cell r="N1022">
            <v>37</v>
          </cell>
          <cell r="O1022" t="e">
            <v>#N/A</v>
          </cell>
          <cell r="P1022" t="str">
            <v/>
          </cell>
          <cell r="Q1022" t="str">
            <v/>
          </cell>
          <cell r="R1022" t="e">
            <v>#N/A</v>
          </cell>
        </row>
        <row r="1023">
          <cell r="A1023" t="str">
            <v/>
          </cell>
          <cell r="B1023" t="str">
            <v/>
          </cell>
          <cell r="C1023" t="str">
            <v>Future</v>
          </cell>
          <cell r="D1023" t="e">
            <v>#N/A</v>
          </cell>
          <cell r="E1023">
            <v>-28.831106719367359</v>
          </cell>
          <cell r="F1023">
            <v>48.196561264822499</v>
          </cell>
          <cell r="G1023">
            <v>29.856640316204697</v>
          </cell>
          <cell r="H1023">
            <v>29.856640316204697</v>
          </cell>
          <cell r="I1023" t="e">
            <v>#N/A</v>
          </cell>
          <cell r="J1023" t="e">
            <v>#N/A</v>
          </cell>
          <cell r="K1023">
            <v>42</v>
          </cell>
          <cell r="L1023">
            <v>32</v>
          </cell>
          <cell r="M1023" t="e">
            <v>#N/A</v>
          </cell>
          <cell r="N1023">
            <v>37</v>
          </cell>
          <cell r="O1023" t="e">
            <v>#N/A</v>
          </cell>
          <cell r="P1023" t="str">
            <v/>
          </cell>
          <cell r="Q1023" t="str">
            <v/>
          </cell>
          <cell r="R1023" t="e">
            <v>#N/A</v>
          </cell>
        </row>
        <row r="1024">
          <cell r="A1024" t="str">
            <v/>
          </cell>
          <cell r="B1024" t="str">
            <v/>
          </cell>
          <cell r="C1024" t="str">
            <v>Future</v>
          </cell>
          <cell r="D1024" t="e">
            <v>#N/A</v>
          </cell>
          <cell r="E1024">
            <v>-28.967747035572891</v>
          </cell>
          <cell r="F1024">
            <v>48.225928853755306</v>
          </cell>
          <cell r="G1024">
            <v>29.846482213437898</v>
          </cell>
          <cell r="H1024">
            <v>29.846482213437898</v>
          </cell>
          <cell r="I1024" t="e">
            <v>#N/A</v>
          </cell>
          <cell r="J1024" t="e">
            <v>#N/A</v>
          </cell>
          <cell r="K1024">
            <v>42</v>
          </cell>
          <cell r="L1024">
            <v>32</v>
          </cell>
          <cell r="M1024" t="e">
            <v>#N/A</v>
          </cell>
          <cell r="N1024">
            <v>37</v>
          </cell>
          <cell r="O1024" t="e">
            <v>#N/A</v>
          </cell>
          <cell r="P1024" t="str">
            <v/>
          </cell>
          <cell r="Q1024" t="str">
            <v/>
          </cell>
          <cell r="R1024" t="e">
            <v>#N/A</v>
          </cell>
        </row>
        <row r="1025">
          <cell r="A1025" t="str">
            <v/>
          </cell>
          <cell r="B1025" t="str">
            <v/>
          </cell>
          <cell r="C1025" t="str">
            <v>Future</v>
          </cell>
          <cell r="D1025" t="e">
            <v>#N/A</v>
          </cell>
          <cell r="E1025">
            <v>-29.104387351778424</v>
          </cell>
          <cell r="F1025">
            <v>48.255296442688113</v>
          </cell>
          <cell r="G1025">
            <v>29.8363241106711</v>
          </cell>
          <cell r="H1025">
            <v>29.8363241106711</v>
          </cell>
          <cell r="I1025" t="e">
            <v>#N/A</v>
          </cell>
          <cell r="J1025" t="e">
            <v>#N/A</v>
          </cell>
          <cell r="K1025">
            <v>42</v>
          </cell>
          <cell r="L1025">
            <v>32</v>
          </cell>
          <cell r="M1025" t="e">
            <v>#N/A</v>
          </cell>
          <cell r="N1025">
            <v>37</v>
          </cell>
          <cell r="O1025" t="e">
            <v>#N/A</v>
          </cell>
          <cell r="P1025" t="str">
            <v/>
          </cell>
          <cell r="Q1025" t="str">
            <v/>
          </cell>
          <cell r="R1025" t="e">
            <v>#N/A</v>
          </cell>
        </row>
        <row r="1026">
          <cell r="A1026" t="str">
            <v/>
          </cell>
          <cell r="B1026" t="str">
            <v/>
          </cell>
          <cell r="C1026" t="str">
            <v>Future</v>
          </cell>
          <cell r="D1026" t="e">
            <v>#N/A</v>
          </cell>
          <cell r="E1026">
            <v>-29.241027667983957</v>
          </cell>
          <cell r="F1026">
            <v>48.28466403162092</v>
          </cell>
          <cell r="G1026">
            <v>29.826166007904302</v>
          </cell>
          <cell r="H1026">
            <v>29.826166007904302</v>
          </cell>
          <cell r="I1026" t="e">
            <v>#N/A</v>
          </cell>
          <cell r="J1026" t="e">
            <v>#N/A</v>
          </cell>
          <cell r="K1026">
            <v>42</v>
          </cell>
          <cell r="L1026">
            <v>32</v>
          </cell>
          <cell r="M1026" t="e">
            <v>#N/A</v>
          </cell>
          <cell r="N1026">
            <v>37</v>
          </cell>
          <cell r="O1026" t="e">
            <v>#N/A</v>
          </cell>
          <cell r="P1026" t="str">
            <v/>
          </cell>
          <cell r="Q1026" t="str">
            <v/>
          </cell>
          <cell r="R1026" t="e">
            <v>#N/A</v>
          </cell>
        </row>
        <row r="1027">
          <cell r="A1027" t="str">
            <v/>
          </cell>
          <cell r="B1027" t="str">
            <v/>
          </cell>
          <cell r="C1027" t="str">
            <v>Future</v>
          </cell>
          <cell r="D1027" t="e">
            <v>#N/A</v>
          </cell>
          <cell r="E1027">
            <v>-29.37766798418949</v>
          </cell>
          <cell r="F1027">
            <v>48.314031620553727</v>
          </cell>
          <cell r="G1027">
            <v>29.816007905137504</v>
          </cell>
          <cell r="H1027">
            <v>29.816007905137504</v>
          </cell>
          <cell r="I1027" t="e">
            <v>#N/A</v>
          </cell>
          <cell r="J1027" t="e">
            <v>#N/A</v>
          </cell>
          <cell r="K1027">
            <v>42</v>
          </cell>
          <cell r="L1027">
            <v>32</v>
          </cell>
          <cell r="M1027" t="e">
            <v>#N/A</v>
          </cell>
          <cell r="N1027">
            <v>37</v>
          </cell>
          <cell r="O1027" t="e">
            <v>#N/A</v>
          </cell>
          <cell r="P1027" t="str">
            <v/>
          </cell>
          <cell r="Q1027" t="str">
            <v/>
          </cell>
          <cell r="R1027" t="e">
            <v>#N/A</v>
          </cell>
        </row>
        <row r="1028">
          <cell r="A1028" t="str">
            <v/>
          </cell>
          <cell r="B1028" t="str">
            <v/>
          </cell>
          <cell r="C1028" t="str">
            <v>Future</v>
          </cell>
          <cell r="D1028" t="e">
            <v>#N/A</v>
          </cell>
          <cell r="E1028">
            <v>-29.514308300395022</v>
          </cell>
          <cell r="F1028">
            <v>48.343399209486535</v>
          </cell>
          <cell r="G1028">
            <v>29.805849802370705</v>
          </cell>
          <cell r="H1028">
            <v>29.805849802370705</v>
          </cell>
          <cell r="I1028" t="e">
            <v>#N/A</v>
          </cell>
          <cell r="J1028" t="e">
            <v>#N/A</v>
          </cell>
          <cell r="K1028">
            <v>42</v>
          </cell>
          <cell r="L1028">
            <v>32</v>
          </cell>
          <cell r="M1028" t="e">
            <v>#N/A</v>
          </cell>
          <cell r="N1028">
            <v>37</v>
          </cell>
          <cell r="O1028" t="e">
            <v>#N/A</v>
          </cell>
          <cell r="P1028" t="str">
            <v/>
          </cell>
          <cell r="Q1028" t="str">
            <v/>
          </cell>
          <cell r="R1028" t="e">
            <v>#N/A</v>
          </cell>
        </row>
        <row r="1029">
          <cell r="A1029" t="str">
            <v/>
          </cell>
          <cell r="B1029" t="str">
            <v/>
          </cell>
          <cell r="C1029" t="str">
            <v>Future</v>
          </cell>
          <cell r="D1029" t="e">
            <v>#N/A</v>
          </cell>
          <cell r="E1029">
            <v>-29.650948616600555</v>
          </cell>
          <cell r="F1029">
            <v>48.372766798419342</v>
          </cell>
          <cell r="G1029">
            <v>29.795691699603907</v>
          </cell>
          <cell r="H1029">
            <v>29.795691699603907</v>
          </cell>
          <cell r="I1029" t="e">
            <v>#N/A</v>
          </cell>
          <cell r="J1029" t="e">
            <v>#N/A</v>
          </cell>
          <cell r="K1029">
            <v>42</v>
          </cell>
          <cell r="L1029">
            <v>32</v>
          </cell>
          <cell r="M1029" t="e">
            <v>#N/A</v>
          </cell>
          <cell r="N1029">
            <v>37</v>
          </cell>
          <cell r="O1029" t="e">
            <v>#N/A</v>
          </cell>
          <cell r="P1029" t="str">
            <v/>
          </cell>
          <cell r="Q1029" t="str">
            <v/>
          </cell>
          <cell r="R1029" t="e">
            <v>#N/A</v>
          </cell>
        </row>
        <row r="1030">
          <cell r="A1030" t="str">
            <v/>
          </cell>
          <cell r="B1030" t="str">
            <v/>
          </cell>
          <cell r="C1030" t="str">
            <v>Future</v>
          </cell>
          <cell r="D1030" t="e">
            <v>#N/A</v>
          </cell>
          <cell r="E1030">
            <v>-29.787588932806088</v>
          </cell>
          <cell r="F1030">
            <v>48.402134387352149</v>
          </cell>
          <cell r="G1030">
            <v>29.785533596837109</v>
          </cell>
          <cell r="H1030">
            <v>29.785533596837109</v>
          </cell>
          <cell r="I1030" t="e">
            <v>#N/A</v>
          </cell>
          <cell r="J1030" t="e">
            <v>#N/A</v>
          </cell>
          <cell r="K1030">
            <v>42</v>
          </cell>
          <cell r="L1030">
            <v>32</v>
          </cell>
          <cell r="M1030" t="e">
            <v>#N/A</v>
          </cell>
          <cell r="N1030">
            <v>37</v>
          </cell>
          <cell r="O1030" t="e">
            <v>#N/A</v>
          </cell>
          <cell r="P1030" t="str">
            <v/>
          </cell>
          <cell r="Q1030" t="str">
            <v/>
          </cell>
          <cell r="R1030" t="e">
            <v>#N/A</v>
          </cell>
        </row>
        <row r="1031">
          <cell r="A1031" t="str">
            <v/>
          </cell>
          <cell r="B1031" t="str">
            <v/>
          </cell>
          <cell r="C1031" t="str">
            <v>Future</v>
          </cell>
          <cell r="D1031" t="e">
            <v>#N/A</v>
          </cell>
          <cell r="E1031">
            <v>-29.924229249011621</v>
          </cell>
          <cell r="F1031">
            <v>48.431501976284956</v>
          </cell>
          <cell r="G1031">
            <v>29.77537549407031</v>
          </cell>
          <cell r="H1031">
            <v>29.77537549407031</v>
          </cell>
          <cell r="I1031" t="e">
            <v>#N/A</v>
          </cell>
          <cell r="J1031" t="e">
            <v>#N/A</v>
          </cell>
          <cell r="K1031">
            <v>42</v>
          </cell>
          <cell r="L1031">
            <v>32</v>
          </cell>
          <cell r="M1031" t="e">
            <v>#N/A</v>
          </cell>
          <cell r="N1031">
            <v>37</v>
          </cell>
          <cell r="O1031" t="e">
            <v>#N/A</v>
          </cell>
          <cell r="P1031" t="str">
            <v/>
          </cell>
          <cell r="Q1031" t="str">
            <v/>
          </cell>
          <cell r="R1031" t="e">
            <v>#N/A</v>
          </cell>
        </row>
        <row r="1032">
          <cell r="A1032" t="str">
            <v/>
          </cell>
          <cell r="B1032" t="str">
            <v/>
          </cell>
          <cell r="C1032" t="str">
            <v>Future</v>
          </cell>
          <cell r="D1032" t="e">
            <v>#N/A</v>
          </cell>
          <cell r="E1032">
            <v>-30.060869565217153</v>
          </cell>
          <cell r="F1032">
            <v>48.460869565217763</v>
          </cell>
          <cell r="G1032">
            <v>29.765217391303512</v>
          </cell>
          <cell r="H1032">
            <v>29.765217391303512</v>
          </cell>
          <cell r="I1032" t="e">
            <v>#N/A</v>
          </cell>
          <cell r="J1032" t="e">
            <v>#N/A</v>
          </cell>
          <cell r="K1032">
            <v>42</v>
          </cell>
          <cell r="L1032">
            <v>32</v>
          </cell>
          <cell r="M1032" t="e">
            <v>#N/A</v>
          </cell>
          <cell r="N1032">
            <v>37</v>
          </cell>
          <cell r="O1032" t="e">
            <v>#N/A</v>
          </cell>
          <cell r="P1032" t="str">
            <v/>
          </cell>
          <cell r="Q1032" t="str">
            <v/>
          </cell>
          <cell r="R1032" t="e">
            <v>#N/A</v>
          </cell>
        </row>
        <row r="1033">
          <cell r="A1033" t="str">
            <v/>
          </cell>
          <cell r="B1033" t="str">
            <v/>
          </cell>
          <cell r="C1033" t="str">
            <v>Future</v>
          </cell>
          <cell r="D1033" t="e">
            <v>#N/A</v>
          </cell>
          <cell r="E1033">
            <v>-30.197509881422686</v>
          </cell>
          <cell r="F1033">
            <v>48.49023715415057</v>
          </cell>
          <cell r="G1033">
            <v>29.755059288536714</v>
          </cell>
          <cell r="H1033">
            <v>29.755059288536714</v>
          </cell>
          <cell r="I1033" t="e">
            <v>#N/A</v>
          </cell>
          <cell r="J1033" t="e">
            <v>#N/A</v>
          </cell>
          <cell r="K1033">
            <v>42</v>
          </cell>
          <cell r="L1033">
            <v>32</v>
          </cell>
          <cell r="M1033" t="e">
            <v>#N/A</v>
          </cell>
          <cell r="N1033">
            <v>37</v>
          </cell>
          <cell r="O1033" t="e">
            <v>#N/A</v>
          </cell>
          <cell r="P1033" t="str">
            <v/>
          </cell>
          <cell r="Q1033" t="str">
            <v/>
          </cell>
          <cell r="R1033" t="e">
            <v>#N/A</v>
          </cell>
        </row>
        <row r="1034">
          <cell r="A1034" t="str">
            <v/>
          </cell>
          <cell r="B1034" t="str">
            <v/>
          </cell>
          <cell r="C1034" t="str">
            <v>Future</v>
          </cell>
          <cell r="D1034" t="e">
            <v>#N/A</v>
          </cell>
          <cell r="E1034">
            <v>-30.334150197628219</v>
          </cell>
          <cell r="F1034">
            <v>48.519604743083377</v>
          </cell>
          <cell r="G1034">
            <v>29.744901185769915</v>
          </cell>
          <cell r="H1034">
            <v>29.744901185769915</v>
          </cell>
          <cell r="I1034" t="e">
            <v>#N/A</v>
          </cell>
          <cell r="J1034" t="e">
            <v>#N/A</v>
          </cell>
          <cell r="K1034">
            <v>42</v>
          </cell>
          <cell r="L1034">
            <v>32</v>
          </cell>
          <cell r="M1034" t="e">
            <v>#N/A</v>
          </cell>
          <cell r="N1034">
            <v>37</v>
          </cell>
          <cell r="O1034" t="e">
            <v>#N/A</v>
          </cell>
          <cell r="P1034" t="str">
            <v/>
          </cell>
          <cell r="Q1034" t="str">
            <v/>
          </cell>
          <cell r="R1034" t="e">
            <v>#N/A</v>
          </cell>
        </row>
        <row r="1035">
          <cell r="A1035" t="str">
            <v/>
          </cell>
          <cell r="B1035" t="str">
            <v/>
          </cell>
          <cell r="C1035" t="str">
            <v>Future</v>
          </cell>
          <cell r="D1035" t="e">
            <v>#N/A</v>
          </cell>
          <cell r="E1035">
            <v>-30.470790513833752</v>
          </cell>
          <cell r="F1035">
            <v>48.548972332016184</v>
          </cell>
          <cell r="G1035">
            <v>29.734743083003117</v>
          </cell>
          <cell r="H1035">
            <v>29.734743083003117</v>
          </cell>
          <cell r="I1035" t="e">
            <v>#N/A</v>
          </cell>
          <cell r="J1035" t="e">
            <v>#N/A</v>
          </cell>
          <cell r="K1035">
            <v>42</v>
          </cell>
          <cell r="L1035">
            <v>32</v>
          </cell>
          <cell r="M1035" t="e">
            <v>#N/A</v>
          </cell>
          <cell r="N1035">
            <v>37</v>
          </cell>
          <cell r="O1035" t="e">
            <v>#N/A</v>
          </cell>
          <cell r="P1035" t="str">
            <v/>
          </cell>
          <cell r="Q1035" t="str">
            <v/>
          </cell>
          <cell r="R1035" t="e">
            <v>#N/A</v>
          </cell>
        </row>
        <row r="1036">
          <cell r="A1036" t="str">
            <v/>
          </cell>
          <cell r="B1036" t="str">
            <v/>
          </cell>
          <cell r="C1036" t="str">
            <v>Future</v>
          </cell>
          <cell r="D1036" t="e">
            <v>#N/A</v>
          </cell>
          <cell r="E1036">
            <v>-30.607430830039284</v>
          </cell>
          <cell r="F1036">
            <v>48.578339920948991</v>
          </cell>
          <cell r="G1036">
            <v>29.724584980236319</v>
          </cell>
          <cell r="H1036">
            <v>29.724584980236319</v>
          </cell>
          <cell r="I1036" t="e">
            <v>#N/A</v>
          </cell>
          <cell r="J1036" t="e">
            <v>#N/A</v>
          </cell>
          <cell r="K1036">
            <v>42</v>
          </cell>
          <cell r="L1036">
            <v>32</v>
          </cell>
          <cell r="M1036" t="e">
            <v>#N/A</v>
          </cell>
          <cell r="N1036">
            <v>37</v>
          </cell>
          <cell r="O1036" t="e">
            <v>#N/A</v>
          </cell>
          <cell r="P1036" t="str">
            <v/>
          </cell>
          <cell r="Q1036" t="str">
            <v/>
          </cell>
          <cell r="R1036" t="e">
            <v>#N/A</v>
          </cell>
        </row>
        <row r="1037">
          <cell r="A1037" t="str">
            <v/>
          </cell>
          <cell r="B1037" t="str">
            <v/>
          </cell>
          <cell r="C1037" t="str">
            <v>Future</v>
          </cell>
          <cell r="D1037" t="e">
            <v>#N/A</v>
          </cell>
          <cell r="E1037">
            <v>-30.744071146244817</v>
          </cell>
          <cell r="F1037">
            <v>48.607707509881799</v>
          </cell>
          <cell r="G1037">
            <v>29.714426877469521</v>
          </cell>
          <cell r="H1037">
            <v>29.714426877469521</v>
          </cell>
          <cell r="I1037" t="e">
            <v>#N/A</v>
          </cell>
          <cell r="J1037" t="e">
            <v>#N/A</v>
          </cell>
          <cell r="K1037">
            <v>42</v>
          </cell>
          <cell r="L1037">
            <v>32</v>
          </cell>
          <cell r="M1037" t="e">
            <v>#N/A</v>
          </cell>
          <cell r="N1037">
            <v>37</v>
          </cell>
          <cell r="O1037" t="e">
            <v>#N/A</v>
          </cell>
          <cell r="P1037" t="str">
            <v/>
          </cell>
          <cell r="Q1037" t="str">
            <v/>
          </cell>
          <cell r="R1037" t="e">
            <v>#N/A</v>
          </cell>
        </row>
        <row r="1038">
          <cell r="A1038" t="str">
            <v/>
          </cell>
          <cell r="B1038" t="str">
            <v/>
          </cell>
          <cell r="C1038" t="str">
            <v>Future</v>
          </cell>
          <cell r="D1038" t="e">
            <v>#N/A</v>
          </cell>
          <cell r="E1038">
            <v>-30.88071146245035</v>
          </cell>
          <cell r="F1038">
            <v>48.637075098814606</v>
          </cell>
          <cell r="G1038">
            <v>29.704268774702722</v>
          </cell>
          <cell r="H1038">
            <v>29.704268774702722</v>
          </cell>
          <cell r="I1038" t="e">
            <v>#N/A</v>
          </cell>
          <cell r="J1038" t="e">
            <v>#N/A</v>
          </cell>
          <cell r="K1038">
            <v>42</v>
          </cell>
          <cell r="L1038">
            <v>32</v>
          </cell>
          <cell r="M1038" t="e">
            <v>#N/A</v>
          </cell>
          <cell r="N1038">
            <v>37</v>
          </cell>
          <cell r="O1038" t="e">
            <v>#N/A</v>
          </cell>
          <cell r="P1038" t="str">
            <v/>
          </cell>
          <cell r="Q1038" t="str">
            <v/>
          </cell>
          <cell r="R1038" t="e">
            <v>#N/A</v>
          </cell>
        </row>
        <row r="1039">
          <cell r="A1039" t="str">
            <v/>
          </cell>
          <cell r="B1039" t="str">
            <v/>
          </cell>
          <cell r="C1039" t="str">
            <v>Future</v>
          </cell>
          <cell r="D1039" t="e">
            <v>#N/A</v>
          </cell>
          <cell r="E1039">
            <v>-31.017351778655883</v>
          </cell>
          <cell r="F1039">
            <v>48.666442687747413</v>
          </cell>
          <cell r="G1039">
            <v>29.694110671935924</v>
          </cell>
          <cell r="H1039">
            <v>29.694110671935924</v>
          </cell>
          <cell r="I1039" t="e">
            <v>#N/A</v>
          </cell>
          <cell r="J1039" t="e">
            <v>#N/A</v>
          </cell>
          <cell r="K1039">
            <v>42</v>
          </cell>
          <cell r="L1039">
            <v>32</v>
          </cell>
          <cell r="M1039" t="e">
            <v>#N/A</v>
          </cell>
          <cell r="N1039">
            <v>37</v>
          </cell>
          <cell r="O1039" t="e">
            <v>#N/A</v>
          </cell>
          <cell r="P1039" t="str">
            <v/>
          </cell>
          <cell r="Q1039" t="str">
            <v/>
          </cell>
          <cell r="R1039" t="e">
            <v>#N/A</v>
          </cell>
        </row>
        <row r="1040">
          <cell r="A1040" t="str">
            <v/>
          </cell>
          <cell r="B1040" t="str">
            <v/>
          </cell>
          <cell r="C1040" t="str">
            <v>Future</v>
          </cell>
          <cell r="D1040" t="e">
            <v>#N/A</v>
          </cell>
          <cell r="E1040">
            <v>-31.153992094861415</v>
          </cell>
          <cell r="F1040">
            <v>48.69581027668022</v>
          </cell>
          <cell r="G1040">
            <v>29.683952569169126</v>
          </cell>
          <cell r="H1040">
            <v>29.683952569169126</v>
          </cell>
          <cell r="I1040" t="e">
            <v>#N/A</v>
          </cell>
          <cell r="J1040" t="e">
            <v>#N/A</v>
          </cell>
          <cell r="K1040">
            <v>42</v>
          </cell>
          <cell r="L1040">
            <v>32</v>
          </cell>
          <cell r="M1040" t="e">
            <v>#N/A</v>
          </cell>
          <cell r="N1040">
            <v>37</v>
          </cell>
          <cell r="O1040" t="e">
            <v>#N/A</v>
          </cell>
          <cell r="P1040" t="str">
            <v/>
          </cell>
          <cell r="Q1040" t="str">
            <v/>
          </cell>
          <cell r="R1040" t="e">
            <v>#N/A</v>
          </cell>
        </row>
        <row r="1041">
          <cell r="A1041" t="str">
            <v/>
          </cell>
          <cell r="B1041" t="str">
            <v/>
          </cell>
          <cell r="C1041" t="str">
            <v>Future</v>
          </cell>
          <cell r="D1041" t="e">
            <v>#N/A</v>
          </cell>
          <cell r="E1041">
            <v>-31.290632411066948</v>
          </cell>
          <cell r="F1041">
            <v>48.725177865613027</v>
          </cell>
          <cell r="G1041">
            <v>29.673794466402327</v>
          </cell>
          <cell r="H1041">
            <v>29.673794466402327</v>
          </cell>
          <cell r="I1041" t="e">
            <v>#N/A</v>
          </cell>
          <cell r="J1041" t="e">
            <v>#N/A</v>
          </cell>
          <cell r="K1041">
            <v>42</v>
          </cell>
          <cell r="L1041">
            <v>32</v>
          </cell>
          <cell r="M1041" t="e">
            <v>#N/A</v>
          </cell>
          <cell r="N1041">
            <v>37</v>
          </cell>
          <cell r="O1041" t="e">
            <v>#N/A</v>
          </cell>
          <cell r="P1041" t="str">
            <v/>
          </cell>
          <cell r="Q1041" t="str">
            <v/>
          </cell>
          <cell r="R1041" t="e">
            <v>#N/A</v>
          </cell>
        </row>
        <row r="1042">
          <cell r="A1042" t="str">
            <v/>
          </cell>
          <cell r="B1042" t="str">
            <v/>
          </cell>
          <cell r="C1042" t="str">
            <v>Future</v>
          </cell>
          <cell r="D1042" t="e">
            <v>#N/A</v>
          </cell>
          <cell r="E1042">
            <v>-31.427272727272481</v>
          </cell>
          <cell r="F1042">
            <v>48.754545454545834</v>
          </cell>
          <cell r="G1042">
            <v>29.663636363635529</v>
          </cell>
          <cell r="H1042">
            <v>29.663636363635529</v>
          </cell>
          <cell r="I1042" t="e">
            <v>#N/A</v>
          </cell>
          <cell r="J1042" t="e">
            <v>#N/A</v>
          </cell>
          <cell r="K1042">
            <v>42</v>
          </cell>
          <cell r="L1042">
            <v>32</v>
          </cell>
          <cell r="M1042" t="e">
            <v>#N/A</v>
          </cell>
          <cell r="N1042">
            <v>37</v>
          </cell>
          <cell r="O1042" t="e">
            <v>#N/A</v>
          </cell>
          <cell r="P1042" t="str">
            <v/>
          </cell>
          <cell r="Q1042" t="str">
            <v/>
          </cell>
          <cell r="R1042" t="e">
            <v>#N/A</v>
          </cell>
        </row>
        <row r="1043">
          <cell r="A1043" t="str">
            <v/>
          </cell>
          <cell r="B1043" t="str">
            <v/>
          </cell>
          <cell r="C1043" t="str">
            <v>Future</v>
          </cell>
          <cell r="D1043" t="e">
            <v>#N/A</v>
          </cell>
          <cell r="E1043">
            <v>-31.563913043478014</v>
          </cell>
          <cell r="F1043">
            <v>48.783913043478641</v>
          </cell>
          <cell r="G1043">
            <v>29.653478260868731</v>
          </cell>
          <cell r="H1043">
            <v>29.653478260868731</v>
          </cell>
          <cell r="I1043" t="e">
            <v>#N/A</v>
          </cell>
          <cell r="J1043" t="e">
            <v>#N/A</v>
          </cell>
          <cell r="K1043">
            <v>42</v>
          </cell>
          <cell r="L1043">
            <v>32</v>
          </cell>
          <cell r="M1043" t="e">
            <v>#N/A</v>
          </cell>
          <cell r="N1043">
            <v>37</v>
          </cell>
          <cell r="O1043" t="e">
            <v>#N/A</v>
          </cell>
          <cell r="P1043" t="str">
            <v/>
          </cell>
          <cell r="Q1043" t="str">
            <v/>
          </cell>
          <cell r="R1043" t="e">
            <v>#N/A</v>
          </cell>
        </row>
        <row r="1044">
          <cell r="A1044" t="str">
            <v/>
          </cell>
          <cell r="B1044" t="str">
            <v/>
          </cell>
          <cell r="C1044" t="str">
            <v>Future</v>
          </cell>
          <cell r="D1044" t="e">
            <v>#N/A</v>
          </cell>
          <cell r="E1044">
            <v>-31.700553359683546</v>
          </cell>
          <cell r="F1044">
            <v>48.813280632411448</v>
          </cell>
          <cell r="G1044">
            <v>29.643320158101933</v>
          </cell>
          <cell r="H1044">
            <v>29.643320158101933</v>
          </cell>
          <cell r="I1044" t="e">
            <v>#N/A</v>
          </cell>
          <cell r="J1044" t="e">
            <v>#N/A</v>
          </cell>
          <cell r="K1044">
            <v>42</v>
          </cell>
          <cell r="L1044">
            <v>32</v>
          </cell>
          <cell r="M1044" t="e">
            <v>#N/A</v>
          </cell>
          <cell r="N1044">
            <v>37</v>
          </cell>
          <cell r="O1044" t="e">
            <v>#N/A</v>
          </cell>
          <cell r="P1044" t="str">
            <v/>
          </cell>
          <cell r="Q1044" t="str">
            <v/>
          </cell>
          <cell r="R1044" t="e">
            <v>#N/A</v>
          </cell>
        </row>
        <row r="1045">
          <cell r="A1045" t="str">
            <v/>
          </cell>
          <cell r="B1045" t="str">
            <v/>
          </cell>
          <cell r="C1045" t="str">
            <v>Future</v>
          </cell>
          <cell r="D1045" t="e">
            <v>#N/A</v>
          </cell>
          <cell r="E1045">
            <v>-31.837193675889079</v>
          </cell>
          <cell r="F1045">
            <v>48.842648221344255</v>
          </cell>
          <cell r="G1045">
            <v>29.633162055335134</v>
          </cell>
          <cell r="H1045">
            <v>29.633162055335134</v>
          </cell>
          <cell r="I1045" t="e">
            <v>#N/A</v>
          </cell>
          <cell r="J1045" t="e">
            <v>#N/A</v>
          </cell>
          <cell r="K1045">
            <v>42</v>
          </cell>
          <cell r="L1045">
            <v>32</v>
          </cell>
          <cell r="M1045" t="e">
            <v>#N/A</v>
          </cell>
          <cell r="N1045">
            <v>37</v>
          </cell>
          <cell r="O1045" t="e">
            <v>#N/A</v>
          </cell>
          <cell r="P1045" t="str">
            <v/>
          </cell>
          <cell r="Q1045" t="str">
            <v/>
          </cell>
          <cell r="R1045" t="e">
            <v>#N/A</v>
          </cell>
        </row>
        <row r="1046">
          <cell r="A1046" t="str">
            <v/>
          </cell>
          <cell r="B1046" t="str">
            <v/>
          </cell>
          <cell r="C1046" t="str">
            <v>Future</v>
          </cell>
          <cell r="D1046" t="e">
            <v>#N/A</v>
          </cell>
          <cell r="E1046">
            <v>-31.973833992094612</v>
          </cell>
          <cell r="F1046">
            <v>48.872015810277063</v>
          </cell>
          <cell r="G1046">
            <v>29.623003952568336</v>
          </cell>
          <cell r="H1046">
            <v>29.623003952568336</v>
          </cell>
          <cell r="I1046" t="e">
            <v>#N/A</v>
          </cell>
          <cell r="J1046" t="e">
            <v>#N/A</v>
          </cell>
          <cell r="K1046">
            <v>42</v>
          </cell>
          <cell r="L1046">
            <v>32</v>
          </cell>
          <cell r="M1046" t="e">
            <v>#N/A</v>
          </cell>
          <cell r="N1046">
            <v>37</v>
          </cell>
          <cell r="O1046" t="e">
            <v>#N/A</v>
          </cell>
          <cell r="P1046" t="str">
            <v/>
          </cell>
          <cell r="Q1046" t="str">
            <v/>
          </cell>
          <cell r="R1046" t="e">
            <v>#N/A</v>
          </cell>
        </row>
        <row r="1047">
          <cell r="A1047" t="str">
            <v/>
          </cell>
          <cell r="B1047" t="str">
            <v/>
          </cell>
          <cell r="C1047" t="str">
            <v>Future</v>
          </cell>
          <cell r="D1047" t="e">
            <v>#N/A</v>
          </cell>
          <cell r="E1047">
            <v>-32.110474308300148</v>
          </cell>
          <cell r="F1047">
            <v>48.90138339920987</v>
          </cell>
          <cell r="G1047">
            <v>29.612845849801538</v>
          </cell>
          <cell r="H1047">
            <v>29.612845849801538</v>
          </cell>
          <cell r="I1047" t="e">
            <v>#N/A</v>
          </cell>
          <cell r="J1047" t="e">
            <v>#N/A</v>
          </cell>
          <cell r="K1047">
            <v>42</v>
          </cell>
          <cell r="L1047">
            <v>32</v>
          </cell>
          <cell r="M1047" t="e">
            <v>#N/A</v>
          </cell>
          <cell r="N1047">
            <v>37</v>
          </cell>
          <cell r="O1047" t="e">
            <v>#N/A</v>
          </cell>
          <cell r="P1047" t="str">
            <v/>
          </cell>
          <cell r="Q1047" t="str">
            <v/>
          </cell>
          <cell r="R1047" t="e">
            <v>#N/A</v>
          </cell>
        </row>
        <row r="1048">
          <cell r="A1048" t="str">
            <v/>
          </cell>
          <cell r="B1048" t="str">
            <v/>
          </cell>
          <cell r="C1048" t="str">
            <v>Future</v>
          </cell>
          <cell r="D1048" t="e">
            <v>#N/A</v>
          </cell>
          <cell r="E1048">
            <v>-32.247114624505684</v>
          </cell>
          <cell r="F1048">
            <v>48.930750988142677</v>
          </cell>
          <cell r="G1048">
            <v>29.602687747034739</v>
          </cell>
          <cell r="H1048">
            <v>29.602687747034739</v>
          </cell>
          <cell r="I1048" t="e">
            <v>#N/A</v>
          </cell>
          <cell r="J1048" t="e">
            <v>#N/A</v>
          </cell>
          <cell r="K1048">
            <v>42</v>
          </cell>
          <cell r="L1048">
            <v>32</v>
          </cell>
          <cell r="M1048" t="e">
            <v>#N/A</v>
          </cell>
          <cell r="N1048">
            <v>37</v>
          </cell>
          <cell r="O1048" t="e">
            <v>#N/A</v>
          </cell>
          <cell r="P1048" t="str">
            <v/>
          </cell>
          <cell r="Q1048" t="str">
            <v/>
          </cell>
          <cell r="R1048" t="e">
            <v>#N/A</v>
          </cell>
        </row>
        <row r="1049">
          <cell r="A1049" t="str">
            <v/>
          </cell>
          <cell r="B1049" t="str">
            <v/>
          </cell>
          <cell r="C1049" t="str">
            <v>Future</v>
          </cell>
          <cell r="D1049" t="e">
            <v>#N/A</v>
          </cell>
          <cell r="E1049">
            <v>-32.383754940711221</v>
          </cell>
          <cell r="F1049">
            <v>48.960118577075484</v>
          </cell>
          <cell r="G1049">
            <v>29.592529644267941</v>
          </cell>
          <cell r="H1049">
            <v>29.592529644267941</v>
          </cell>
          <cell r="I1049" t="e">
            <v>#N/A</v>
          </cell>
          <cell r="J1049" t="e">
            <v>#N/A</v>
          </cell>
          <cell r="K1049">
            <v>42</v>
          </cell>
          <cell r="L1049">
            <v>32</v>
          </cell>
          <cell r="M1049" t="e">
            <v>#N/A</v>
          </cell>
          <cell r="N1049">
            <v>37</v>
          </cell>
          <cell r="O1049" t="e">
            <v>#N/A</v>
          </cell>
          <cell r="P1049" t="str">
            <v/>
          </cell>
          <cell r="Q1049" t="str">
            <v/>
          </cell>
          <cell r="R1049" t="e">
            <v>#N/A</v>
          </cell>
        </row>
        <row r="1050">
          <cell r="A1050" t="str">
            <v/>
          </cell>
          <cell r="B1050" t="str">
            <v/>
          </cell>
          <cell r="C1050" t="str">
            <v>Future</v>
          </cell>
          <cell r="D1050" t="e">
            <v>#N/A</v>
          </cell>
          <cell r="E1050">
            <v>-32.520395256916757</v>
          </cell>
          <cell r="F1050">
            <v>48.989486166008291</v>
          </cell>
          <cell r="G1050">
            <v>29.582371541501143</v>
          </cell>
          <cell r="H1050">
            <v>29.582371541501143</v>
          </cell>
          <cell r="I1050" t="e">
            <v>#N/A</v>
          </cell>
          <cell r="J1050" t="e">
            <v>#N/A</v>
          </cell>
          <cell r="K1050">
            <v>42</v>
          </cell>
          <cell r="L1050">
            <v>32</v>
          </cell>
          <cell r="M1050" t="e">
            <v>#N/A</v>
          </cell>
          <cell r="N1050">
            <v>37</v>
          </cell>
          <cell r="O1050" t="e">
            <v>#N/A</v>
          </cell>
          <cell r="P1050" t="str">
            <v/>
          </cell>
          <cell r="Q1050" t="str">
            <v/>
          </cell>
          <cell r="R1050" t="e">
            <v>#N/A</v>
          </cell>
        </row>
        <row r="1051">
          <cell r="A1051" t="str">
            <v/>
          </cell>
          <cell r="B1051" t="str">
            <v/>
          </cell>
          <cell r="C1051" t="str">
            <v>Future</v>
          </cell>
          <cell r="D1051" t="e">
            <v>#N/A</v>
          </cell>
          <cell r="E1051">
            <v>-32.657035573122293</v>
          </cell>
          <cell r="F1051">
            <v>49.018853754941098</v>
          </cell>
          <cell r="G1051">
            <v>29.572213438734344</v>
          </cell>
          <cell r="H1051">
            <v>29.572213438734344</v>
          </cell>
          <cell r="I1051" t="e">
            <v>#N/A</v>
          </cell>
          <cell r="J1051" t="e">
            <v>#N/A</v>
          </cell>
          <cell r="K1051">
            <v>42</v>
          </cell>
          <cell r="L1051">
            <v>32</v>
          </cell>
          <cell r="M1051" t="e">
            <v>#N/A</v>
          </cell>
          <cell r="N1051">
            <v>37</v>
          </cell>
          <cell r="O1051" t="e">
            <v>#N/A</v>
          </cell>
          <cell r="P1051" t="str">
            <v/>
          </cell>
          <cell r="Q1051" t="str">
            <v/>
          </cell>
          <cell r="R1051" t="e">
            <v>#N/A</v>
          </cell>
        </row>
        <row r="1052">
          <cell r="A1052" t="str">
            <v/>
          </cell>
          <cell r="B1052" t="str">
            <v/>
          </cell>
          <cell r="C1052" t="str">
            <v>Future</v>
          </cell>
          <cell r="D1052" t="e">
            <v>#N/A</v>
          </cell>
          <cell r="E1052">
            <v>-32.79367588932783</v>
          </cell>
          <cell r="F1052">
            <v>49.048221343873905</v>
          </cell>
          <cell r="G1052">
            <v>29.562055335967546</v>
          </cell>
          <cell r="H1052">
            <v>29.562055335967546</v>
          </cell>
          <cell r="I1052" t="e">
            <v>#N/A</v>
          </cell>
          <cell r="J1052" t="e">
            <v>#N/A</v>
          </cell>
          <cell r="K1052">
            <v>42</v>
          </cell>
          <cell r="L1052">
            <v>32</v>
          </cell>
          <cell r="M1052" t="e">
            <v>#N/A</v>
          </cell>
          <cell r="N1052">
            <v>37</v>
          </cell>
          <cell r="O1052" t="e">
            <v>#N/A</v>
          </cell>
          <cell r="P1052" t="str">
            <v/>
          </cell>
          <cell r="Q1052" t="str">
            <v/>
          </cell>
          <cell r="R1052" t="e">
            <v>#N/A</v>
          </cell>
        </row>
        <row r="1053">
          <cell r="A1053" t="str">
            <v/>
          </cell>
          <cell r="B1053" t="str">
            <v/>
          </cell>
          <cell r="C1053" t="str">
            <v>Future</v>
          </cell>
          <cell r="D1053" t="e">
            <v>#N/A</v>
          </cell>
          <cell r="E1053">
            <v>-32.930316205533366</v>
          </cell>
          <cell r="F1053">
            <v>49.077588932806712</v>
          </cell>
          <cell r="G1053">
            <v>29.551897233200748</v>
          </cell>
          <cell r="H1053">
            <v>29.551897233200748</v>
          </cell>
          <cell r="I1053" t="e">
            <v>#N/A</v>
          </cell>
          <cell r="J1053" t="e">
            <v>#N/A</v>
          </cell>
          <cell r="K1053">
            <v>42</v>
          </cell>
          <cell r="L1053">
            <v>32</v>
          </cell>
          <cell r="M1053" t="e">
            <v>#N/A</v>
          </cell>
          <cell r="N1053">
            <v>37</v>
          </cell>
          <cell r="O1053" t="e">
            <v>#N/A</v>
          </cell>
          <cell r="P1053" t="str">
            <v/>
          </cell>
          <cell r="Q1053" t="str">
            <v/>
          </cell>
          <cell r="R1053" t="e">
            <v>#N/A</v>
          </cell>
        </row>
        <row r="1054">
          <cell r="A1054" t="str">
            <v/>
          </cell>
          <cell r="B1054" t="str">
            <v/>
          </cell>
          <cell r="C1054" t="str">
            <v>Future</v>
          </cell>
          <cell r="D1054" t="e">
            <v>#N/A</v>
          </cell>
          <cell r="E1054">
            <v>-33.066956521738902</v>
          </cell>
          <cell r="F1054">
            <v>49.106956521739519</v>
          </cell>
          <cell r="G1054">
            <v>29.54173913043395</v>
          </cell>
          <cell r="H1054">
            <v>29.54173913043395</v>
          </cell>
          <cell r="I1054" t="e">
            <v>#N/A</v>
          </cell>
          <cell r="J1054" t="e">
            <v>#N/A</v>
          </cell>
          <cell r="K1054">
            <v>42</v>
          </cell>
          <cell r="L1054">
            <v>32</v>
          </cell>
          <cell r="M1054" t="e">
            <v>#N/A</v>
          </cell>
          <cell r="N1054">
            <v>37</v>
          </cell>
          <cell r="O1054" t="e">
            <v>#N/A</v>
          </cell>
          <cell r="P1054" t="str">
            <v/>
          </cell>
          <cell r="Q1054" t="str">
            <v/>
          </cell>
          <cell r="R1054" t="e">
            <v>#N/A</v>
          </cell>
        </row>
        <row r="1055">
          <cell r="A1055" t="str">
            <v/>
          </cell>
          <cell r="B1055" t="str">
            <v/>
          </cell>
          <cell r="C1055" t="str">
            <v>Future</v>
          </cell>
          <cell r="D1055" t="e">
            <v>#N/A</v>
          </cell>
          <cell r="E1055">
            <v>-33.203596837944438</v>
          </cell>
          <cell r="F1055">
            <v>49.136324110672327</v>
          </cell>
          <cell r="G1055">
            <v>29.531581027667151</v>
          </cell>
          <cell r="H1055">
            <v>29.531581027667151</v>
          </cell>
          <cell r="I1055" t="e">
            <v>#N/A</v>
          </cell>
          <cell r="J1055" t="e">
            <v>#N/A</v>
          </cell>
          <cell r="K1055">
            <v>42</v>
          </cell>
          <cell r="L1055">
            <v>32</v>
          </cell>
          <cell r="M1055" t="e">
            <v>#N/A</v>
          </cell>
          <cell r="N1055">
            <v>37</v>
          </cell>
          <cell r="O1055" t="e">
            <v>#N/A</v>
          </cell>
          <cell r="P1055" t="str">
            <v/>
          </cell>
          <cell r="Q1055" t="str">
            <v/>
          </cell>
          <cell r="R1055" t="e">
            <v>#N/A</v>
          </cell>
        </row>
        <row r="1056">
          <cell r="A1056" t="str">
            <v/>
          </cell>
          <cell r="B1056" t="str">
            <v/>
          </cell>
          <cell r="C1056" t="str">
            <v>Future</v>
          </cell>
          <cell r="D1056" t="e">
            <v>#N/A</v>
          </cell>
          <cell r="E1056">
            <v>-33.340237154149975</v>
          </cell>
          <cell r="F1056">
            <v>49.165691699605134</v>
          </cell>
          <cell r="G1056">
            <v>29.521422924900353</v>
          </cell>
          <cell r="H1056">
            <v>29.521422924900353</v>
          </cell>
          <cell r="I1056" t="e">
            <v>#N/A</v>
          </cell>
          <cell r="J1056" t="e">
            <v>#N/A</v>
          </cell>
          <cell r="K1056">
            <v>42</v>
          </cell>
          <cell r="L1056">
            <v>32</v>
          </cell>
          <cell r="M1056" t="e">
            <v>#N/A</v>
          </cell>
          <cell r="N1056">
            <v>37</v>
          </cell>
          <cell r="O1056" t="e">
            <v>#N/A</v>
          </cell>
          <cell r="P1056" t="str">
            <v/>
          </cell>
          <cell r="Q1056" t="str">
            <v/>
          </cell>
          <cell r="R1056" t="e">
            <v>#N/A</v>
          </cell>
        </row>
        <row r="1057">
          <cell r="A1057" t="str">
            <v/>
          </cell>
          <cell r="B1057" t="str">
            <v/>
          </cell>
          <cell r="C1057" t="str">
            <v>Future</v>
          </cell>
          <cell r="D1057" t="e">
            <v>#N/A</v>
          </cell>
          <cell r="E1057">
            <v>-33.476877470355511</v>
          </cell>
          <cell r="F1057">
            <v>49.195059288537941</v>
          </cell>
          <cell r="G1057">
            <v>29.511264822133555</v>
          </cell>
          <cell r="H1057">
            <v>29.511264822133555</v>
          </cell>
          <cell r="I1057" t="e">
            <v>#N/A</v>
          </cell>
          <cell r="J1057" t="e">
            <v>#N/A</v>
          </cell>
          <cell r="K1057">
            <v>42</v>
          </cell>
          <cell r="L1057">
            <v>32</v>
          </cell>
          <cell r="M1057" t="e">
            <v>#N/A</v>
          </cell>
          <cell r="N1057">
            <v>37</v>
          </cell>
          <cell r="O1057" t="e">
            <v>#N/A</v>
          </cell>
          <cell r="P1057" t="str">
            <v/>
          </cell>
          <cell r="Q1057" t="str">
            <v/>
          </cell>
          <cell r="R1057" t="e">
            <v>#N/A</v>
          </cell>
        </row>
        <row r="1058">
          <cell r="A1058" t="str">
            <v/>
          </cell>
          <cell r="B1058" t="str">
            <v/>
          </cell>
          <cell r="C1058" t="str">
            <v>Future</v>
          </cell>
          <cell r="D1058" t="e">
            <v>#N/A</v>
          </cell>
          <cell r="E1058">
            <v>-33.613517786561047</v>
          </cell>
          <cell r="F1058">
            <v>49.224426877470748</v>
          </cell>
          <cell r="G1058">
            <v>29.501106719366756</v>
          </cell>
          <cell r="H1058">
            <v>29.501106719366756</v>
          </cell>
          <cell r="I1058" t="e">
            <v>#N/A</v>
          </cell>
          <cell r="J1058" t="e">
            <v>#N/A</v>
          </cell>
          <cell r="K1058">
            <v>42</v>
          </cell>
          <cell r="L1058">
            <v>32</v>
          </cell>
          <cell r="M1058" t="e">
            <v>#N/A</v>
          </cell>
          <cell r="N1058">
            <v>37</v>
          </cell>
          <cell r="O1058" t="e">
            <v>#N/A</v>
          </cell>
          <cell r="P1058" t="str">
            <v/>
          </cell>
          <cell r="Q1058" t="str">
            <v/>
          </cell>
          <cell r="R1058" t="e">
            <v>#N/A</v>
          </cell>
        </row>
        <row r="1059">
          <cell r="A1059" t="str">
            <v/>
          </cell>
          <cell r="B1059" t="str">
            <v/>
          </cell>
          <cell r="C1059" t="str">
            <v>Future</v>
          </cell>
          <cell r="D1059" t="e">
            <v>#N/A</v>
          </cell>
          <cell r="E1059">
            <v>-33.750158102766584</v>
          </cell>
          <cell r="F1059">
            <v>49.253794466403555</v>
          </cell>
          <cell r="G1059">
            <v>29.490948616599958</v>
          </cell>
          <cell r="H1059">
            <v>29.490948616599958</v>
          </cell>
          <cell r="I1059" t="e">
            <v>#N/A</v>
          </cell>
          <cell r="J1059" t="e">
            <v>#N/A</v>
          </cell>
          <cell r="K1059">
            <v>42</v>
          </cell>
          <cell r="L1059">
            <v>32</v>
          </cell>
          <cell r="M1059" t="e">
            <v>#N/A</v>
          </cell>
          <cell r="N1059">
            <v>37</v>
          </cell>
          <cell r="O1059" t="e">
            <v>#N/A</v>
          </cell>
          <cell r="P1059" t="str">
            <v/>
          </cell>
          <cell r="Q1059" t="str">
            <v/>
          </cell>
          <cell r="R1059" t="e">
            <v>#N/A</v>
          </cell>
        </row>
        <row r="1060">
          <cell r="A1060" t="str">
            <v/>
          </cell>
          <cell r="B1060" t="str">
            <v/>
          </cell>
          <cell r="C1060" t="str">
            <v>Future</v>
          </cell>
          <cell r="D1060" t="e">
            <v>#N/A</v>
          </cell>
          <cell r="E1060">
            <v>-33.88679841897212</v>
          </cell>
          <cell r="F1060">
            <v>49.283162055336362</v>
          </cell>
          <cell r="G1060">
            <v>29.48079051383316</v>
          </cell>
          <cell r="H1060">
            <v>29.48079051383316</v>
          </cell>
          <cell r="I1060" t="e">
            <v>#N/A</v>
          </cell>
          <cell r="J1060" t="e">
            <v>#N/A</v>
          </cell>
          <cell r="K1060">
            <v>42</v>
          </cell>
          <cell r="L1060">
            <v>32</v>
          </cell>
          <cell r="M1060" t="e">
            <v>#N/A</v>
          </cell>
          <cell r="N1060">
            <v>37</v>
          </cell>
          <cell r="O1060" t="e">
            <v>#N/A</v>
          </cell>
          <cell r="P1060" t="str">
            <v/>
          </cell>
          <cell r="Q1060" t="str">
            <v/>
          </cell>
          <cell r="R1060" t="e">
            <v>#N/A</v>
          </cell>
        </row>
        <row r="1061">
          <cell r="A1061" t="str">
            <v/>
          </cell>
          <cell r="B1061" t="str">
            <v/>
          </cell>
          <cell r="C1061" t="str">
            <v>Future</v>
          </cell>
          <cell r="D1061" t="e">
            <v>#N/A</v>
          </cell>
          <cell r="E1061">
            <v>-34.023438735177656</v>
          </cell>
          <cell r="F1061">
            <v>49.312529644269169</v>
          </cell>
          <cell r="G1061">
            <v>29.470632411066362</v>
          </cell>
          <cell r="H1061">
            <v>29.470632411066362</v>
          </cell>
          <cell r="I1061" t="e">
            <v>#N/A</v>
          </cell>
          <cell r="J1061" t="e">
            <v>#N/A</v>
          </cell>
          <cell r="K1061">
            <v>42</v>
          </cell>
          <cell r="L1061">
            <v>32</v>
          </cell>
          <cell r="M1061" t="e">
            <v>#N/A</v>
          </cell>
          <cell r="N1061">
            <v>37</v>
          </cell>
          <cell r="O1061" t="e">
            <v>#N/A</v>
          </cell>
          <cell r="P1061" t="str">
            <v/>
          </cell>
          <cell r="Q1061" t="str">
            <v/>
          </cell>
          <cell r="R1061" t="e">
            <v>#N/A</v>
          </cell>
        </row>
        <row r="1062">
          <cell r="A1062" t="str">
            <v/>
          </cell>
          <cell r="B1062" t="str">
            <v/>
          </cell>
          <cell r="C1062" t="str">
            <v>Future</v>
          </cell>
          <cell r="D1062" t="e">
            <v>#N/A</v>
          </cell>
          <cell r="E1062">
            <v>-34.160079051383192</v>
          </cell>
          <cell r="F1062">
            <v>49.341897233201976</v>
          </cell>
          <cell r="G1062">
            <v>29.460474308299563</v>
          </cell>
          <cell r="H1062">
            <v>29.460474308299563</v>
          </cell>
          <cell r="I1062" t="e">
            <v>#N/A</v>
          </cell>
          <cell r="J1062" t="e">
            <v>#N/A</v>
          </cell>
          <cell r="K1062">
            <v>42</v>
          </cell>
          <cell r="L1062">
            <v>32</v>
          </cell>
          <cell r="M1062" t="e">
            <v>#N/A</v>
          </cell>
          <cell r="N1062">
            <v>37</v>
          </cell>
          <cell r="O1062" t="e">
            <v>#N/A</v>
          </cell>
          <cell r="P1062" t="str">
            <v/>
          </cell>
          <cell r="Q1062" t="str">
            <v/>
          </cell>
          <cell r="R1062" t="e">
            <v>#N/A</v>
          </cell>
        </row>
        <row r="1063">
          <cell r="A1063" t="str">
            <v/>
          </cell>
          <cell r="B1063" t="str">
            <v/>
          </cell>
          <cell r="C1063" t="str">
            <v>Future</v>
          </cell>
          <cell r="D1063" t="e">
            <v>#N/A</v>
          </cell>
          <cell r="E1063">
            <v>-34.296719367588729</v>
          </cell>
          <cell r="F1063">
            <v>49.371264822134783</v>
          </cell>
          <cell r="G1063">
            <v>29.450316205532765</v>
          </cell>
          <cell r="H1063">
            <v>29.450316205532765</v>
          </cell>
          <cell r="I1063" t="e">
            <v>#N/A</v>
          </cell>
          <cell r="J1063" t="e">
            <v>#N/A</v>
          </cell>
          <cell r="K1063">
            <v>42</v>
          </cell>
          <cell r="L1063">
            <v>32</v>
          </cell>
          <cell r="M1063" t="e">
            <v>#N/A</v>
          </cell>
          <cell r="N1063">
            <v>37</v>
          </cell>
          <cell r="O1063" t="e">
            <v>#N/A</v>
          </cell>
          <cell r="P1063" t="str">
            <v/>
          </cell>
          <cell r="Q1063" t="str">
            <v/>
          </cell>
          <cell r="R1063" t="e">
            <v>#N/A</v>
          </cell>
        </row>
        <row r="1064">
          <cell r="A1064" t="str">
            <v/>
          </cell>
          <cell r="B1064" t="str">
            <v/>
          </cell>
          <cell r="C1064" t="str">
            <v>Future</v>
          </cell>
          <cell r="D1064" t="e">
            <v>#N/A</v>
          </cell>
          <cell r="E1064">
            <v>-34.433359683794265</v>
          </cell>
          <cell r="F1064">
            <v>49.400632411067591</v>
          </cell>
          <cell r="G1064">
            <v>29.440158102765967</v>
          </cell>
          <cell r="H1064">
            <v>29.440158102765967</v>
          </cell>
          <cell r="I1064" t="e">
            <v>#N/A</v>
          </cell>
          <cell r="J1064" t="e">
            <v>#N/A</v>
          </cell>
          <cell r="K1064">
            <v>42</v>
          </cell>
          <cell r="L1064">
            <v>32</v>
          </cell>
          <cell r="M1064" t="e">
            <v>#N/A</v>
          </cell>
          <cell r="N1064">
            <v>37</v>
          </cell>
          <cell r="O1064" t="e">
            <v>#N/A</v>
          </cell>
          <cell r="P1064" t="str">
            <v/>
          </cell>
          <cell r="Q1064" t="str">
            <v/>
          </cell>
          <cell r="R1064" t="e">
            <v>#N/A</v>
          </cell>
        </row>
        <row r="1065">
          <cell r="A1065" t="str">
            <v/>
          </cell>
          <cell r="B1065" t="str">
            <v/>
          </cell>
          <cell r="C1065" t="str">
            <v>Future</v>
          </cell>
          <cell r="D1065" t="e">
            <v>#N/A</v>
          </cell>
          <cell r="E1065">
            <v>-34.569999999999801</v>
          </cell>
          <cell r="F1065">
            <v>49.430000000000398</v>
          </cell>
          <cell r="G1065">
            <v>29.429999999999168</v>
          </cell>
          <cell r="H1065">
            <v>29.429999999999168</v>
          </cell>
          <cell r="I1065" t="e">
            <v>#N/A</v>
          </cell>
          <cell r="J1065" t="e">
            <v>#N/A</v>
          </cell>
          <cell r="K1065">
            <v>42</v>
          </cell>
          <cell r="L1065">
            <v>32</v>
          </cell>
          <cell r="M1065" t="e">
            <v>#N/A</v>
          </cell>
          <cell r="N1065">
            <v>37</v>
          </cell>
          <cell r="O1065" t="e">
            <v>#N/A</v>
          </cell>
          <cell r="P1065" t="str">
            <v/>
          </cell>
          <cell r="Q1065" t="str">
            <v/>
          </cell>
          <cell r="R1065" t="e">
            <v>#N/A</v>
          </cell>
        </row>
        <row r="1066">
          <cell r="A1066" t="str">
            <v/>
          </cell>
          <cell r="B1066" t="str">
            <v/>
          </cell>
          <cell r="C1066" t="str">
            <v>Future</v>
          </cell>
          <cell r="D1066" t="e">
            <v>#N/A</v>
          </cell>
          <cell r="E1066">
            <v>-34.706640316205338</v>
          </cell>
          <cell r="F1066">
            <v>49.459367588933205</v>
          </cell>
          <cell r="G1066">
            <v>29.41984189723237</v>
          </cell>
          <cell r="H1066">
            <v>29.41984189723237</v>
          </cell>
          <cell r="I1066" t="e">
            <v>#N/A</v>
          </cell>
          <cell r="J1066" t="e">
            <v>#N/A</v>
          </cell>
          <cell r="K1066">
            <v>42</v>
          </cell>
          <cell r="L1066">
            <v>32</v>
          </cell>
          <cell r="M1066" t="e">
            <v>#N/A</v>
          </cell>
          <cell r="N1066">
            <v>37</v>
          </cell>
          <cell r="O1066" t="e">
            <v>#N/A</v>
          </cell>
          <cell r="P1066" t="str">
            <v/>
          </cell>
          <cell r="Q1066" t="str">
            <v/>
          </cell>
          <cell r="R1066" t="e">
            <v>#N/A</v>
          </cell>
        </row>
        <row r="1067">
          <cell r="A1067" t="str">
            <v/>
          </cell>
          <cell r="B1067" t="str">
            <v/>
          </cell>
          <cell r="C1067" t="str">
            <v>Future</v>
          </cell>
          <cell r="D1067" t="e">
            <v>#N/A</v>
          </cell>
          <cell r="E1067">
            <v>-34.843280632410874</v>
          </cell>
          <cell r="F1067">
            <v>49.488735177866012</v>
          </cell>
          <cell r="G1067">
            <v>29.409683794465572</v>
          </cell>
          <cell r="H1067">
            <v>29.409683794465572</v>
          </cell>
          <cell r="I1067" t="e">
            <v>#N/A</v>
          </cell>
          <cell r="J1067" t="e">
            <v>#N/A</v>
          </cell>
          <cell r="K1067">
            <v>42</v>
          </cell>
          <cell r="L1067">
            <v>32</v>
          </cell>
          <cell r="M1067" t="e">
            <v>#N/A</v>
          </cell>
          <cell r="N1067">
            <v>37</v>
          </cell>
          <cell r="O1067" t="e">
            <v>#N/A</v>
          </cell>
          <cell r="P1067" t="str">
            <v/>
          </cell>
          <cell r="Q1067" t="str">
            <v/>
          </cell>
          <cell r="R1067" t="e">
            <v>#N/A</v>
          </cell>
        </row>
        <row r="1068">
          <cell r="A1068" t="str">
            <v/>
          </cell>
          <cell r="B1068" t="str">
            <v/>
          </cell>
          <cell r="C1068" t="str">
            <v>Future</v>
          </cell>
          <cell r="D1068" t="e">
            <v>#N/A</v>
          </cell>
          <cell r="E1068">
            <v>-34.97992094861641</v>
          </cell>
          <cell r="F1068">
            <v>49.518102766798819</v>
          </cell>
          <cell r="G1068">
            <v>29.399525691698773</v>
          </cell>
          <cell r="H1068">
            <v>29.399525691698773</v>
          </cell>
          <cell r="I1068" t="e">
            <v>#N/A</v>
          </cell>
          <cell r="J1068" t="e">
            <v>#N/A</v>
          </cell>
          <cell r="K1068">
            <v>42</v>
          </cell>
          <cell r="L1068">
            <v>32</v>
          </cell>
          <cell r="M1068" t="e">
            <v>#N/A</v>
          </cell>
          <cell r="N1068">
            <v>37</v>
          </cell>
          <cell r="O1068" t="e">
            <v>#N/A</v>
          </cell>
          <cell r="P1068" t="str">
            <v/>
          </cell>
          <cell r="Q1068" t="str">
            <v/>
          </cell>
          <cell r="R1068" t="e">
            <v>#N/A</v>
          </cell>
        </row>
        <row r="1069">
          <cell r="A1069" t="str">
            <v/>
          </cell>
          <cell r="B1069" t="str">
            <v/>
          </cell>
          <cell r="C1069" t="str">
            <v>Future</v>
          </cell>
          <cell r="D1069" t="e">
            <v>#N/A</v>
          </cell>
          <cell r="E1069">
            <v>-35.116561264821947</v>
          </cell>
          <cell r="F1069">
            <v>49.547470355731626</v>
          </cell>
          <cell r="G1069">
            <v>29.389367588931975</v>
          </cell>
          <cell r="H1069">
            <v>29.389367588931975</v>
          </cell>
          <cell r="I1069" t="e">
            <v>#N/A</v>
          </cell>
          <cell r="J1069" t="e">
            <v>#N/A</v>
          </cell>
          <cell r="K1069">
            <v>42</v>
          </cell>
          <cell r="L1069">
            <v>32</v>
          </cell>
          <cell r="M1069" t="e">
            <v>#N/A</v>
          </cell>
          <cell r="N1069">
            <v>37</v>
          </cell>
          <cell r="O1069" t="e">
            <v>#N/A</v>
          </cell>
          <cell r="P1069" t="str">
            <v/>
          </cell>
          <cell r="Q1069" t="str">
            <v/>
          </cell>
          <cell r="R1069" t="e">
            <v>#N/A</v>
          </cell>
        </row>
        <row r="1070">
          <cell r="A1070" t="str">
            <v/>
          </cell>
          <cell r="B1070" t="str">
            <v/>
          </cell>
          <cell r="C1070" t="str">
            <v>Future</v>
          </cell>
          <cell r="D1070" t="e">
            <v>#N/A</v>
          </cell>
          <cell r="E1070">
            <v>-35.253201581027483</v>
          </cell>
          <cell r="F1070">
            <v>49.576837944664433</v>
          </cell>
          <cell r="G1070">
            <v>29.379209486165177</v>
          </cell>
          <cell r="H1070">
            <v>29.379209486165177</v>
          </cell>
          <cell r="I1070" t="e">
            <v>#N/A</v>
          </cell>
          <cell r="J1070" t="e">
            <v>#N/A</v>
          </cell>
          <cell r="K1070">
            <v>42</v>
          </cell>
          <cell r="L1070">
            <v>32</v>
          </cell>
          <cell r="M1070" t="e">
            <v>#N/A</v>
          </cell>
          <cell r="N1070">
            <v>37</v>
          </cell>
          <cell r="O1070" t="e">
            <v>#N/A</v>
          </cell>
          <cell r="P1070" t="str">
            <v/>
          </cell>
          <cell r="Q1070" t="str">
            <v/>
          </cell>
          <cell r="R1070" t="e">
            <v>#N/A</v>
          </cell>
        </row>
        <row r="1071">
          <cell r="A1071" t="str">
            <v/>
          </cell>
          <cell r="B1071" t="str">
            <v/>
          </cell>
          <cell r="C1071" t="str">
            <v>Future</v>
          </cell>
          <cell r="D1071" t="e">
            <v>#N/A</v>
          </cell>
          <cell r="E1071">
            <v>-35.389841897233019</v>
          </cell>
          <cell r="F1071">
            <v>49.60620553359724</v>
          </cell>
          <cell r="G1071">
            <v>29.369051383398379</v>
          </cell>
          <cell r="H1071">
            <v>29.369051383398379</v>
          </cell>
          <cell r="I1071" t="e">
            <v>#N/A</v>
          </cell>
          <cell r="J1071" t="e">
            <v>#N/A</v>
          </cell>
          <cell r="K1071">
            <v>42</v>
          </cell>
          <cell r="L1071">
            <v>32</v>
          </cell>
          <cell r="M1071" t="e">
            <v>#N/A</v>
          </cell>
          <cell r="N1071">
            <v>37</v>
          </cell>
          <cell r="O1071" t="e">
            <v>#N/A</v>
          </cell>
          <cell r="P1071" t="str">
            <v/>
          </cell>
          <cell r="Q1071" t="str">
            <v/>
          </cell>
          <cell r="R1071" t="e">
            <v>#N/A</v>
          </cell>
        </row>
        <row r="1072">
          <cell r="A1072" t="str">
            <v/>
          </cell>
          <cell r="B1072" t="str">
            <v/>
          </cell>
          <cell r="C1072" t="str">
            <v>Future</v>
          </cell>
          <cell r="D1072" t="e">
            <v>#N/A</v>
          </cell>
          <cell r="E1072">
            <v>-35.526482213438555</v>
          </cell>
          <cell r="F1072">
            <v>49.635573122530047</v>
          </cell>
          <cell r="G1072">
            <v>29.35889328063158</v>
          </cell>
          <cell r="H1072">
            <v>29.35889328063158</v>
          </cell>
          <cell r="I1072" t="e">
            <v>#N/A</v>
          </cell>
          <cell r="J1072" t="e">
            <v>#N/A</v>
          </cell>
          <cell r="K1072">
            <v>42</v>
          </cell>
          <cell r="L1072">
            <v>32</v>
          </cell>
          <cell r="M1072" t="e">
            <v>#N/A</v>
          </cell>
          <cell r="N1072">
            <v>37</v>
          </cell>
          <cell r="O1072" t="e">
            <v>#N/A</v>
          </cell>
          <cell r="P1072" t="str">
            <v/>
          </cell>
          <cell r="Q1072" t="str">
            <v/>
          </cell>
          <cell r="R1072" t="e">
            <v>#N/A</v>
          </cell>
        </row>
        <row r="1073">
          <cell r="A1073" t="str">
            <v/>
          </cell>
          <cell r="B1073" t="str">
            <v/>
          </cell>
          <cell r="C1073" t="str">
            <v>Future</v>
          </cell>
          <cell r="D1073" t="e">
            <v>#N/A</v>
          </cell>
          <cell r="E1073">
            <v>-35.663122529644092</v>
          </cell>
          <cell r="F1073">
            <v>49.664940711462854</v>
          </cell>
          <cell r="G1073">
            <v>29.348735177864782</v>
          </cell>
          <cell r="H1073">
            <v>29.348735177864782</v>
          </cell>
          <cell r="I1073" t="e">
            <v>#N/A</v>
          </cell>
          <cell r="J1073" t="e">
            <v>#N/A</v>
          </cell>
          <cell r="K1073">
            <v>42</v>
          </cell>
          <cell r="L1073">
            <v>32</v>
          </cell>
          <cell r="M1073" t="e">
            <v>#N/A</v>
          </cell>
          <cell r="N1073">
            <v>37</v>
          </cell>
          <cell r="O1073" t="e">
            <v>#N/A</v>
          </cell>
          <cell r="P1073" t="str">
            <v/>
          </cell>
          <cell r="Q1073" t="str">
            <v/>
          </cell>
          <cell r="R1073" t="e">
            <v>#N/A</v>
          </cell>
        </row>
        <row r="1074">
          <cell r="A1074" t="str">
            <v/>
          </cell>
          <cell r="B1074" t="str">
            <v/>
          </cell>
          <cell r="C1074" t="str">
            <v>Future</v>
          </cell>
          <cell r="D1074" t="e">
            <v>#N/A</v>
          </cell>
          <cell r="E1074">
            <v>-35.799762845849628</v>
          </cell>
          <cell r="F1074">
            <v>49.694308300395662</v>
          </cell>
          <cell r="G1074">
            <v>29.338577075097984</v>
          </cell>
          <cell r="H1074">
            <v>29.338577075097984</v>
          </cell>
          <cell r="I1074" t="e">
            <v>#N/A</v>
          </cell>
          <cell r="J1074" t="e">
            <v>#N/A</v>
          </cell>
          <cell r="K1074">
            <v>42</v>
          </cell>
          <cell r="L1074">
            <v>32</v>
          </cell>
          <cell r="M1074" t="e">
            <v>#N/A</v>
          </cell>
          <cell r="N1074">
            <v>37</v>
          </cell>
          <cell r="O1074" t="e">
            <v>#N/A</v>
          </cell>
          <cell r="P1074" t="str">
            <v/>
          </cell>
          <cell r="Q1074" t="str">
            <v/>
          </cell>
          <cell r="R1074" t="e">
            <v>#N/A</v>
          </cell>
        </row>
        <row r="1075">
          <cell r="A1075" t="str">
            <v/>
          </cell>
          <cell r="B1075" t="str">
            <v/>
          </cell>
          <cell r="C1075" t="str">
            <v>Future</v>
          </cell>
          <cell r="D1075" t="e">
            <v>#N/A</v>
          </cell>
          <cell r="E1075">
            <v>-35.936403162055164</v>
          </cell>
          <cell r="F1075">
            <v>49.723675889328469</v>
          </cell>
          <cell r="G1075">
            <v>29.328418972331185</v>
          </cell>
          <cell r="H1075">
            <v>29.328418972331185</v>
          </cell>
          <cell r="I1075" t="e">
            <v>#N/A</v>
          </cell>
          <cell r="J1075" t="e">
            <v>#N/A</v>
          </cell>
          <cell r="K1075">
            <v>42</v>
          </cell>
          <cell r="L1075">
            <v>32</v>
          </cell>
          <cell r="M1075" t="e">
            <v>#N/A</v>
          </cell>
          <cell r="N1075">
            <v>37</v>
          </cell>
          <cell r="O1075" t="e">
            <v>#N/A</v>
          </cell>
          <cell r="P1075" t="str">
            <v/>
          </cell>
          <cell r="Q1075" t="str">
            <v/>
          </cell>
          <cell r="R1075" t="e">
            <v>#N/A</v>
          </cell>
        </row>
        <row r="1076">
          <cell r="A1076" t="str">
            <v/>
          </cell>
          <cell r="B1076" t="str">
            <v/>
          </cell>
          <cell r="C1076" t="str">
            <v>Future</v>
          </cell>
          <cell r="D1076" t="e">
            <v>#N/A</v>
          </cell>
          <cell r="E1076">
            <v>-36.073043478260701</v>
          </cell>
          <cell r="F1076">
            <v>49.753043478261276</v>
          </cell>
          <cell r="G1076">
            <v>29.318260869564387</v>
          </cell>
          <cell r="H1076">
            <v>29.318260869564387</v>
          </cell>
          <cell r="I1076" t="e">
            <v>#N/A</v>
          </cell>
          <cell r="J1076" t="e">
            <v>#N/A</v>
          </cell>
          <cell r="K1076">
            <v>42</v>
          </cell>
          <cell r="L1076">
            <v>32</v>
          </cell>
          <cell r="M1076" t="e">
            <v>#N/A</v>
          </cell>
          <cell r="N1076">
            <v>37</v>
          </cell>
          <cell r="O1076" t="e">
            <v>#N/A</v>
          </cell>
          <cell r="P1076" t="str">
            <v/>
          </cell>
          <cell r="Q1076" t="str">
            <v/>
          </cell>
          <cell r="R1076" t="e">
            <v>#N/A</v>
          </cell>
        </row>
        <row r="1077">
          <cell r="A1077" t="str">
            <v/>
          </cell>
          <cell r="B1077" t="str">
            <v/>
          </cell>
          <cell r="C1077" t="str">
            <v>Future</v>
          </cell>
          <cell r="D1077" t="e">
            <v>#N/A</v>
          </cell>
          <cell r="E1077">
            <v>-36.209683794466237</v>
          </cell>
          <cell r="F1077">
            <v>49.782411067194083</v>
          </cell>
          <cell r="G1077">
            <v>29.308102766797589</v>
          </cell>
          <cell r="H1077">
            <v>29.308102766797589</v>
          </cell>
          <cell r="I1077" t="e">
            <v>#N/A</v>
          </cell>
          <cell r="J1077" t="e">
            <v>#N/A</v>
          </cell>
          <cell r="K1077">
            <v>42</v>
          </cell>
          <cell r="L1077">
            <v>32</v>
          </cell>
          <cell r="M1077" t="e">
            <v>#N/A</v>
          </cell>
          <cell r="N1077">
            <v>37</v>
          </cell>
          <cell r="O1077" t="e">
            <v>#N/A</v>
          </cell>
          <cell r="P1077" t="str">
            <v/>
          </cell>
          <cell r="Q1077" t="str">
            <v/>
          </cell>
          <cell r="R1077" t="e">
            <v>#N/A</v>
          </cell>
        </row>
        <row r="1078">
          <cell r="A1078" t="str">
            <v/>
          </cell>
          <cell r="B1078" t="str">
            <v/>
          </cell>
          <cell r="C1078" t="str">
            <v>Future</v>
          </cell>
          <cell r="D1078" t="e">
            <v>#N/A</v>
          </cell>
          <cell r="E1078">
            <v>-36.346324110671773</v>
          </cell>
          <cell r="F1078">
            <v>49.81177865612689</v>
          </cell>
          <cell r="G1078">
            <v>29.297944664030791</v>
          </cell>
          <cell r="H1078">
            <v>29.297944664030791</v>
          </cell>
          <cell r="I1078" t="e">
            <v>#N/A</v>
          </cell>
          <cell r="J1078" t="e">
            <v>#N/A</v>
          </cell>
          <cell r="K1078">
            <v>42</v>
          </cell>
          <cell r="L1078">
            <v>32</v>
          </cell>
          <cell r="M1078" t="e">
            <v>#N/A</v>
          </cell>
          <cell r="N1078">
            <v>37</v>
          </cell>
          <cell r="O1078" t="e">
            <v>#N/A</v>
          </cell>
          <cell r="P1078" t="str">
            <v/>
          </cell>
          <cell r="Q1078" t="str">
            <v/>
          </cell>
          <cell r="R1078" t="e">
            <v>#N/A</v>
          </cell>
        </row>
        <row r="1079">
          <cell r="A1079" t="str">
            <v/>
          </cell>
          <cell r="B1079" t="str">
            <v/>
          </cell>
          <cell r="C1079" t="str">
            <v>Future</v>
          </cell>
          <cell r="D1079" t="e">
            <v>#N/A</v>
          </cell>
          <cell r="E1079">
            <v>-36.482964426877309</v>
          </cell>
          <cell r="F1079">
            <v>49.841146245059697</v>
          </cell>
          <cell r="G1079">
            <v>29.287786561263992</v>
          </cell>
          <cell r="H1079">
            <v>29.287786561263992</v>
          </cell>
          <cell r="I1079" t="e">
            <v>#N/A</v>
          </cell>
          <cell r="J1079" t="e">
            <v>#N/A</v>
          </cell>
          <cell r="K1079">
            <v>42</v>
          </cell>
          <cell r="L1079">
            <v>32</v>
          </cell>
          <cell r="M1079" t="e">
            <v>#N/A</v>
          </cell>
          <cell r="N1079">
            <v>37</v>
          </cell>
          <cell r="O1079" t="e">
            <v>#N/A</v>
          </cell>
          <cell r="P1079" t="str">
            <v/>
          </cell>
          <cell r="Q1079" t="str">
            <v/>
          </cell>
          <cell r="R1079" t="e">
            <v>#N/A</v>
          </cell>
        </row>
        <row r="1080">
          <cell r="A1080" t="str">
            <v/>
          </cell>
          <cell r="B1080" t="str">
            <v/>
          </cell>
          <cell r="C1080" t="str">
            <v>Future</v>
          </cell>
          <cell r="D1080" t="e">
            <v>#N/A</v>
          </cell>
          <cell r="E1080">
            <v>-36.619604743082846</v>
          </cell>
          <cell r="F1080">
            <v>49.870513833992504</v>
          </cell>
          <cell r="G1080">
            <v>29.277628458497194</v>
          </cell>
          <cell r="H1080">
            <v>29.277628458497194</v>
          </cell>
          <cell r="I1080" t="e">
            <v>#N/A</v>
          </cell>
          <cell r="J1080" t="e">
            <v>#N/A</v>
          </cell>
          <cell r="K1080">
            <v>42</v>
          </cell>
          <cell r="L1080">
            <v>32</v>
          </cell>
          <cell r="M1080" t="e">
            <v>#N/A</v>
          </cell>
          <cell r="N1080">
            <v>37</v>
          </cell>
          <cell r="O1080" t="e">
            <v>#N/A</v>
          </cell>
          <cell r="P1080" t="str">
            <v/>
          </cell>
          <cell r="Q1080" t="str">
            <v/>
          </cell>
          <cell r="R1080" t="e">
            <v>#N/A</v>
          </cell>
        </row>
        <row r="1081">
          <cell r="A1081" t="str">
            <v/>
          </cell>
          <cell r="B1081" t="str">
            <v/>
          </cell>
          <cell r="C1081" t="str">
            <v>Future</v>
          </cell>
          <cell r="D1081" t="e">
            <v>#N/A</v>
          </cell>
          <cell r="E1081">
            <v>-36.756245059288382</v>
          </cell>
          <cell r="F1081">
            <v>49.899881422925311</v>
          </cell>
          <cell r="G1081">
            <v>29.267470355730396</v>
          </cell>
          <cell r="H1081">
            <v>29.267470355730396</v>
          </cell>
          <cell r="I1081" t="e">
            <v>#N/A</v>
          </cell>
          <cell r="J1081" t="e">
            <v>#N/A</v>
          </cell>
          <cell r="K1081">
            <v>42</v>
          </cell>
          <cell r="L1081">
            <v>32</v>
          </cell>
          <cell r="M1081" t="e">
            <v>#N/A</v>
          </cell>
          <cell r="N1081">
            <v>37</v>
          </cell>
          <cell r="O1081" t="e">
            <v>#N/A</v>
          </cell>
          <cell r="P1081" t="str">
            <v/>
          </cell>
          <cell r="Q1081" t="str">
            <v/>
          </cell>
          <cell r="R1081" t="e">
            <v>#N/A</v>
          </cell>
        </row>
        <row r="1082">
          <cell r="A1082" t="str">
            <v/>
          </cell>
          <cell r="B1082" t="str">
            <v/>
          </cell>
          <cell r="C1082" t="str">
            <v>Future</v>
          </cell>
          <cell r="D1082" t="e">
            <v>#N/A</v>
          </cell>
          <cell r="E1082">
            <v>-36.892885375493918</v>
          </cell>
          <cell r="F1082">
            <v>49.929249011858118</v>
          </cell>
          <cell r="G1082">
            <v>29.257312252963597</v>
          </cell>
          <cell r="H1082">
            <v>29.257312252963597</v>
          </cell>
          <cell r="I1082" t="e">
            <v>#N/A</v>
          </cell>
          <cell r="J1082" t="e">
            <v>#N/A</v>
          </cell>
          <cell r="K1082">
            <v>42</v>
          </cell>
          <cell r="L1082">
            <v>32</v>
          </cell>
          <cell r="M1082" t="e">
            <v>#N/A</v>
          </cell>
          <cell r="N1082">
            <v>37</v>
          </cell>
          <cell r="O1082" t="e">
            <v>#N/A</v>
          </cell>
          <cell r="P1082" t="str">
            <v/>
          </cell>
          <cell r="Q1082" t="str">
            <v/>
          </cell>
          <cell r="R1082" t="e">
            <v>#N/A</v>
          </cell>
        </row>
        <row r="1083">
          <cell r="A1083" t="str">
            <v/>
          </cell>
          <cell r="B1083" t="str">
            <v/>
          </cell>
          <cell r="C1083" t="str">
            <v>Future</v>
          </cell>
          <cell r="D1083" t="e">
            <v>#N/A</v>
          </cell>
          <cell r="E1083">
            <v>-37.029525691699455</v>
          </cell>
          <cell r="F1083">
            <v>49.958616600790926</v>
          </cell>
          <cell r="G1083">
            <v>29.247154150196799</v>
          </cell>
          <cell r="H1083">
            <v>29.247154150196799</v>
          </cell>
          <cell r="I1083" t="e">
            <v>#N/A</v>
          </cell>
          <cell r="J1083" t="e">
            <v>#N/A</v>
          </cell>
          <cell r="K1083">
            <v>42</v>
          </cell>
          <cell r="L1083">
            <v>32</v>
          </cell>
          <cell r="M1083" t="e">
            <v>#N/A</v>
          </cell>
          <cell r="N1083">
            <v>37</v>
          </cell>
          <cell r="O1083" t="e">
            <v>#N/A</v>
          </cell>
          <cell r="P1083" t="str">
            <v/>
          </cell>
          <cell r="Q1083" t="str">
            <v/>
          </cell>
          <cell r="R1083" t="e">
            <v>#N/A</v>
          </cell>
        </row>
        <row r="1084">
          <cell r="A1084" t="str">
            <v/>
          </cell>
          <cell r="B1084" t="str">
            <v/>
          </cell>
          <cell r="C1084" t="str">
            <v>Future</v>
          </cell>
          <cell r="D1084" t="e">
            <v>#N/A</v>
          </cell>
          <cell r="E1084">
            <v>-37.166166007904991</v>
          </cell>
          <cell r="F1084">
            <v>49.987984189723733</v>
          </cell>
          <cell r="G1084">
            <v>29.236996047430001</v>
          </cell>
          <cell r="H1084">
            <v>29.236996047430001</v>
          </cell>
          <cell r="I1084" t="e">
            <v>#N/A</v>
          </cell>
          <cell r="J1084" t="e">
            <v>#N/A</v>
          </cell>
          <cell r="K1084">
            <v>42</v>
          </cell>
          <cell r="L1084">
            <v>32</v>
          </cell>
          <cell r="M1084" t="e">
            <v>#N/A</v>
          </cell>
          <cell r="N1084">
            <v>37</v>
          </cell>
          <cell r="O1084" t="e">
            <v>#N/A</v>
          </cell>
          <cell r="P1084" t="str">
            <v/>
          </cell>
          <cell r="Q1084" t="str">
            <v/>
          </cell>
          <cell r="R1084" t="e">
            <v>#N/A</v>
          </cell>
        </row>
        <row r="1085">
          <cell r="A1085" t="str">
            <v/>
          </cell>
          <cell r="B1085" t="str">
            <v/>
          </cell>
          <cell r="C1085" t="str">
            <v>Future</v>
          </cell>
          <cell r="D1085" t="e">
            <v>#N/A</v>
          </cell>
          <cell r="E1085">
            <v>-37.302806324110527</v>
          </cell>
          <cell r="F1085">
            <v>50.01735177865654</v>
          </cell>
          <cell r="G1085">
            <v>29.226837944663203</v>
          </cell>
          <cell r="H1085">
            <v>29.226837944663203</v>
          </cell>
          <cell r="I1085" t="e">
            <v>#N/A</v>
          </cell>
          <cell r="J1085" t="e">
            <v>#N/A</v>
          </cell>
          <cell r="K1085">
            <v>42</v>
          </cell>
          <cell r="L1085">
            <v>32</v>
          </cell>
          <cell r="M1085" t="e">
            <v>#N/A</v>
          </cell>
          <cell r="N1085">
            <v>37</v>
          </cell>
          <cell r="O1085" t="e">
            <v>#N/A</v>
          </cell>
          <cell r="P1085" t="str">
            <v/>
          </cell>
          <cell r="Q1085" t="str">
            <v/>
          </cell>
          <cell r="R1085" t="e">
            <v>#N/A</v>
          </cell>
        </row>
        <row r="1086">
          <cell r="A1086" t="str">
            <v/>
          </cell>
          <cell r="B1086" t="str">
            <v/>
          </cell>
          <cell r="C1086" t="str">
            <v>Future</v>
          </cell>
          <cell r="D1086" t="e">
            <v>#N/A</v>
          </cell>
          <cell r="E1086">
            <v>-37.439446640316064</v>
          </cell>
          <cell r="F1086">
            <v>50.046719367589347</v>
          </cell>
          <cell r="G1086">
            <v>29.216679841896404</v>
          </cell>
          <cell r="H1086">
            <v>29.216679841896404</v>
          </cell>
          <cell r="I1086" t="e">
            <v>#N/A</v>
          </cell>
          <cell r="J1086" t="e">
            <v>#N/A</v>
          </cell>
          <cell r="K1086">
            <v>42</v>
          </cell>
          <cell r="L1086">
            <v>32</v>
          </cell>
          <cell r="M1086" t="e">
            <v>#N/A</v>
          </cell>
          <cell r="N1086">
            <v>37</v>
          </cell>
          <cell r="O1086" t="e">
            <v>#N/A</v>
          </cell>
          <cell r="P1086" t="str">
            <v/>
          </cell>
          <cell r="Q1086" t="str">
            <v/>
          </cell>
          <cell r="R1086" t="e">
            <v>#N/A</v>
          </cell>
        </row>
        <row r="1087">
          <cell r="A1087" t="str">
            <v/>
          </cell>
          <cell r="B1087" t="str">
            <v/>
          </cell>
          <cell r="C1087" t="str">
            <v>Future</v>
          </cell>
          <cell r="D1087" t="e">
            <v>#N/A</v>
          </cell>
          <cell r="E1087">
            <v>-37.5760869565216</v>
          </cell>
          <cell r="F1087">
            <v>50.076086956522154</v>
          </cell>
          <cell r="G1087">
            <v>29.206521739129606</v>
          </cell>
          <cell r="H1087">
            <v>29.206521739129606</v>
          </cell>
          <cell r="I1087" t="e">
            <v>#N/A</v>
          </cell>
          <cell r="J1087" t="e">
            <v>#N/A</v>
          </cell>
          <cell r="K1087">
            <v>42</v>
          </cell>
          <cell r="L1087">
            <v>32</v>
          </cell>
          <cell r="M1087" t="e">
            <v>#N/A</v>
          </cell>
          <cell r="N1087">
            <v>37</v>
          </cell>
          <cell r="O1087" t="e">
            <v>#N/A</v>
          </cell>
          <cell r="P1087" t="str">
            <v/>
          </cell>
          <cell r="Q1087" t="str">
            <v/>
          </cell>
          <cell r="R1087" t="e">
            <v>#N/A</v>
          </cell>
        </row>
        <row r="1088">
          <cell r="A1088" t="str">
            <v/>
          </cell>
          <cell r="B1088" t="str">
            <v/>
          </cell>
          <cell r="C1088" t="str">
            <v>Future</v>
          </cell>
          <cell r="D1088" t="e">
            <v>#N/A</v>
          </cell>
          <cell r="E1088">
            <v>-37.712727272727136</v>
          </cell>
          <cell r="F1088">
            <v>50.105454545454961</v>
          </cell>
          <cell r="G1088">
            <v>29.196363636362808</v>
          </cell>
          <cell r="H1088">
            <v>29.196363636362808</v>
          </cell>
          <cell r="I1088" t="e">
            <v>#N/A</v>
          </cell>
          <cell r="J1088" t="e">
            <v>#N/A</v>
          </cell>
          <cell r="K1088">
            <v>42</v>
          </cell>
          <cell r="L1088">
            <v>32</v>
          </cell>
          <cell r="M1088" t="e">
            <v>#N/A</v>
          </cell>
          <cell r="N1088">
            <v>37</v>
          </cell>
          <cell r="O1088" t="e">
            <v>#N/A</v>
          </cell>
          <cell r="P1088" t="str">
            <v/>
          </cell>
          <cell r="Q1088" t="str">
            <v/>
          </cell>
          <cell r="R1088" t="e">
            <v>#N/A</v>
          </cell>
        </row>
        <row r="1089">
          <cell r="A1089" t="str">
            <v/>
          </cell>
          <cell r="B1089" t="str">
            <v/>
          </cell>
          <cell r="C1089" t="str">
            <v>Future</v>
          </cell>
          <cell r="D1089" t="e">
            <v>#N/A</v>
          </cell>
          <cell r="E1089">
            <v>-37.849367588932672</v>
          </cell>
          <cell r="F1089">
            <v>50.134822134387768</v>
          </cell>
          <cell r="G1089">
            <v>29.186205533596009</v>
          </cell>
          <cell r="H1089">
            <v>29.186205533596009</v>
          </cell>
          <cell r="I1089" t="e">
            <v>#N/A</v>
          </cell>
          <cell r="J1089" t="e">
            <v>#N/A</v>
          </cell>
          <cell r="K1089">
            <v>42</v>
          </cell>
          <cell r="L1089">
            <v>32</v>
          </cell>
          <cell r="M1089" t="e">
            <v>#N/A</v>
          </cell>
          <cell r="N1089">
            <v>37</v>
          </cell>
          <cell r="O1089" t="e">
            <v>#N/A</v>
          </cell>
          <cell r="P1089" t="str">
            <v/>
          </cell>
          <cell r="Q1089" t="str">
            <v/>
          </cell>
          <cell r="R1089" t="e">
            <v>#N/A</v>
          </cell>
        </row>
        <row r="1090">
          <cell r="A1090" t="str">
            <v/>
          </cell>
          <cell r="B1090" t="str">
            <v/>
          </cell>
          <cell r="C1090" t="str">
            <v>Future</v>
          </cell>
          <cell r="D1090" t="e">
            <v>#N/A</v>
          </cell>
          <cell r="E1090">
            <v>-37.986007905138209</v>
          </cell>
          <cell r="F1090">
            <v>50.164189723320575</v>
          </cell>
          <cell r="G1090">
            <v>29.176047430829211</v>
          </cell>
          <cell r="H1090">
            <v>29.176047430829211</v>
          </cell>
          <cell r="I1090" t="e">
            <v>#N/A</v>
          </cell>
          <cell r="J1090" t="e">
            <v>#N/A</v>
          </cell>
          <cell r="K1090">
            <v>42</v>
          </cell>
          <cell r="L1090">
            <v>32</v>
          </cell>
          <cell r="M1090" t="e">
            <v>#N/A</v>
          </cell>
          <cell r="N1090">
            <v>37</v>
          </cell>
          <cell r="O1090" t="e">
            <v>#N/A</v>
          </cell>
          <cell r="P1090" t="str">
            <v/>
          </cell>
          <cell r="Q1090" t="str">
            <v/>
          </cell>
          <cell r="R1090" t="e">
            <v>#N/A</v>
          </cell>
        </row>
        <row r="1091">
          <cell r="A1091" t="str">
            <v/>
          </cell>
          <cell r="B1091" t="str">
            <v/>
          </cell>
          <cell r="C1091" t="str">
            <v>Future</v>
          </cell>
          <cell r="D1091" t="e">
            <v>#N/A</v>
          </cell>
          <cell r="E1091">
            <v>-38.122648221343745</v>
          </cell>
          <cell r="F1091">
            <v>50.193557312253382</v>
          </cell>
          <cell r="G1091">
            <v>29.165889328062413</v>
          </cell>
          <cell r="H1091">
            <v>29.165889328062413</v>
          </cell>
          <cell r="I1091" t="e">
            <v>#N/A</v>
          </cell>
          <cell r="J1091" t="e">
            <v>#N/A</v>
          </cell>
          <cell r="K1091">
            <v>42</v>
          </cell>
          <cell r="L1091">
            <v>32</v>
          </cell>
          <cell r="M1091" t="e">
            <v>#N/A</v>
          </cell>
          <cell r="N1091">
            <v>37</v>
          </cell>
          <cell r="O1091" t="e">
            <v>#N/A</v>
          </cell>
          <cell r="P1091" t="str">
            <v/>
          </cell>
          <cell r="Q1091" t="str">
            <v/>
          </cell>
          <cell r="R1091" t="e">
            <v>#N/A</v>
          </cell>
        </row>
        <row r="1092">
          <cell r="A1092" t="str">
            <v/>
          </cell>
          <cell r="B1092" t="str">
            <v/>
          </cell>
          <cell r="C1092" t="str">
            <v>Future</v>
          </cell>
          <cell r="D1092" t="e">
            <v>#N/A</v>
          </cell>
          <cell r="E1092">
            <v>-38.259288537549281</v>
          </cell>
          <cell r="F1092">
            <v>50.22292490118619</v>
          </cell>
          <cell r="G1092">
            <v>29.155731225295614</v>
          </cell>
          <cell r="H1092">
            <v>29.155731225295614</v>
          </cell>
          <cell r="I1092" t="e">
            <v>#N/A</v>
          </cell>
          <cell r="J1092" t="e">
            <v>#N/A</v>
          </cell>
          <cell r="K1092">
            <v>42</v>
          </cell>
          <cell r="L1092">
            <v>32</v>
          </cell>
          <cell r="M1092" t="e">
            <v>#N/A</v>
          </cell>
          <cell r="N1092">
            <v>37</v>
          </cell>
          <cell r="O1092" t="e">
            <v>#N/A</v>
          </cell>
          <cell r="P1092" t="str">
            <v/>
          </cell>
          <cell r="Q1092" t="str">
            <v/>
          </cell>
          <cell r="R1092" t="e">
            <v>#N/A</v>
          </cell>
        </row>
        <row r="1093">
          <cell r="A1093" t="str">
            <v/>
          </cell>
          <cell r="B1093" t="str">
            <v/>
          </cell>
          <cell r="C1093" t="str">
            <v>Future</v>
          </cell>
          <cell r="D1093" t="e">
            <v>#N/A</v>
          </cell>
          <cell r="E1093">
            <v>-38.395928853754818</v>
          </cell>
          <cell r="F1093">
            <v>50.252292490118997</v>
          </cell>
          <cell r="G1093">
            <v>29.145573122528816</v>
          </cell>
          <cell r="H1093">
            <v>29.145573122528816</v>
          </cell>
          <cell r="I1093" t="e">
            <v>#N/A</v>
          </cell>
          <cell r="J1093" t="e">
            <v>#N/A</v>
          </cell>
          <cell r="K1093">
            <v>42</v>
          </cell>
          <cell r="L1093">
            <v>32</v>
          </cell>
          <cell r="M1093" t="e">
            <v>#N/A</v>
          </cell>
          <cell r="N1093">
            <v>37</v>
          </cell>
          <cell r="O1093" t="e">
            <v>#N/A</v>
          </cell>
          <cell r="P1093" t="str">
            <v/>
          </cell>
          <cell r="Q1093" t="str">
            <v/>
          </cell>
          <cell r="R1093" t="e">
            <v>#N/A</v>
          </cell>
        </row>
        <row r="1094">
          <cell r="A1094" t="str">
            <v/>
          </cell>
          <cell r="B1094" t="str">
            <v/>
          </cell>
          <cell r="C1094" t="str">
            <v>Future</v>
          </cell>
          <cell r="D1094" t="e">
            <v>#N/A</v>
          </cell>
          <cell r="E1094">
            <v>-38.532569169960354</v>
          </cell>
          <cell r="F1094">
            <v>50.281660079051804</v>
          </cell>
          <cell r="G1094">
            <v>29.135415019762018</v>
          </cell>
          <cell r="H1094">
            <v>29.135415019762018</v>
          </cell>
          <cell r="I1094" t="e">
            <v>#N/A</v>
          </cell>
          <cell r="J1094" t="e">
            <v>#N/A</v>
          </cell>
          <cell r="K1094">
            <v>42</v>
          </cell>
          <cell r="L1094">
            <v>32</v>
          </cell>
          <cell r="M1094" t="e">
            <v>#N/A</v>
          </cell>
          <cell r="N1094">
            <v>37</v>
          </cell>
          <cell r="O1094" t="e">
            <v>#N/A</v>
          </cell>
          <cell r="P1094" t="str">
            <v/>
          </cell>
          <cell r="Q1094" t="str">
            <v/>
          </cell>
          <cell r="R1094" t="e">
            <v>#N/A</v>
          </cell>
        </row>
        <row r="1095">
          <cell r="A1095" t="str">
            <v/>
          </cell>
          <cell r="B1095" t="str">
            <v/>
          </cell>
          <cell r="C1095" t="str">
            <v>Future</v>
          </cell>
          <cell r="D1095" t="e">
            <v>#N/A</v>
          </cell>
          <cell r="E1095">
            <v>-38.66920948616589</v>
          </cell>
          <cell r="F1095">
            <v>50.311027667984611</v>
          </cell>
          <cell r="G1095">
            <v>29.12525691699522</v>
          </cell>
          <cell r="H1095">
            <v>29.12525691699522</v>
          </cell>
          <cell r="I1095" t="e">
            <v>#N/A</v>
          </cell>
          <cell r="J1095" t="e">
            <v>#N/A</v>
          </cell>
          <cell r="K1095">
            <v>42</v>
          </cell>
          <cell r="L1095">
            <v>32</v>
          </cell>
          <cell r="M1095" t="e">
            <v>#N/A</v>
          </cell>
          <cell r="N1095">
            <v>37</v>
          </cell>
          <cell r="O1095" t="e">
            <v>#N/A</v>
          </cell>
          <cell r="P1095" t="str">
            <v/>
          </cell>
          <cell r="Q1095" t="str">
            <v/>
          </cell>
          <cell r="R1095" t="e">
            <v>#N/A</v>
          </cell>
        </row>
        <row r="1096">
          <cell r="A1096" t="str">
            <v/>
          </cell>
          <cell r="B1096" t="str">
            <v/>
          </cell>
          <cell r="C1096" t="str">
            <v>Future</v>
          </cell>
          <cell r="D1096" t="e">
            <v>#N/A</v>
          </cell>
          <cell r="E1096">
            <v>-38.805849802371426</v>
          </cell>
          <cell r="F1096">
            <v>50.340395256917418</v>
          </cell>
          <cell r="G1096">
            <v>29.115098814228421</v>
          </cell>
          <cell r="H1096">
            <v>29.115098814228421</v>
          </cell>
          <cell r="I1096" t="e">
            <v>#N/A</v>
          </cell>
          <cell r="J1096" t="e">
            <v>#N/A</v>
          </cell>
          <cell r="K1096">
            <v>42</v>
          </cell>
          <cell r="L1096">
            <v>32</v>
          </cell>
          <cell r="M1096" t="e">
            <v>#N/A</v>
          </cell>
          <cell r="N1096">
            <v>37</v>
          </cell>
          <cell r="O1096" t="e">
            <v>#N/A</v>
          </cell>
          <cell r="P1096" t="str">
            <v/>
          </cell>
          <cell r="Q1096" t="str">
            <v/>
          </cell>
          <cell r="R1096" t="e">
            <v>#N/A</v>
          </cell>
        </row>
        <row r="1097">
          <cell r="A1097" t="str">
            <v/>
          </cell>
          <cell r="B1097" t="str">
            <v/>
          </cell>
          <cell r="C1097" t="str">
            <v>Future</v>
          </cell>
          <cell r="D1097" t="e">
            <v>#N/A</v>
          </cell>
          <cell r="E1097">
            <v>-38.942490118576963</v>
          </cell>
          <cell r="F1097">
            <v>50.369762845850225</v>
          </cell>
          <cell r="G1097">
            <v>29.104940711461623</v>
          </cell>
          <cell r="H1097">
            <v>29.104940711461623</v>
          </cell>
          <cell r="I1097" t="e">
            <v>#N/A</v>
          </cell>
          <cell r="J1097" t="e">
            <v>#N/A</v>
          </cell>
          <cell r="K1097">
            <v>42</v>
          </cell>
          <cell r="L1097">
            <v>32</v>
          </cell>
          <cell r="M1097" t="e">
            <v>#N/A</v>
          </cell>
          <cell r="N1097">
            <v>37</v>
          </cell>
          <cell r="O1097" t="e">
            <v>#N/A</v>
          </cell>
          <cell r="P1097" t="str">
            <v/>
          </cell>
          <cell r="Q1097" t="str">
            <v/>
          </cell>
          <cell r="R1097" t="e">
            <v>#N/A</v>
          </cell>
        </row>
        <row r="1098">
          <cell r="A1098" t="str">
            <v/>
          </cell>
          <cell r="B1098" t="str">
            <v/>
          </cell>
          <cell r="C1098" t="str">
            <v>Future</v>
          </cell>
          <cell r="D1098" t="e">
            <v>#N/A</v>
          </cell>
          <cell r="E1098">
            <v>-39.079130434782499</v>
          </cell>
          <cell r="F1098">
            <v>50.399130434783032</v>
          </cell>
          <cell r="G1098">
            <v>29.094782608694825</v>
          </cell>
          <cell r="H1098">
            <v>29.094782608694825</v>
          </cell>
          <cell r="I1098" t="e">
            <v>#N/A</v>
          </cell>
          <cell r="J1098" t="e">
            <v>#N/A</v>
          </cell>
          <cell r="K1098">
            <v>42</v>
          </cell>
          <cell r="L1098">
            <v>32</v>
          </cell>
          <cell r="M1098" t="e">
            <v>#N/A</v>
          </cell>
          <cell r="N1098">
            <v>37</v>
          </cell>
          <cell r="O1098" t="e">
            <v>#N/A</v>
          </cell>
          <cell r="P1098" t="str">
            <v/>
          </cell>
          <cell r="Q1098" t="str">
            <v/>
          </cell>
          <cell r="R1098" t="e">
            <v>#N/A</v>
          </cell>
        </row>
        <row r="1099">
          <cell r="A1099" t="str">
            <v/>
          </cell>
          <cell r="B1099" t="str">
            <v/>
          </cell>
          <cell r="C1099" t="str">
            <v>Future</v>
          </cell>
          <cell r="D1099" t="e">
            <v>#N/A</v>
          </cell>
          <cell r="E1099">
            <v>-39.215770750988035</v>
          </cell>
          <cell r="F1099">
            <v>50.428498023715839</v>
          </cell>
          <cell r="G1099">
            <v>29.084624505928026</v>
          </cell>
          <cell r="H1099">
            <v>29.084624505928026</v>
          </cell>
          <cell r="I1099" t="e">
            <v>#N/A</v>
          </cell>
          <cell r="J1099" t="e">
            <v>#N/A</v>
          </cell>
          <cell r="K1099">
            <v>42</v>
          </cell>
          <cell r="L1099">
            <v>32</v>
          </cell>
          <cell r="M1099" t="e">
            <v>#N/A</v>
          </cell>
          <cell r="N1099">
            <v>37</v>
          </cell>
          <cell r="O1099" t="e">
            <v>#N/A</v>
          </cell>
          <cell r="P1099" t="str">
            <v/>
          </cell>
          <cell r="Q1099" t="str">
            <v/>
          </cell>
          <cell r="R1099" t="e">
            <v>#N/A</v>
          </cell>
        </row>
        <row r="1100">
          <cell r="A1100" t="str">
            <v/>
          </cell>
          <cell r="B1100" t="str">
            <v/>
          </cell>
          <cell r="C1100" t="str">
            <v>Future</v>
          </cell>
          <cell r="D1100" t="e">
            <v>#N/A</v>
          </cell>
          <cell r="E1100">
            <v>-39.352411067193572</v>
          </cell>
          <cell r="F1100">
            <v>50.457865612648646</v>
          </cell>
          <cell r="G1100">
            <v>29.074466403161228</v>
          </cell>
          <cell r="H1100">
            <v>29.074466403161228</v>
          </cell>
          <cell r="I1100" t="e">
            <v>#N/A</v>
          </cell>
          <cell r="J1100" t="e">
            <v>#N/A</v>
          </cell>
          <cell r="K1100">
            <v>42</v>
          </cell>
          <cell r="L1100">
            <v>32</v>
          </cell>
          <cell r="M1100" t="e">
            <v>#N/A</v>
          </cell>
          <cell r="N1100">
            <v>37</v>
          </cell>
          <cell r="O1100" t="e">
            <v>#N/A</v>
          </cell>
          <cell r="P1100" t="str">
            <v/>
          </cell>
          <cell r="Q1100" t="str">
            <v/>
          </cell>
          <cell r="R1100" t="e">
            <v>#N/A</v>
          </cell>
        </row>
        <row r="1101">
          <cell r="A1101" t="str">
            <v/>
          </cell>
          <cell r="B1101" t="str">
            <v/>
          </cell>
          <cell r="C1101" t="str">
            <v>Future</v>
          </cell>
          <cell r="D1101" t="e">
            <v>#N/A</v>
          </cell>
          <cell r="E1101">
            <v>-39.489051383399108</v>
          </cell>
          <cell r="F1101">
            <v>50.487233201581454</v>
          </cell>
          <cell r="G1101">
            <v>29.06430830039443</v>
          </cell>
          <cell r="H1101">
            <v>29.06430830039443</v>
          </cell>
          <cell r="I1101" t="e">
            <v>#N/A</v>
          </cell>
          <cell r="J1101" t="e">
            <v>#N/A</v>
          </cell>
          <cell r="K1101">
            <v>42</v>
          </cell>
          <cell r="L1101">
            <v>32</v>
          </cell>
          <cell r="M1101" t="e">
            <v>#N/A</v>
          </cell>
          <cell r="N1101">
            <v>37</v>
          </cell>
          <cell r="O1101" t="e">
            <v>#N/A</v>
          </cell>
          <cell r="P1101" t="str">
            <v/>
          </cell>
          <cell r="Q1101" t="str">
            <v/>
          </cell>
          <cell r="R1101" t="e">
            <v>#N/A</v>
          </cell>
        </row>
        <row r="1102">
          <cell r="A1102" t="str">
            <v/>
          </cell>
          <cell r="B1102" t="str">
            <v/>
          </cell>
          <cell r="C1102" t="str">
            <v>Future</v>
          </cell>
          <cell r="D1102" t="e">
            <v>#N/A</v>
          </cell>
          <cell r="E1102">
            <v>-39.625691699604644</v>
          </cell>
          <cell r="F1102">
            <v>50.516600790514261</v>
          </cell>
          <cell r="G1102">
            <v>29.054150197627632</v>
          </cell>
          <cell r="H1102">
            <v>29.054150197627632</v>
          </cell>
          <cell r="I1102" t="e">
            <v>#N/A</v>
          </cell>
          <cell r="J1102" t="e">
            <v>#N/A</v>
          </cell>
          <cell r="K1102">
            <v>42</v>
          </cell>
          <cell r="L1102">
            <v>32</v>
          </cell>
          <cell r="M1102" t="e">
            <v>#N/A</v>
          </cell>
          <cell r="N1102">
            <v>37</v>
          </cell>
          <cell r="O1102" t="e">
            <v>#N/A</v>
          </cell>
          <cell r="P1102" t="str">
            <v/>
          </cell>
          <cell r="Q1102" t="str">
            <v/>
          </cell>
          <cell r="R1102" t="e">
            <v>#N/A</v>
          </cell>
        </row>
        <row r="1103">
          <cell r="A1103" t="str">
            <v/>
          </cell>
          <cell r="B1103" t="str">
            <v/>
          </cell>
          <cell r="C1103" t="str">
            <v>Future</v>
          </cell>
          <cell r="D1103" t="e">
            <v>#N/A</v>
          </cell>
          <cell r="E1103">
            <v>-39.762332015810181</v>
          </cell>
          <cell r="F1103">
            <v>50.545968379447068</v>
          </cell>
          <cell r="G1103">
            <v>29.043992094860833</v>
          </cell>
          <cell r="H1103">
            <v>29.043992094860833</v>
          </cell>
          <cell r="I1103" t="e">
            <v>#N/A</v>
          </cell>
          <cell r="J1103" t="e">
            <v>#N/A</v>
          </cell>
          <cell r="K1103">
            <v>42</v>
          </cell>
          <cell r="L1103">
            <v>32</v>
          </cell>
          <cell r="M1103" t="e">
            <v>#N/A</v>
          </cell>
          <cell r="N1103">
            <v>37</v>
          </cell>
          <cell r="O1103" t="e">
            <v>#N/A</v>
          </cell>
          <cell r="P1103" t="str">
            <v/>
          </cell>
          <cell r="Q1103" t="str">
            <v/>
          </cell>
          <cell r="R1103" t="e">
            <v>#N/A</v>
          </cell>
        </row>
        <row r="1104">
          <cell r="A1104" t="str">
            <v/>
          </cell>
          <cell r="B1104" t="str">
            <v/>
          </cell>
          <cell r="C1104" t="str">
            <v>Future</v>
          </cell>
          <cell r="D1104" t="e">
            <v>#N/A</v>
          </cell>
          <cell r="E1104">
            <v>-39.898972332015717</v>
          </cell>
          <cell r="F1104">
            <v>50.575335968379875</v>
          </cell>
          <cell r="G1104">
            <v>29.033833992094035</v>
          </cell>
          <cell r="H1104">
            <v>29.033833992094035</v>
          </cell>
          <cell r="I1104" t="e">
            <v>#N/A</v>
          </cell>
          <cell r="J1104" t="e">
            <v>#N/A</v>
          </cell>
          <cell r="K1104">
            <v>42</v>
          </cell>
          <cell r="L1104">
            <v>32</v>
          </cell>
          <cell r="M1104" t="e">
            <v>#N/A</v>
          </cell>
          <cell r="N1104">
            <v>37</v>
          </cell>
          <cell r="O1104" t="e">
            <v>#N/A</v>
          </cell>
          <cell r="P1104" t="str">
            <v/>
          </cell>
          <cell r="Q1104" t="str">
            <v/>
          </cell>
          <cell r="R1104" t="e">
            <v>#N/A</v>
          </cell>
        </row>
        <row r="1105">
          <cell r="A1105" t="str">
            <v/>
          </cell>
          <cell r="B1105" t="str">
            <v/>
          </cell>
          <cell r="C1105" t="str">
            <v>Future</v>
          </cell>
          <cell r="D1105" t="e">
            <v>#N/A</v>
          </cell>
          <cell r="E1105">
            <v>-40.035612648221253</v>
          </cell>
          <cell r="F1105">
            <v>50.604703557312682</v>
          </cell>
          <cell r="G1105">
            <v>29.023675889327237</v>
          </cell>
          <cell r="H1105">
            <v>29.023675889327237</v>
          </cell>
          <cell r="I1105" t="e">
            <v>#N/A</v>
          </cell>
          <cell r="J1105" t="e">
            <v>#N/A</v>
          </cell>
          <cell r="K1105">
            <v>42</v>
          </cell>
          <cell r="L1105">
            <v>32</v>
          </cell>
          <cell r="M1105" t="e">
            <v>#N/A</v>
          </cell>
          <cell r="N1105">
            <v>37</v>
          </cell>
          <cell r="O1105" t="e">
            <v>#N/A</v>
          </cell>
          <cell r="P1105" t="str">
            <v/>
          </cell>
          <cell r="Q1105" t="str">
            <v/>
          </cell>
          <cell r="R1105" t="e">
            <v>#N/A</v>
          </cell>
        </row>
        <row r="1106">
          <cell r="A1106" t="str">
            <v/>
          </cell>
          <cell r="B1106" t="str">
            <v/>
          </cell>
          <cell r="C1106" t="str">
            <v>Future</v>
          </cell>
          <cell r="D1106" t="e">
            <v>#N/A</v>
          </cell>
          <cell r="E1106">
            <v>-40.172252964426789</v>
          </cell>
          <cell r="F1106">
            <v>50.634071146245489</v>
          </cell>
          <cell r="G1106">
            <v>29.013517786560438</v>
          </cell>
          <cell r="H1106">
            <v>29.013517786560438</v>
          </cell>
          <cell r="I1106" t="e">
            <v>#N/A</v>
          </cell>
          <cell r="J1106" t="e">
            <v>#N/A</v>
          </cell>
          <cell r="K1106">
            <v>42</v>
          </cell>
          <cell r="L1106">
            <v>32</v>
          </cell>
          <cell r="M1106" t="e">
            <v>#N/A</v>
          </cell>
          <cell r="N1106">
            <v>37</v>
          </cell>
          <cell r="O1106" t="e">
            <v>#N/A</v>
          </cell>
          <cell r="P1106" t="str">
            <v/>
          </cell>
          <cell r="Q1106" t="str">
            <v/>
          </cell>
          <cell r="R1106" t="e">
            <v>#N/A</v>
          </cell>
        </row>
        <row r="1107">
          <cell r="A1107" t="str">
            <v/>
          </cell>
          <cell r="B1107" t="str">
            <v/>
          </cell>
          <cell r="C1107" t="str">
            <v>Future</v>
          </cell>
          <cell r="D1107" t="e">
            <v>#N/A</v>
          </cell>
          <cell r="E1107">
            <v>-40.308893280632326</v>
          </cell>
          <cell r="F1107">
            <v>50.663438735178296</v>
          </cell>
          <cell r="G1107">
            <v>29.00335968379364</v>
          </cell>
          <cell r="H1107">
            <v>29.00335968379364</v>
          </cell>
          <cell r="I1107" t="e">
            <v>#N/A</v>
          </cell>
          <cell r="J1107" t="e">
            <v>#N/A</v>
          </cell>
          <cell r="K1107">
            <v>42</v>
          </cell>
          <cell r="L1107">
            <v>32</v>
          </cell>
          <cell r="M1107" t="e">
            <v>#N/A</v>
          </cell>
          <cell r="N1107">
            <v>37</v>
          </cell>
          <cell r="O1107" t="e">
            <v>#N/A</v>
          </cell>
          <cell r="P1107" t="str">
            <v/>
          </cell>
          <cell r="Q1107" t="str">
            <v/>
          </cell>
          <cell r="R1107" t="e">
            <v>#N/A</v>
          </cell>
        </row>
        <row r="1108">
          <cell r="A1108" t="str">
            <v/>
          </cell>
          <cell r="B1108" t="str">
            <v/>
          </cell>
          <cell r="C1108" t="str">
            <v>Future</v>
          </cell>
          <cell r="D1108" t="e">
            <v>#N/A</v>
          </cell>
          <cell r="E1108">
            <v>-40.445533596837862</v>
          </cell>
          <cell r="F1108">
            <v>50.692806324111103</v>
          </cell>
          <cell r="G1108">
            <v>28.993201581026842</v>
          </cell>
          <cell r="H1108">
            <v>28.993201581026842</v>
          </cell>
          <cell r="I1108" t="e">
            <v>#N/A</v>
          </cell>
          <cell r="J1108" t="e">
            <v>#N/A</v>
          </cell>
          <cell r="K1108">
            <v>42</v>
          </cell>
          <cell r="L1108">
            <v>32</v>
          </cell>
          <cell r="M1108" t="e">
            <v>#N/A</v>
          </cell>
          <cell r="N1108">
            <v>37</v>
          </cell>
          <cell r="O1108" t="e">
            <v>#N/A</v>
          </cell>
          <cell r="P1108" t="str">
            <v/>
          </cell>
          <cell r="Q1108" t="str">
            <v/>
          </cell>
          <cell r="R1108" t="e">
            <v>#N/A</v>
          </cell>
        </row>
        <row r="1109">
          <cell r="A1109" t="str">
            <v/>
          </cell>
          <cell r="B1109" t="str">
            <v/>
          </cell>
          <cell r="C1109" t="str">
            <v>Future</v>
          </cell>
          <cell r="D1109" t="e">
            <v>#N/A</v>
          </cell>
          <cell r="E1109">
            <v>-40.582173913043398</v>
          </cell>
          <cell r="F1109">
            <v>50.72217391304391</v>
          </cell>
          <cell r="G1109">
            <v>28.983043478260043</v>
          </cell>
          <cell r="H1109">
            <v>28.983043478260043</v>
          </cell>
          <cell r="I1109" t="e">
            <v>#N/A</v>
          </cell>
          <cell r="J1109" t="e">
            <v>#N/A</v>
          </cell>
          <cell r="K1109">
            <v>42</v>
          </cell>
          <cell r="L1109">
            <v>32</v>
          </cell>
          <cell r="M1109" t="e">
            <v>#N/A</v>
          </cell>
          <cell r="N1109">
            <v>37</v>
          </cell>
          <cell r="O1109" t="e">
            <v>#N/A</v>
          </cell>
          <cell r="P1109" t="str">
            <v/>
          </cell>
          <cell r="Q1109" t="str">
            <v/>
          </cell>
          <cell r="R1109" t="e">
            <v>#N/A</v>
          </cell>
        </row>
        <row r="1110">
          <cell r="A1110" t="str">
            <v/>
          </cell>
          <cell r="B1110" t="str">
            <v/>
          </cell>
          <cell r="C1110" t="str">
            <v>Future</v>
          </cell>
          <cell r="D1110" t="e">
            <v>#N/A</v>
          </cell>
          <cell r="E1110">
            <v>-40.718814229248935</v>
          </cell>
          <cell r="F1110">
            <v>50.751541501976718</v>
          </cell>
          <cell r="G1110">
            <v>28.972885375493245</v>
          </cell>
          <cell r="H1110">
            <v>28.972885375493245</v>
          </cell>
          <cell r="I1110" t="e">
            <v>#N/A</v>
          </cell>
          <cell r="J1110" t="e">
            <v>#N/A</v>
          </cell>
          <cell r="K1110">
            <v>42</v>
          </cell>
          <cell r="L1110">
            <v>32</v>
          </cell>
          <cell r="M1110" t="e">
            <v>#N/A</v>
          </cell>
          <cell r="N1110">
            <v>37</v>
          </cell>
          <cell r="O1110" t="e">
            <v>#N/A</v>
          </cell>
          <cell r="P1110" t="str">
            <v/>
          </cell>
          <cell r="Q1110" t="str">
            <v/>
          </cell>
          <cell r="R1110" t="e">
            <v>#N/A</v>
          </cell>
        </row>
        <row r="1111">
          <cell r="A1111" t="str">
            <v/>
          </cell>
          <cell r="B1111" t="str">
            <v/>
          </cell>
          <cell r="C1111" t="str">
            <v>Future</v>
          </cell>
          <cell r="D1111" t="e">
            <v>#N/A</v>
          </cell>
          <cell r="E1111">
            <v>-40.855454545454471</v>
          </cell>
          <cell r="F1111">
            <v>50.780909090909525</v>
          </cell>
          <cell r="G1111">
            <v>28.962727272726447</v>
          </cell>
          <cell r="H1111">
            <v>28.962727272726447</v>
          </cell>
          <cell r="I1111" t="e">
            <v>#N/A</v>
          </cell>
          <cell r="J1111" t="e">
            <v>#N/A</v>
          </cell>
          <cell r="K1111">
            <v>42</v>
          </cell>
          <cell r="L1111">
            <v>32</v>
          </cell>
          <cell r="M1111" t="e">
            <v>#N/A</v>
          </cell>
          <cell r="N1111">
            <v>37</v>
          </cell>
          <cell r="O1111" t="e">
            <v>#N/A</v>
          </cell>
          <cell r="P1111" t="str">
            <v/>
          </cell>
          <cell r="Q1111" t="str">
            <v/>
          </cell>
          <cell r="R1111" t="e">
            <v>#N/A</v>
          </cell>
        </row>
        <row r="1112">
          <cell r="A1112" t="str">
            <v/>
          </cell>
          <cell r="B1112" t="str">
            <v/>
          </cell>
          <cell r="C1112" t="str">
            <v>Future</v>
          </cell>
          <cell r="D1112" t="e">
            <v>#N/A</v>
          </cell>
          <cell r="E1112">
            <v>-40.992094861660007</v>
          </cell>
          <cell r="F1112">
            <v>50.810276679842332</v>
          </cell>
          <cell r="G1112">
            <v>28.952569169959649</v>
          </cell>
          <cell r="H1112">
            <v>28.952569169959649</v>
          </cell>
          <cell r="I1112" t="e">
            <v>#N/A</v>
          </cell>
          <cell r="J1112" t="e">
            <v>#N/A</v>
          </cell>
          <cell r="K1112">
            <v>42</v>
          </cell>
          <cell r="L1112">
            <v>32</v>
          </cell>
          <cell r="M1112" t="e">
            <v>#N/A</v>
          </cell>
          <cell r="N1112">
            <v>37</v>
          </cell>
          <cell r="O1112" t="e">
            <v>#N/A</v>
          </cell>
          <cell r="P1112" t="str">
            <v/>
          </cell>
          <cell r="Q1112" t="str">
            <v/>
          </cell>
          <cell r="R1112" t="e">
            <v>#N/A</v>
          </cell>
        </row>
        <row r="1113">
          <cell r="A1113" t="str">
            <v/>
          </cell>
          <cell r="B1113" t="str">
            <v/>
          </cell>
          <cell r="C1113" t="str">
            <v>Future</v>
          </cell>
          <cell r="D1113" t="e">
            <v>#N/A</v>
          </cell>
          <cell r="E1113">
            <v>-41.128735177865543</v>
          </cell>
          <cell r="F1113">
            <v>50.839644268775139</v>
          </cell>
          <cell r="G1113">
            <v>28.94241106719285</v>
          </cell>
          <cell r="H1113">
            <v>28.94241106719285</v>
          </cell>
          <cell r="I1113" t="e">
            <v>#N/A</v>
          </cell>
          <cell r="J1113" t="e">
            <v>#N/A</v>
          </cell>
          <cell r="K1113">
            <v>42</v>
          </cell>
          <cell r="L1113">
            <v>32</v>
          </cell>
          <cell r="M1113" t="e">
            <v>#N/A</v>
          </cell>
          <cell r="N1113">
            <v>37</v>
          </cell>
          <cell r="O1113" t="e">
            <v>#N/A</v>
          </cell>
          <cell r="P1113" t="str">
            <v/>
          </cell>
          <cell r="Q1113" t="str">
            <v/>
          </cell>
          <cell r="R1113" t="e">
            <v>#N/A</v>
          </cell>
        </row>
        <row r="1114">
          <cell r="A1114" t="str">
            <v/>
          </cell>
          <cell r="B1114" t="str">
            <v/>
          </cell>
          <cell r="C1114" t="str">
            <v>Future</v>
          </cell>
          <cell r="D1114" t="e">
            <v>#N/A</v>
          </cell>
          <cell r="E1114">
            <v>-41.26537549407108</v>
          </cell>
          <cell r="F1114">
            <v>50.869011857707946</v>
          </cell>
          <cell r="G1114">
            <v>28.932252964426052</v>
          </cell>
          <cell r="H1114">
            <v>28.932252964426052</v>
          </cell>
          <cell r="I1114" t="e">
            <v>#N/A</v>
          </cell>
          <cell r="J1114" t="e">
            <v>#N/A</v>
          </cell>
          <cell r="K1114">
            <v>42</v>
          </cell>
          <cell r="L1114">
            <v>32</v>
          </cell>
          <cell r="M1114" t="e">
            <v>#N/A</v>
          </cell>
          <cell r="N1114">
            <v>37</v>
          </cell>
          <cell r="O1114" t="e">
            <v>#N/A</v>
          </cell>
          <cell r="P1114" t="str">
            <v/>
          </cell>
          <cell r="Q1114" t="str">
            <v/>
          </cell>
          <cell r="R1114" t="e">
            <v>#N/A</v>
          </cell>
        </row>
        <row r="1115">
          <cell r="A1115" t="str">
            <v/>
          </cell>
          <cell r="B1115" t="str">
            <v/>
          </cell>
          <cell r="C1115" t="str">
            <v>Future</v>
          </cell>
          <cell r="D1115" t="e">
            <v>#N/A</v>
          </cell>
          <cell r="E1115">
            <v>-41.402015810276616</v>
          </cell>
          <cell r="F1115">
            <v>50.898379446640753</v>
          </cell>
          <cell r="G1115">
            <v>28.922094861659254</v>
          </cell>
          <cell r="H1115">
            <v>28.922094861659254</v>
          </cell>
          <cell r="I1115" t="e">
            <v>#N/A</v>
          </cell>
          <cell r="J1115" t="e">
            <v>#N/A</v>
          </cell>
          <cell r="K1115">
            <v>42</v>
          </cell>
          <cell r="L1115">
            <v>32</v>
          </cell>
          <cell r="M1115" t="e">
            <v>#N/A</v>
          </cell>
          <cell r="N1115">
            <v>37</v>
          </cell>
          <cell r="O1115" t="e">
            <v>#N/A</v>
          </cell>
          <cell r="P1115" t="str">
            <v/>
          </cell>
          <cell r="Q1115" t="str">
            <v/>
          </cell>
          <cell r="R1115" t="e">
            <v>#N/A</v>
          </cell>
        </row>
        <row r="1116">
          <cell r="A1116" t="str">
            <v/>
          </cell>
          <cell r="B1116" t="str">
            <v/>
          </cell>
          <cell r="C1116" t="str">
            <v>Future</v>
          </cell>
          <cell r="D1116" t="e">
            <v>#N/A</v>
          </cell>
          <cell r="E1116">
            <v>-41.538656126482152</v>
          </cell>
          <cell r="F1116">
            <v>50.92774703557356</v>
          </cell>
          <cell r="G1116">
            <v>28.911936758892455</v>
          </cell>
          <cell r="H1116">
            <v>28.911936758892455</v>
          </cell>
          <cell r="I1116" t="e">
            <v>#N/A</v>
          </cell>
          <cell r="J1116" t="e">
            <v>#N/A</v>
          </cell>
          <cell r="K1116">
            <v>42</v>
          </cell>
          <cell r="L1116">
            <v>32</v>
          </cell>
          <cell r="M1116" t="e">
            <v>#N/A</v>
          </cell>
          <cell r="N1116">
            <v>37</v>
          </cell>
          <cell r="O1116" t="e">
            <v>#N/A</v>
          </cell>
          <cell r="P1116" t="str">
            <v/>
          </cell>
          <cell r="Q1116" t="str">
            <v/>
          </cell>
          <cell r="R1116" t="e">
            <v>#N/A</v>
          </cell>
        </row>
        <row r="1117">
          <cell r="A1117" t="str">
            <v/>
          </cell>
          <cell r="B1117" t="str">
            <v/>
          </cell>
          <cell r="C1117" t="str">
            <v>Future</v>
          </cell>
          <cell r="D1117" t="e">
            <v>#N/A</v>
          </cell>
          <cell r="E1117">
            <v>-41.675296442687689</v>
          </cell>
          <cell r="F1117">
            <v>50.957114624506367</v>
          </cell>
          <cell r="G1117">
            <v>28.901778656125657</v>
          </cell>
          <cell r="H1117">
            <v>28.901778656125657</v>
          </cell>
          <cell r="I1117" t="e">
            <v>#N/A</v>
          </cell>
          <cell r="J1117" t="e">
            <v>#N/A</v>
          </cell>
          <cell r="K1117">
            <v>42</v>
          </cell>
          <cell r="L1117">
            <v>32</v>
          </cell>
          <cell r="M1117" t="e">
            <v>#N/A</v>
          </cell>
          <cell r="N1117">
            <v>37</v>
          </cell>
          <cell r="O1117" t="e">
            <v>#N/A</v>
          </cell>
          <cell r="P1117" t="str">
            <v/>
          </cell>
          <cell r="Q1117" t="str">
            <v/>
          </cell>
          <cell r="R1117" t="e">
            <v>#N/A</v>
          </cell>
        </row>
        <row r="1118">
          <cell r="A1118" t="str">
            <v/>
          </cell>
          <cell r="B1118" t="str">
            <v/>
          </cell>
          <cell r="C1118" t="str">
            <v>Future</v>
          </cell>
          <cell r="D1118" t="e">
            <v>#N/A</v>
          </cell>
          <cell r="E1118">
            <v>-41.811936758893225</v>
          </cell>
          <cell r="F1118">
            <v>50.986482213439174</v>
          </cell>
          <cell r="G1118">
            <v>28.891620553358859</v>
          </cell>
          <cell r="H1118">
            <v>28.891620553358859</v>
          </cell>
          <cell r="I1118" t="e">
            <v>#N/A</v>
          </cell>
          <cell r="J1118" t="e">
            <v>#N/A</v>
          </cell>
          <cell r="K1118">
            <v>42</v>
          </cell>
          <cell r="L1118">
            <v>32</v>
          </cell>
          <cell r="M1118" t="e">
            <v>#N/A</v>
          </cell>
          <cell r="N1118">
            <v>37</v>
          </cell>
          <cell r="O1118" t="e">
            <v>#N/A</v>
          </cell>
          <cell r="P1118" t="str">
            <v/>
          </cell>
          <cell r="Q1118" t="str">
            <v/>
          </cell>
          <cell r="R1118" t="e">
            <v>#N/A</v>
          </cell>
        </row>
        <row r="1119">
          <cell r="A1119" t="str">
            <v/>
          </cell>
          <cell r="B1119" t="str">
            <v/>
          </cell>
          <cell r="C1119" t="str">
            <v>Future</v>
          </cell>
          <cell r="D1119" t="e">
            <v>#N/A</v>
          </cell>
          <cell r="E1119">
            <v>-41.948577075098761</v>
          </cell>
          <cell r="F1119">
            <v>51.015849802371982</v>
          </cell>
          <cell r="G1119">
            <v>28.881462450592061</v>
          </cell>
          <cell r="H1119">
            <v>28.881462450592061</v>
          </cell>
          <cell r="I1119" t="e">
            <v>#N/A</v>
          </cell>
          <cell r="J1119" t="e">
            <v>#N/A</v>
          </cell>
          <cell r="K1119">
            <v>42</v>
          </cell>
          <cell r="L1119">
            <v>32</v>
          </cell>
          <cell r="M1119" t="e">
            <v>#N/A</v>
          </cell>
          <cell r="N1119">
            <v>37</v>
          </cell>
          <cell r="O1119" t="e">
            <v>#N/A</v>
          </cell>
          <cell r="P1119" t="str">
            <v/>
          </cell>
          <cell r="Q1119" t="str">
            <v/>
          </cell>
          <cell r="R1119" t="e">
            <v>#N/A</v>
          </cell>
        </row>
        <row r="1120">
          <cell r="A1120" t="str">
            <v/>
          </cell>
          <cell r="B1120" t="str">
            <v/>
          </cell>
          <cell r="C1120" t="str">
            <v>Future</v>
          </cell>
          <cell r="D1120" t="e">
            <v>#N/A</v>
          </cell>
          <cell r="E1120">
            <v>-42.085217391304298</v>
          </cell>
          <cell r="F1120">
            <v>51.045217391304789</v>
          </cell>
          <cell r="G1120">
            <v>28.871304347825262</v>
          </cell>
          <cell r="H1120">
            <v>28.871304347825262</v>
          </cell>
          <cell r="I1120" t="e">
            <v>#N/A</v>
          </cell>
          <cell r="J1120" t="e">
            <v>#N/A</v>
          </cell>
          <cell r="K1120">
            <v>42</v>
          </cell>
          <cell r="L1120">
            <v>32</v>
          </cell>
          <cell r="M1120" t="e">
            <v>#N/A</v>
          </cell>
          <cell r="N1120">
            <v>37</v>
          </cell>
          <cell r="O1120" t="e">
            <v>#N/A</v>
          </cell>
          <cell r="P1120" t="str">
            <v/>
          </cell>
          <cell r="Q1120" t="str">
            <v/>
          </cell>
          <cell r="R1120" t="e">
            <v>#N/A</v>
          </cell>
        </row>
        <row r="1121">
          <cell r="A1121" t="str">
            <v/>
          </cell>
          <cell r="B1121" t="str">
            <v/>
          </cell>
          <cell r="C1121" t="str">
            <v>Future</v>
          </cell>
          <cell r="D1121" t="e">
            <v>#N/A</v>
          </cell>
          <cell r="E1121">
            <v>-42.221857707509834</v>
          </cell>
          <cell r="F1121">
            <v>51.074584980237596</v>
          </cell>
          <cell r="G1121">
            <v>28.861146245058464</v>
          </cell>
          <cell r="H1121">
            <v>28.861146245058464</v>
          </cell>
          <cell r="I1121" t="e">
            <v>#N/A</v>
          </cell>
          <cell r="J1121" t="e">
            <v>#N/A</v>
          </cell>
          <cell r="K1121">
            <v>42</v>
          </cell>
          <cell r="L1121">
            <v>32</v>
          </cell>
          <cell r="M1121" t="e">
            <v>#N/A</v>
          </cell>
          <cell r="N1121">
            <v>37</v>
          </cell>
          <cell r="O1121" t="e">
            <v>#N/A</v>
          </cell>
          <cell r="P1121" t="str">
            <v/>
          </cell>
          <cell r="Q1121" t="str">
            <v/>
          </cell>
          <cell r="R1121" t="e">
            <v>#N/A</v>
          </cell>
        </row>
        <row r="1122">
          <cell r="A1122" t="str">
            <v/>
          </cell>
          <cell r="B1122" t="str">
            <v/>
          </cell>
          <cell r="C1122" t="str">
            <v>Future</v>
          </cell>
          <cell r="D1122" t="e">
            <v>#N/A</v>
          </cell>
          <cell r="E1122">
            <v>-42.35849802371537</v>
          </cell>
          <cell r="F1122">
            <v>51.103952569170403</v>
          </cell>
          <cell r="G1122">
            <v>28.850988142291666</v>
          </cell>
          <cell r="H1122">
            <v>28.850988142291666</v>
          </cell>
          <cell r="I1122" t="e">
            <v>#N/A</v>
          </cell>
          <cell r="J1122" t="e">
            <v>#N/A</v>
          </cell>
          <cell r="K1122">
            <v>42</v>
          </cell>
          <cell r="L1122">
            <v>32</v>
          </cell>
          <cell r="M1122" t="e">
            <v>#N/A</v>
          </cell>
          <cell r="N1122">
            <v>37</v>
          </cell>
          <cell r="O1122" t="e">
            <v>#N/A</v>
          </cell>
          <cell r="P1122" t="str">
            <v/>
          </cell>
          <cell r="Q1122" t="str">
            <v/>
          </cell>
          <cell r="R1122" t="e">
            <v>#N/A</v>
          </cell>
        </row>
        <row r="1123">
          <cell r="A1123" t="str">
            <v/>
          </cell>
          <cell r="B1123" t="str">
            <v/>
          </cell>
          <cell r="C1123" t="str">
            <v>Future</v>
          </cell>
          <cell r="D1123" t="e">
            <v>#N/A</v>
          </cell>
          <cell r="E1123">
            <v>-42.495138339920906</v>
          </cell>
          <cell r="F1123">
            <v>51.13332015810321</v>
          </cell>
          <cell r="G1123">
            <v>28.840830039524867</v>
          </cell>
          <cell r="H1123">
            <v>28.840830039524867</v>
          </cell>
          <cell r="I1123" t="e">
            <v>#N/A</v>
          </cell>
          <cell r="J1123" t="e">
            <v>#N/A</v>
          </cell>
          <cell r="K1123">
            <v>42</v>
          </cell>
          <cell r="L1123">
            <v>32</v>
          </cell>
          <cell r="M1123" t="e">
            <v>#N/A</v>
          </cell>
          <cell r="N1123">
            <v>37</v>
          </cell>
          <cell r="O1123" t="e">
            <v>#N/A</v>
          </cell>
          <cell r="P1123" t="str">
            <v/>
          </cell>
          <cell r="Q1123" t="str">
            <v/>
          </cell>
          <cell r="R1123" t="e">
            <v>#N/A</v>
          </cell>
        </row>
        <row r="1124">
          <cell r="A1124" t="str">
            <v/>
          </cell>
          <cell r="B1124" t="str">
            <v/>
          </cell>
          <cell r="C1124" t="str">
            <v>Future</v>
          </cell>
          <cell r="D1124" t="e">
            <v>#N/A</v>
          </cell>
          <cell r="E1124">
            <v>-42.631778656126443</v>
          </cell>
          <cell r="F1124">
            <v>51.162687747036017</v>
          </cell>
          <cell r="G1124">
            <v>28.830671936758069</v>
          </cell>
          <cell r="H1124">
            <v>28.830671936758069</v>
          </cell>
          <cell r="I1124" t="e">
            <v>#N/A</v>
          </cell>
          <cell r="J1124" t="e">
            <v>#N/A</v>
          </cell>
          <cell r="K1124">
            <v>42</v>
          </cell>
          <cell r="L1124">
            <v>32</v>
          </cell>
          <cell r="M1124" t="e">
            <v>#N/A</v>
          </cell>
          <cell r="N1124">
            <v>37</v>
          </cell>
          <cell r="O1124" t="e">
            <v>#N/A</v>
          </cell>
          <cell r="P1124" t="str">
            <v/>
          </cell>
          <cell r="Q1124" t="str">
            <v/>
          </cell>
          <cell r="R1124" t="e">
            <v>#N/A</v>
          </cell>
        </row>
        <row r="1125">
          <cell r="A1125" t="str">
            <v/>
          </cell>
          <cell r="B1125" t="str">
            <v/>
          </cell>
          <cell r="C1125" t="str">
            <v>Future</v>
          </cell>
          <cell r="D1125" t="e">
            <v>#N/A</v>
          </cell>
          <cell r="E1125">
            <v>-42.768418972331979</v>
          </cell>
          <cell r="F1125">
            <v>51.192055335968824</v>
          </cell>
          <cell r="G1125">
            <v>28.820513833991271</v>
          </cell>
          <cell r="H1125">
            <v>28.820513833991271</v>
          </cell>
          <cell r="I1125" t="e">
            <v>#N/A</v>
          </cell>
          <cell r="J1125" t="e">
            <v>#N/A</v>
          </cell>
          <cell r="K1125">
            <v>42</v>
          </cell>
          <cell r="L1125">
            <v>32</v>
          </cell>
          <cell r="M1125" t="e">
            <v>#N/A</v>
          </cell>
          <cell r="N1125">
            <v>37</v>
          </cell>
          <cell r="O1125" t="e">
            <v>#N/A</v>
          </cell>
          <cell r="P1125" t="str">
            <v/>
          </cell>
          <cell r="Q1125" t="str">
            <v/>
          </cell>
          <cell r="R1125" t="e">
            <v>#N/A</v>
          </cell>
        </row>
        <row r="1126">
          <cell r="A1126" t="str">
            <v/>
          </cell>
          <cell r="B1126" t="str">
            <v/>
          </cell>
          <cell r="C1126" t="str">
            <v>Future</v>
          </cell>
          <cell r="D1126" t="e">
            <v>#N/A</v>
          </cell>
          <cell r="E1126">
            <v>-42.905059288537515</v>
          </cell>
          <cell r="F1126">
            <v>51.221422924901631</v>
          </cell>
          <cell r="G1126">
            <v>28.810355731224472</v>
          </cell>
          <cell r="H1126">
            <v>28.810355731224472</v>
          </cell>
          <cell r="I1126" t="e">
            <v>#N/A</v>
          </cell>
          <cell r="J1126" t="e">
            <v>#N/A</v>
          </cell>
          <cell r="K1126">
            <v>42</v>
          </cell>
          <cell r="L1126">
            <v>32</v>
          </cell>
          <cell r="M1126" t="e">
            <v>#N/A</v>
          </cell>
          <cell r="N1126">
            <v>37</v>
          </cell>
          <cell r="O1126" t="e">
            <v>#N/A</v>
          </cell>
          <cell r="P1126" t="str">
            <v/>
          </cell>
          <cell r="Q1126" t="str">
            <v/>
          </cell>
          <cell r="R1126" t="e">
            <v>#N/A</v>
          </cell>
        </row>
        <row r="1127">
          <cell r="A1127" t="str">
            <v/>
          </cell>
          <cell r="B1127" t="str">
            <v/>
          </cell>
          <cell r="C1127" t="str">
            <v>Future</v>
          </cell>
          <cell r="D1127" t="e">
            <v>#N/A</v>
          </cell>
          <cell r="E1127">
            <v>-43.041699604743052</v>
          </cell>
          <cell r="F1127">
            <v>51.250790513834438</v>
          </cell>
          <cell r="G1127">
            <v>28.800197628457674</v>
          </cell>
          <cell r="H1127">
            <v>28.800197628457674</v>
          </cell>
          <cell r="I1127" t="e">
            <v>#N/A</v>
          </cell>
          <cell r="J1127" t="e">
            <v>#N/A</v>
          </cell>
          <cell r="K1127">
            <v>42</v>
          </cell>
          <cell r="L1127">
            <v>32</v>
          </cell>
          <cell r="M1127" t="e">
            <v>#N/A</v>
          </cell>
          <cell r="N1127">
            <v>37</v>
          </cell>
          <cell r="O1127" t="e">
            <v>#N/A</v>
          </cell>
          <cell r="P1127" t="str">
            <v/>
          </cell>
          <cell r="Q1127" t="str">
            <v/>
          </cell>
          <cell r="R1127" t="e">
            <v>#N/A</v>
          </cell>
        </row>
        <row r="1128">
          <cell r="A1128" t="str">
            <v/>
          </cell>
          <cell r="B1128" t="str">
            <v/>
          </cell>
          <cell r="C1128" t="str">
            <v>Future</v>
          </cell>
          <cell r="D1128" t="e">
            <v>#N/A</v>
          </cell>
          <cell r="E1128">
            <v>-43.178339920948588</v>
          </cell>
          <cell r="F1128">
            <v>51.280158102767246</v>
          </cell>
          <cell r="G1128">
            <v>28.790039525690876</v>
          </cell>
          <cell r="H1128">
            <v>28.790039525690876</v>
          </cell>
          <cell r="I1128" t="e">
            <v>#N/A</v>
          </cell>
          <cell r="J1128" t="e">
            <v>#N/A</v>
          </cell>
          <cell r="K1128">
            <v>42</v>
          </cell>
          <cell r="L1128">
            <v>32</v>
          </cell>
          <cell r="M1128" t="e">
            <v>#N/A</v>
          </cell>
          <cell r="N1128">
            <v>37</v>
          </cell>
          <cell r="O1128" t="e">
            <v>#N/A</v>
          </cell>
          <cell r="P1128" t="str">
            <v/>
          </cell>
          <cell r="Q1128" t="str">
            <v/>
          </cell>
          <cell r="R1128" t="e">
            <v>#N/A</v>
          </cell>
        </row>
        <row r="1129">
          <cell r="A1129" t="str">
            <v/>
          </cell>
          <cell r="B1129" t="str">
            <v/>
          </cell>
          <cell r="C1129" t="str">
            <v>Future</v>
          </cell>
          <cell r="D1129" t="e">
            <v>#N/A</v>
          </cell>
          <cell r="E1129">
            <v>-43.314980237154124</v>
          </cell>
          <cell r="F1129">
            <v>51.309525691700053</v>
          </cell>
          <cell r="G1129">
            <v>28.779881422924078</v>
          </cell>
          <cell r="H1129">
            <v>28.779881422924078</v>
          </cell>
          <cell r="I1129" t="e">
            <v>#N/A</v>
          </cell>
          <cell r="J1129" t="e">
            <v>#N/A</v>
          </cell>
          <cell r="K1129">
            <v>42</v>
          </cell>
          <cell r="L1129">
            <v>32</v>
          </cell>
          <cell r="M1129" t="e">
            <v>#N/A</v>
          </cell>
          <cell r="N1129">
            <v>37</v>
          </cell>
          <cell r="O1129" t="e">
            <v>#N/A</v>
          </cell>
          <cell r="P1129" t="str">
            <v/>
          </cell>
          <cell r="Q1129" t="str">
            <v/>
          </cell>
          <cell r="R1129" t="e">
            <v>#N/A</v>
          </cell>
        </row>
        <row r="1130">
          <cell r="A1130" t="str">
            <v/>
          </cell>
          <cell r="B1130" t="str">
            <v/>
          </cell>
          <cell r="C1130" t="str">
            <v>Future</v>
          </cell>
          <cell r="D1130" t="e">
            <v>#N/A</v>
          </cell>
          <cell r="E1130">
            <v>-43.45162055335966</v>
          </cell>
          <cell r="F1130">
            <v>51.33889328063286</v>
          </cell>
          <cell r="G1130">
            <v>28.769723320157279</v>
          </cell>
          <cell r="H1130">
            <v>28.769723320157279</v>
          </cell>
          <cell r="I1130" t="e">
            <v>#N/A</v>
          </cell>
          <cell r="J1130" t="e">
            <v>#N/A</v>
          </cell>
          <cell r="K1130">
            <v>42</v>
          </cell>
          <cell r="L1130">
            <v>32</v>
          </cell>
          <cell r="M1130" t="e">
            <v>#N/A</v>
          </cell>
          <cell r="N1130">
            <v>37</v>
          </cell>
          <cell r="O1130" t="e">
            <v>#N/A</v>
          </cell>
          <cell r="P1130" t="str">
            <v/>
          </cell>
          <cell r="Q1130" t="str">
            <v/>
          </cell>
          <cell r="R1130" t="e">
            <v>#N/A</v>
          </cell>
        </row>
        <row r="1131">
          <cell r="A1131" t="str">
            <v/>
          </cell>
          <cell r="B1131" t="str">
            <v/>
          </cell>
          <cell r="C1131" t="str">
            <v>Future</v>
          </cell>
          <cell r="D1131" t="e">
            <v>#N/A</v>
          </cell>
          <cell r="E1131">
            <v>-43.588260869565197</v>
          </cell>
          <cell r="F1131">
            <v>51.368260869565667</v>
          </cell>
          <cell r="G1131">
            <v>28.759565217390481</v>
          </cell>
          <cell r="H1131">
            <v>28.759565217390481</v>
          </cell>
          <cell r="I1131" t="e">
            <v>#N/A</v>
          </cell>
          <cell r="J1131" t="e">
            <v>#N/A</v>
          </cell>
          <cell r="K1131">
            <v>42</v>
          </cell>
          <cell r="L1131">
            <v>32</v>
          </cell>
          <cell r="M1131" t="e">
            <v>#N/A</v>
          </cell>
          <cell r="N1131">
            <v>37</v>
          </cell>
          <cell r="O1131" t="e">
            <v>#N/A</v>
          </cell>
          <cell r="P1131" t="str">
            <v/>
          </cell>
          <cell r="Q1131" t="str">
            <v/>
          </cell>
          <cell r="R1131" t="e">
            <v>#N/A</v>
          </cell>
        </row>
        <row r="1132">
          <cell r="A1132" t="str">
            <v/>
          </cell>
          <cell r="B1132" t="str">
            <v/>
          </cell>
          <cell r="C1132" t="str">
            <v>Future</v>
          </cell>
          <cell r="D1132" t="e">
            <v>#N/A</v>
          </cell>
          <cell r="E1132">
            <v>-43.724901185770733</v>
          </cell>
          <cell r="F1132">
            <v>51.397628458498474</v>
          </cell>
          <cell r="G1132">
            <v>28.749407114623683</v>
          </cell>
          <cell r="H1132">
            <v>28.749407114623683</v>
          </cell>
          <cell r="I1132" t="e">
            <v>#N/A</v>
          </cell>
          <cell r="J1132" t="e">
            <v>#N/A</v>
          </cell>
          <cell r="K1132">
            <v>42</v>
          </cell>
          <cell r="L1132">
            <v>32</v>
          </cell>
          <cell r="M1132" t="e">
            <v>#N/A</v>
          </cell>
          <cell r="N1132">
            <v>37</v>
          </cell>
          <cell r="O1132" t="e">
            <v>#N/A</v>
          </cell>
          <cell r="P1132" t="str">
            <v/>
          </cell>
          <cell r="Q1132" t="str">
            <v/>
          </cell>
          <cell r="R1132" t="e">
            <v>#N/A</v>
          </cell>
        </row>
        <row r="1133">
          <cell r="A1133" t="str">
            <v/>
          </cell>
          <cell r="B1133" t="str">
            <v/>
          </cell>
          <cell r="C1133" t="str">
            <v>Future</v>
          </cell>
          <cell r="D1133" t="e">
            <v>#N/A</v>
          </cell>
          <cell r="E1133">
            <v>-43.861541501976269</v>
          </cell>
          <cell r="F1133">
            <v>51.426996047431281</v>
          </cell>
          <cell r="G1133">
            <v>28.739249011856884</v>
          </cell>
          <cell r="H1133">
            <v>28.739249011856884</v>
          </cell>
          <cell r="I1133" t="e">
            <v>#N/A</v>
          </cell>
          <cell r="J1133" t="e">
            <v>#N/A</v>
          </cell>
          <cell r="K1133">
            <v>42</v>
          </cell>
          <cell r="L1133">
            <v>32</v>
          </cell>
          <cell r="M1133" t="e">
            <v>#N/A</v>
          </cell>
          <cell r="N1133">
            <v>37</v>
          </cell>
          <cell r="O1133" t="e">
            <v>#N/A</v>
          </cell>
          <cell r="P1133" t="str">
            <v/>
          </cell>
          <cell r="Q1133" t="str">
            <v/>
          </cell>
          <cell r="R1133" t="e">
            <v>#N/A</v>
          </cell>
        </row>
        <row r="1134">
          <cell r="A1134" t="str">
            <v/>
          </cell>
          <cell r="B1134" t="str">
            <v/>
          </cell>
          <cell r="C1134" t="str">
            <v>Future</v>
          </cell>
          <cell r="D1134" t="e">
            <v>#N/A</v>
          </cell>
          <cell r="E1134">
            <v>-43.998181818181806</v>
          </cell>
          <cell r="F1134">
            <v>51.456363636364088</v>
          </cell>
          <cell r="G1134">
            <v>28.729090909090086</v>
          </cell>
          <cell r="H1134">
            <v>28.729090909090086</v>
          </cell>
          <cell r="I1134" t="e">
            <v>#N/A</v>
          </cell>
          <cell r="J1134" t="e">
            <v>#N/A</v>
          </cell>
          <cell r="K1134">
            <v>42</v>
          </cell>
          <cell r="L1134">
            <v>32</v>
          </cell>
          <cell r="M1134" t="e">
            <v>#N/A</v>
          </cell>
          <cell r="N1134">
            <v>37</v>
          </cell>
          <cell r="O1134" t="e">
            <v>#N/A</v>
          </cell>
          <cell r="P1134" t="str">
            <v/>
          </cell>
          <cell r="Q1134" t="str">
            <v/>
          </cell>
          <cell r="R1134" t="e">
            <v>#N/A</v>
          </cell>
        </row>
        <row r="1135">
          <cell r="A1135" t="str">
            <v/>
          </cell>
          <cell r="B1135" t="str">
            <v/>
          </cell>
          <cell r="C1135" t="str">
            <v>Future</v>
          </cell>
          <cell r="D1135" t="e">
            <v>#N/A</v>
          </cell>
          <cell r="E1135">
            <v>-44.134822134387342</v>
          </cell>
          <cell r="F1135">
            <v>51.485731225296895</v>
          </cell>
          <cell r="G1135">
            <v>28.718932806323288</v>
          </cell>
          <cell r="H1135">
            <v>28.718932806323288</v>
          </cell>
          <cell r="I1135" t="e">
            <v>#N/A</v>
          </cell>
          <cell r="J1135" t="e">
            <v>#N/A</v>
          </cell>
          <cell r="K1135">
            <v>42</v>
          </cell>
          <cell r="L1135">
            <v>32</v>
          </cell>
          <cell r="M1135" t="e">
            <v>#N/A</v>
          </cell>
          <cell r="N1135">
            <v>37</v>
          </cell>
          <cell r="O1135" t="e">
            <v>#N/A</v>
          </cell>
          <cell r="P1135" t="str">
            <v/>
          </cell>
          <cell r="Q1135" t="str">
            <v/>
          </cell>
          <cell r="R1135" t="e">
            <v>#N/A</v>
          </cell>
        </row>
        <row r="1136">
          <cell r="A1136" t="str">
            <v/>
          </cell>
          <cell r="B1136" t="str">
            <v/>
          </cell>
          <cell r="C1136" t="str">
            <v>Future</v>
          </cell>
          <cell r="D1136" t="e">
            <v>#N/A</v>
          </cell>
          <cell r="E1136">
            <v>-44.271462450592878</v>
          </cell>
          <cell r="F1136">
            <v>51.515098814229702</v>
          </cell>
          <cell r="G1136">
            <v>28.70877470355649</v>
          </cell>
          <cell r="H1136">
            <v>28.70877470355649</v>
          </cell>
          <cell r="I1136" t="e">
            <v>#N/A</v>
          </cell>
          <cell r="J1136" t="e">
            <v>#N/A</v>
          </cell>
          <cell r="K1136">
            <v>42</v>
          </cell>
          <cell r="L1136">
            <v>32</v>
          </cell>
          <cell r="M1136" t="e">
            <v>#N/A</v>
          </cell>
          <cell r="N1136">
            <v>37</v>
          </cell>
          <cell r="O1136" t="e">
            <v>#N/A</v>
          </cell>
          <cell r="P1136" t="str">
            <v/>
          </cell>
          <cell r="Q1136" t="str">
            <v/>
          </cell>
          <cell r="R1136" t="e">
            <v>#N/A</v>
          </cell>
        </row>
        <row r="1137">
          <cell r="A1137" t="str">
            <v/>
          </cell>
          <cell r="B1137" t="str">
            <v/>
          </cell>
          <cell r="C1137" t="str">
            <v>Future</v>
          </cell>
          <cell r="D1137" t="e">
            <v>#N/A</v>
          </cell>
          <cell r="E1137">
            <v>-44.408102766798415</v>
          </cell>
          <cell r="F1137">
            <v>51.544466403162509</v>
          </cell>
          <cell r="G1137">
            <v>28.698616600789691</v>
          </cell>
          <cell r="H1137">
            <v>28.698616600789691</v>
          </cell>
          <cell r="I1137" t="e">
            <v>#N/A</v>
          </cell>
          <cell r="J1137" t="e">
            <v>#N/A</v>
          </cell>
          <cell r="K1137">
            <v>42</v>
          </cell>
          <cell r="L1137">
            <v>32</v>
          </cell>
          <cell r="M1137" t="e">
            <v>#N/A</v>
          </cell>
          <cell r="N1137">
            <v>37</v>
          </cell>
          <cell r="O1137" t="e">
            <v>#N/A</v>
          </cell>
          <cell r="P1137" t="str">
            <v/>
          </cell>
          <cell r="Q1137" t="str">
            <v/>
          </cell>
          <cell r="R1137" t="e">
            <v>#N/A</v>
          </cell>
        </row>
        <row r="1138">
          <cell r="A1138" t="str">
            <v/>
          </cell>
          <cell r="B1138" t="str">
            <v/>
          </cell>
          <cell r="C1138" t="str">
            <v>Future</v>
          </cell>
          <cell r="D1138" t="e">
            <v>#N/A</v>
          </cell>
          <cell r="E1138">
            <v>-44.544743083003951</v>
          </cell>
          <cell r="F1138">
            <v>51.573833992095317</v>
          </cell>
          <cell r="G1138">
            <v>28.688458498022893</v>
          </cell>
          <cell r="H1138">
            <v>28.688458498022893</v>
          </cell>
          <cell r="I1138" t="e">
            <v>#N/A</v>
          </cell>
          <cell r="J1138" t="e">
            <v>#N/A</v>
          </cell>
          <cell r="K1138">
            <v>42</v>
          </cell>
          <cell r="L1138">
            <v>32</v>
          </cell>
          <cell r="M1138" t="e">
            <v>#N/A</v>
          </cell>
          <cell r="N1138">
            <v>37</v>
          </cell>
          <cell r="O1138" t="e">
            <v>#N/A</v>
          </cell>
          <cell r="P1138" t="str">
            <v/>
          </cell>
          <cell r="Q1138" t="str">
            <v/>
          </cell>
          <cell r="R1138" t="e">
            <v>#N/A</v>
          </cell>
        </row>
        <row r="1139">
          <cell r="A1139" t="str">
            <v/>
          </cell>
          <cell r="B1139" t="str">
            <v/>
          </cell>
          <cell r="C1139" t="str">
            <v>Future</v>
          </cell>
          <cell r="D1139" t="e">
            <v>#N/A</v>
          </cell>
          <cell r="E1139">
            <v>-44.681383399209487</v>
          </cell>
          <cell r="F1139">
            <v>51.603201581028124</v>
          </cell>
          <cell r="G1139">
            <v>28.678300395256095</v>
          </cell>
          <cell r="H1139">
            <v>28.678300395256095</v>
          </cell>
          <cell r="I1139" t="e">
            <v>#N/A</v>
          </cell>
          <cell r="J1139" t="e">
            <v>#N/A</v>
          </cell>
          <cell r="K1139">
            <v>42</v>
          </cell>
          <cell r="L1139">
            <v>32</v>
          </cell>
          <cell r="M1139" t="e">
            <v>#N/A</v>
          </cell>
          <cell r="N1139">
            <v>37</v>
          </cell>
          <cell r="O1139" t="e">
            <v>#N/A</v>
          </cell>
          <cell r="P1139" t="str">
            <v/>
          </cell>
          <cell r="Q1139" t="str">
            <v/>
          </cell>
          <cell r="R1139" t="e">
            <v>#N/A</v>
          </cell>
        </row>
        <row r="1140">
          <cell r="A1140" t="str">
            <v/>
          </cell>
          <cell r="B1140" t="str">
            <v/>
          </cell>
          <cell r="C1140" t="str">
            <v>Future</v>
          </cell>
          <cell r="D1140" t="e">
            <v>#N/A</v>
          </cell>
          <cell r="E1140">
            <v>-44.818023715415023</v>
          </cell>
          <cell r="F1140">
            <v>51.632569169960931</v>
          </cell>
          <cell r="G1140">
            <v>28.668142292489296</v>
          </cell>
          <cell r="H1140">
            <v>28.668142292489296</v>
          </cell>
          <cell r="I1140" t="e">
            <v>#N/A</v>
          </cell>
          <cell r="J1140" t="e">
            <v>#N/A</v>
          </cell>
          <cell r="K1140">
            <v>42</v>
          </cell>
          <cell r="L1140">
            <v>32</v>
          </cell>
          <cell r="M1140" t="e">
            <v>#N/A</v>
          </cell>
          <cell r="N1140">
            <v>37</v>
          </cell>
          <cell r="O1140" t="e">
            <v>#N/A</v>
          </cell>
          <cell r="P1140" t="str">
            <v/>
          </cell>
          <cell r="Q1140" t="str">
            <v/>
          </cell>
          <cell r="R1140" t="e">
            <v>#N/A</v>
          </cell>
        </row>
        <row r="1141">
          <cell r="A1141" t="str">
            <v/>
          </cell>
          <cell r="B1141" t="str">
            <v/>
          </cell>
          <cell r="C1141" t="str">
            <v>Future</v>
          </cell>
          <cell r="D1141" t="e">
            <v>#N/A</v>
          </cell>
          <cell r="E1141">
            <v>-44.95466403162056</v>
          </cell>
          <cell r="F1141">
            <v>51.661936758893738</v>
          </cell>
          <cell r="G1141">
            <v>28.657984189722498</v>
          </cell>
          <cell r="H1141">
            <v>28.657984189722498</v>
          </cell>
          <cell r="I1141" t="e">
            <v>#N/A</v>
          </cell>
          <cell r="J1141" t="e">
            <v>#N/A</v>
          </cell>
          <cell r="K1141">
            <v>42</v>
          </cell>
          <cell r="L1141">
            <v>32</v>
          </cell>
          <cell r="M1141" t="e">
            <v>#N/A</v>
          </cell>
          <cell r="N1141">
            <v>37</v>
          </cell>
          <cell r="O1141" t="e">
            <v>#N/A</v>
          </cell>
          <cell r="P1141" t="str">
            <v/>
          </cell>
          <cell r="Q1141" t="str">
            <v/>
          </cell>
          <cell r="R1141" t="e">
            <v>#N/A</v>
          </cell>
        </row>
        <row r="1142">
          <cell r="A1142" t="str">
            <v/>
          </cell>
          <cell r="B1142" t="str">
            <v/>
          </cell>
          <cell r="C1142" t="str">
            <v>Future</v>
          </cell>
          <cell r="D1142" t="e">
            <v>#N/A</v>
          </cell>
          <cell r="E1142">
            <v>-45.091304347826096</v>
          </cell>
          <cell r="F1142">
            <v>51.691304347826545</v>
          </cell>
          <cell r="G1142">
            <v>28.6478260869557</v>
          </cell>
          <cell r="H1142">
            <v>28.6478260869557</v>
          </cell>
          <cell r="I1142" t="e">
            <v>#N/A</v>
          </cell>
          <cell r="J1142" t="e">
            <v>#N/A</v>
          </cell>
          <cell r="K1142">
            <v>42</v>
          </cell>
          <cell r="L1142">
            <v>32</v>
          </cell>
          <cell r="M1142" t="e">
            <v>#N/A</v>
          </cell>
          <cell r="N1142">
            <v>37</v>
          </cell>
          <cell r="O1142" t="e">
            <v>#N/A</v>
          </cell>
          <cell r="P1142" t="str">
            <v/>
          </cell>
          <cell r="Q1142" t="str">
            <v/>
          </cell>
          <cell r="R1142" t="e">
            <v>#N/A</v>
          </cell>
        </row>
        <row r="1143">
          <cell r="A1143" t="str">
            <v/>
          </cell>
          <cell r="B1143" t="str">
            <v/>
          </cell>
          <cell r="C1143" t="str">
            <v>Future</v>
          </cell>
          <cell r="D1143" t="e">
            <v>#N/A</v>
          </cell>
          <cell r="E1143">
            <v>-45.227944664031632</v>
          </cell>
          <cell r="F1143">
            <v>51.720671936759352</v>
          </cell>
          <cell r="G1143">
            <v>28.637667984188901</v>
          </cell>
          <cell r="H1143">
            <v>28.637667984188901</v>
          </cell>
          <cell r="I1143" t="e">
            <v>#N/A</v>
          </cell>
          <cell r="J1143" t="e">
            <v>#N/A</v>
          </cell>
          <cell r="K1143">
            <v>42</v>
          </cell>
          <cell r="L1143">
            <v>32</v>
          </cell>
          <cell r="M1143" t="e">
            <v>#N/A</v>
          </cell>
          <cell r="N1143">
            <v>37</v>
          </cell>
          <cell r="O1143" t="e">
            <v>#N/A</v>
          </cell>
          <cell r="P1143" t="str">
            <v/>
          </cell>
          <cell r="Q1143" t="str">
            <v/>
          </cell>
          <cell r="R1143" t="e">
            <v>#N/A</v>
          </cell>
        </row>
        <row r="1144">
          <cell r="A1144" t="str">
            <v/>
          </cell>
          <cell r="B1144" t="str">
            <v/>
          </cell>
          <cell r="C1144" t="str">
            <v>Future</v>
          </cell>
          <cell r="D1144" t="e">
            <v>#N/A</v>
          </cell>
          <cell r="E1144">
            <v>-45.364584980237169</v>
          </cell>
          <cell r="F1144">
            <v>51.750039525692159</v>
          </cell>
          <cell r="G1144">
            <v>28.627509881422103</v>
          </cell>
          <cell r="H1144">
            <v>28.627509881422103</v>
          </cell>
          <cell r="I1144" t="e">
            <v>#N/A</v>
          </cell>
          <cell r="J1144" t="e">
            <v>#N/A</v>
          </cell>
          <cell r="K1144">
            <v>42</v>
          </cell>
          <cell r="L1144">
            <v>32</v>
          </cell>
          <cell r="M1144" t="e">
            <v>#N/A</v>
          </cell>
          <cell r="N1144">
            <v>37</v>
          </cell>
          <cell r="O1144" t="e">
            <v>#N/A</v>
          </cell>
          <cell r="P1144" t="str">
            <v/>
          </cell>
          <cell r="Q1144" t="str">
            <v/>
          </cell>
          <cell r="R1144" t="e">
            <v>#N/A</v>
          </cell>
        </row>
        <row r="1145">
          <cell r="A1145" t="str">
            <v/>
          </cell>
          <cell r="B1145" t="str">
            <v/>
          </cell>
          <cell r="C1145" t="str">
            <v>Future</v>
          </cell>
          <cell r="D1145" t="e">
            <v>#N/A</v>
          </cell>
          <cell r="E1145">
            <v>-45.501225296442705</v>
          </cell>
          <cell r="F1145">
            <v>51.779407114624966</v>
          </cell>
          <cell r="G1145">
            <v>28.617351778655305</v>
          </cell>
          <cell r="H1145">
            <v>28.617351778655305</v>
          </cell>
          <cell r="I1145" t="e">
            <v>#N/A</v>
          </cell>
          <cell r="J1145" t="e">
            <v>#N/A</v>
          </cell>
          <cell r="K1145">
            <v>42</v>
          </cell>
          <cell r="L1145">
            <v>32</v>
          </cell>
          <cell r="M1145" t="e">
            <v>#N/A</v>
          </cell>
          <cell r="N1145">
            <v>37</v>
          </cell>
          <cell r="O1145" t="e">
            <v>#N/A</v>
          </cell>
          <cell r="P1145" t="str">
            <v/>
          </cell>
          <cell r="Q1145" t="str">
            <v/>
          </cell>
          <cell r="R1145" t="e">
            <v>#N/A</v>
          </cell>
        </row>
        <row r="1146">
          <cell r="A1146" t="str">
            <v/>
          </cell>
          <cell r="B1146" t="str">
            <v/>
          </cell>
          <cell r="C1146" t="str">
            <v>Future</v>
          </cell>
          <cell r="D1146" t="e">
            <v>#N/A</v>
          </cell>
          <cell r="E1146">
            <v>-45.637865612648241</v>
          </cell>
          <cell r="F1146">
            <v>51.808774703557773</v>
          </cell>
          <cell r="G1146">
            <v>28.607193675888507</v>
          </cell>
          <cell r="H1146">
            <v>28.607193675888507</v>
          </cell>
          <cell r="I1146" t="e">
            <v>#N/A</v>
          </cell>
          <cell r="J1146" t="e">
            <v>#N/A</v>
          </cell>
          <cell r="K1146">
            <v>42</v>
          </cell>
          <cell r="L1146">
            <v>32</v>
          </cell>
          <cell r="M1146" t="e">
            <v>#N/A</v>
          </cell>
          <cell r="N1146">
            <v>37</v>
          </cell>
          <cell r="O1146" t="e">
            <v>#N/A</v>
          </cell>
          <cell r="P1146" t="str">
            <v/>
          </cell>
          <cell r="Q1146" t="str">
            <v/>
          </cell>
          <cell r="R1146" t="e">
            <v>#N/A</v>
          </cell>
        </row>
        <row r="1147">
          <cell r="A1147" t="str">
            <v/>
          </cell>
          <cell r="B1147" t="str">
            <v/>
          </cell>
          <cell r="C1147" t="str">
            <v>Future</v>
          </cell>
          <cell r="D1147" t="e">
            <v>#N/A</v>
          </cell>
          <cell r="E1147">
            <v>-45.774505928853777</v>
          </cell>
          <cell r="F1147">
            <v>51.838142292490581</v>
          </cell>
          <cell r="G1147">
            <v>28.597035573121708</v>
          </cell>
          <cell r="H1147">
            <v>28.597035573121708</v>
          </cell>
          <cell r="I1147" t="e">
            <v>#N/A</v>
          </cell>
          <cell r="J1147" t="e">
            <v>#N/A</v>
          </cell>
          <cell r="K1147">
            <v>42</v>
          </cell>
          <cell r="L1147">
            <v>32</v>
          </cell>
          <cell r="M1147" t="e">
            <v>#N/A</v>
          </cell>
          <cell r="N1147">
            <v>37</v>
          </cell>
          <cell r="O1147" t="e">
            <v>#N/A</v>
          </cell>
          <cell r="P1147" t="str">
            <v/>
          </cell>
          <cell r="Q1147" t="str">
            <v/>
          </cell>
          <cell r="R1147" t="e">
            <v>#N/A</v>
          </cell>
        </row>
        <row r="1148">
          <cell r="A1148" t="str">
            <v/>
          </cell>
          <cell r="B1148" t="str">
            <v/>
          </cell>
          <cell r="C1148" t="str">
            <v>Future</v>
          </cell>
          <cell r="D1148" t="e">
            <v>#N/A</v>
          </cell>
          <cell r="E1148">
            <v>-45.911146245059314</v>
          </cell>
          <cell r="F1148">
            <v>51.867509881423388</v>
          </cell>
          <cell r="G1148">
            <v>28.58687747035491</v>
          </cell>
          <cell r="H1148">
            <v>28.58687747035491</v>
          </cell>
          <cell r="I1148" t="e">
            <v>#N/A</v>
          </cell>
          <cell r="J1148" t="e">
            <v>#N/A</v>
          </cell>
          <cell r="K1148">
            <v>42</v>
          </cell>
          <cell r="L1148">
            <v>32</v>
          </cell>
          <cell r="M1148" t="e">
            <v>#N/A</v>
          </cell>
          <cell r="N1148">
            <v>37</v>
          </cell>
          <cell r="O1148" t="e">
            <v>#N/A</v>
          </cell>
          <cell r="P1148" t="str">
            <v/>
          </cell>
          <cell r="Q1148" t="str">
            <v/>
          </cell>
          <cell r="R1148" t="e">
            <v>#N/A</v>
          </cell>
        </row>
        <row r="1149">
          <cell r="A1149" t="str">
            <v/>
          </cell>
          <cell r="B1149" t="str">
            <v/>
          </cell>
          <cell r="C1149" t="str">
            <v>Future</v>
          </cell>
          <cell r="D1149" t="e">
            <v>#N/A</v>
          </cell>
          <cell r="E1149">
            <v>-46.04778656126485</v>
          </cell>
          <cell r="F1149">
            <v>51.896877470356195</v>
          </cell>
          <cell r="G1149">
            <v>28.576719367588112</v>
          </cell>
          <cell r="H1149">
            <v>28.576719367588112</v>
          </cell>
          <cell r="I1149" t="e">
            <v>#N/A</v>
          </cell>
          <cell r="J1149" t="e">
            <v>#N/A</v>
          </cell>
          <cell r="K1149">
            <v>42</v>
          </cell>
          <cell r="L1149">
            <v>32</v>
          </cell>
          <cell r="M1149" t="e">
            <v>#N/A</v>
          </cell>
          <cell r="N1149">
            <v>37</v>
          </cell>
          <cell r="O1149" t="e">
            <v>#N/A</v>
          </cell>
          <cell r="P1149" t="str">
            <v/>
          </cell>
          <cell r="Q1149" t="str">
            <v/>
          </cell>
          <cell r="R1149" t="e">
            <v>#N/A</v>
          </cell>
        </row>
        <row r="1150">
          <cell r="A1150" t="str">
            <v/>
          </cell>
          <cell r="B1150" t="str">
            <v/>
          </cell>
          <cell r="C1150" t="str">
            <v>Future</v>
          </cell>
          <cell r="D1150" t="e">
            <v>#N/A</v>
          </cell>
          <cell r="E1150">
            <v>-46.184426877470386</v>
          </cell>
          <cell r="F1150">
            <v>51.926245059289002</v>
          </cell>
          <cell r="G1150">
            <v>28.566561264821313</v>
          </cell>
          <cell r="H1150">
            <v>28.566561264821313</v>
          </cell>
          <cell r="I1150" t="e">
            <v>#N/A</v>
          </cell>
          <cell r="J1150" t="e">
            <v>#N/A</v>
          </cell>
          <cell r="K1150">
            <v>42</v>
          </cell>
          <cell r="L1150">
            <v>32</v>
          </cell>
          <cell r="M1150" t="e">
            <v>#N/A</v>
          </cell>
          <cell r="N1150">
            <v>37</v>
          </cell>
          <cell r="O1150" t="e">
            <v>#N/A</v>
          </cell>
          <cell r="P1150" t="str">
            <v/>
          </cell>
          <cell r="Q1150" t="str">
            <v/>
          </cell>
          <cell r="R1150" t="e">
            <v>#N/A</v>
          </cell>
        </row>
        <row r="1151">
          <cell r="A1151" t="str">
            <v/>
          </cell>
          <cell r="B1151" t="str">
            <v/>
          </cell>
          <cell r="C1151" t="str">
            <v>Future</v>
          </cell>
          <cell r="D1151" t="e">
            <v>#N/A</v>
          </cell>
          <cell r="E1151">
            <v>-46.321067193675923</v>
          </cell>
          <cell r="F1151">
            <v>51.955612648221809</v>
          </cell>
          <cell r="G1151">
            <v>28.556403162054515</v>
          </cell>
          <cell r="H1151">
            <v>28.556403162054515</v>
          </cell>
          <cell r="I1151" t="e">
            <v>#N/A</v>
          </cell>
          <cell r="J1151" t="e">
            <v>#N/A</v>
          </cell>
          <cell r="K1151">
            <v>42</v>
          </cell>
          <cell r="L1151">
            <v>32</v>
          </cell>
          <cell r="M1151" t="e">
            <v>#N/A</v>
          </cell>
          <cell r="N1151">
            <v>37</v>
          </cell>
          <cell r="O1151" t="e">
            <v>#N/A</v>
          </cell>
          <cell r="P1151" t="str">
            <v/>
          </cell>
          <cell r="Q1151" t="str">
            <v/>
          </cell>
          <cell r="R1151" t="e">
            <v>#N/A</v>
          </cell>
        </row>
        <row r="1152">
          <cell r="A1152" t="str">
            <v/>
          </cell>
          <cell r="B1152" t="str">
            <v/>
          </cell>
          <cell r="C1152" t="str">
            <v>Future</v>
          </cell>
          <cell r="D1152" t="e">
            <v>#N/A</v>
          </cell>
          <cell r="E1152">
            <v>-46.457707509881459</v>
          </cell>
          <cell r="F1152">
            <v>51.984980237154616</v>
          </cell>
          <cell r="G1152">
            <v>28.546245059287717</v>
          </cell>
          <cell r="H1152">
            <v>28.546245059287717</v>
          </cell>
          <cell r="I1152" t="e">
            <v>#N/A</v>
          </cell>
          <cell r="J1152" t="e">
            <v>#N/A</v>
          </cell>
          <cell r="K1152">
            <v>42</v>
          </cell>
          <cell r="L1152">
            <v>32</v>
          </cell>
          <cell r="M1152" t="e">
            <v>#N/A</v>
          </cell>
          <cell r="N1152">
            <v>37</v>
          </cell>
          <cell r="O1152" t="e">
            <v>#N/A</v>
          </cell>
          <cell r="P1152" t="str">
            <v/>
          </cell>
          <cell r="Q1152" t="str">
            <v/>
          </cell>
          <cell r="R1152" t="e">
            <v>#N/A</v>
          </cell>
        </row>
        <row r="1153">
          <cell r="A1153" t="str">
            <v/>
          </cell>
          <cell r="B1153" t="str">
            <v/>
          </cell>
          <cell r="C1153" t="str">
            <v>Future</v>
          </cell>
          <cell r="D1153" t="e">
            <v>#N/A</v>
          </cell>
          <cell r="E1153">
            <v>-46.594347826086995</v>
          </cell>
          <cell r="F1153">
            <v>52.014347826087423</v>
          </cell>
          <cell r="G1153">
            <v>28.536086956520919</v>
          </cell>
          <cell r="H1153">
            <v>28.536086956520919</v>
          </cell>
          <cell r="I1153" t="e">
            <v>#N/A</v>
          </cell>
          <cell r="J1153" t="e">
            <v>#N/A</v>
          </cell>
          <cell r="K1153">
            <v>42</v>
          </cell>
          <cell r="L1153">
            <v>32</v>
          </cell>
          <cell r="M1153" t="e">
            <v>#N/A</v>
          </cell>
          <cell r="N1153">
            <v>37</v>
          </cell>
          <cell r="O1153" t="e">
            <v>#N/A</v>
          </cell>
          <cell r="P1153" t="str">
            <v/>
          </cell>
          <cell r="Q1153" t="str">
            <v/>
          </cell>
          <cell r="R1153" t="e">
            <v>#N/A</v>
          </cell>
        </row>
        <row r="1154">
          <cell r="A1154" t="str">
            <v/>
          </cell>
          <cell r="B1154" t="str">
            <v/>
          </cell>
          <cell r="C1154" t="str">
            <v>Future</v>
          </cell>
          <cell r="D1154" t="e">
            <v>#N/A</v>
          </cell>
          <cell r="E1154">
            <v>-46.730988142292532</v>
          </cell>
          <cell r="F1154">
            <v>52.04371541502023</v>
          </cell>
          <cell r="G1154">
            <v>28.52592885375412</v>
          </cell>
          <cell r="H1154">
            <v>28.52592885375412</v>
          </cell>
          <cell r="I1154" t="e">
            <v>#N/A</v>
          </cell>
          <cell r="J1154" t="e">
            <v>#N/A</v>
          </cell>
          <cell r="K1154">
            <v>42</v>
          </cell>
          <cell r="L1154">
            <v>32</v>
          </cell>
          <cell r="M1154" t="e">
            <v>#N/A</v>
          </cell>
          <cell r="N1154">
            <v>37</v>
          </cell>
          <cell r="O1154" t="e">
            <v>#N/A</v>
          </cell>
          <cell r="P1154" t="str">
            <v/>
          </cell>
          <cell r="Q1154" t="str">
            <v/>
          </cell>
          <cell r="R1154" t="e">
            <v>#N/A</v>
          </cell>
        </row>
        <row r="1155">
          <cell r="A1155" t="str">
            <v/>
          </cell>
          <cell r="B1155" t="str">
            <v/>
          </cell>
          <cell r="C1155" t="str">
            <v>Future</v>
          </cell>
          <cell r="D1155" t="e">
            <v>#N/A</v>
          </cell>
          <cell r="E1155">
            <v>-46.867628458498068</v>
          </cell>
          <cell r="F1155">
            <v>52.073083003953037</v>
          </cell>
          <cell r="G1155">
            <v>28.515770750987322</v>
          </cell>
          <cell r="H1155">
            <v>28.515770750987322</v>
          </cell>
          <cell r="I1155" t="e">
            <v>#N/A</v>
          </cell>
          <cell r="J1155" t="e">
            <v>#N/A</v>
          </cell>
          <cell r="K1155">
            <v>42</v>
          </cell>
          <cell r="L1155">
            <v>32</v>
          </cell>
          <cell r="M1155" t="e">
            <v>#N/A</v>
          </cell>
          <cell r="N1155">
            <v>37</v>
          </cell>
          <cell r="O1155" t="e">
            <v>#N/A</v>
          </cell>
          <cell r="P1155" t="str">
            <v/>
          </cell>
          <cell r="Q1155" t="str">
            <v/>
          </cell>
          <cell r="R1155" t="e">
            <v>#N/A</v>
          </cell>
        </row>
        <row r="1156">
          <cell r="A1156" t="str">
            <v/>
          </cell>
          <cell r="B1156" t="str">
            <v/>
          </cell>
          <cell r="C1156" t="str">
            <v>Future</v>
          </cell>
          <cell r="D1156" t="e">
            <v>#N/A</v>
          </cell>
          <cell r="E1156">
            <v>-47.004268774703604</v>
          </cell>
          <cell r="F1156">
            <v>52.102450592885845</v>
          </cell>
          <cell r="G1156">
            <v>28.505612648220524</v>
          </cell>
          <cell r="H1156">
            <v>28.505612648220524</v>
          </cell>
          <cell r="I1156" t="e">
            <v>#N/A</v>
          </cell>
          <cell r="J1156" t="e">
            <v>#N/A</v>
          </cell>
          <cell r="K1156">
            <v>42</v>
          </cell>
          <cell r="L1156">
            <v>32</v>
          </cell>
          <cell r="M1156" t="e">
            <v>#N/A</v>
          </cell>
          <cell r="N1156">
            <v>37</v>
          </cell>
          <cell r="O1156" t="e">
            <v>#N/A</v>
          </cell>
          <cell r="P1156" t="str">
            <v/>
          </cell>
          <cell r="Q1156" t="str">
            <v/>
          </cell>
          <cell r="R1156" t="e">
            <v>#N/A</v>
          </cell>
        </row>
        <row r="1157">
          <cell r="A1157" t="str">
            <v/>
          </cell>
          <cell r="B1157" t="str">
            <v/>
          </cell>
          <cell r="C1157" t="str">
            <v>Future</v>
          </cell>
          <cell r="D1157" t="e">
            <v>#N/A</v>
          </cell>
          <cell r="E1157">
            <v>-47.14090909090914</v>
          </cell>
          <cell r="F1157">
            <v>52.131818181818652</v>
          </cell>
          <cell r="G1157">
            <v>28.495454545453725</v>
          </cell>
          <cell r="H1157">
            <v>28.495454545453725</v>
          </cell>
          <cell r="I1157" t="e">
            <v>#N/A</v>
          </cell>
          <cell r="J1157" t="e">
            <v>#N/A</v>
          </cell>
          <cell r="K1157">
            <v>42</v>
          </cell>
          <cell r="L1157">
            <v>32</v>
          </cell>
          <cell r="M1157" t="e">
            <v>#N/A</v>
          </cell>
          <cell r="N1157">
            <v>37</v>
          </cell>
          <cell r="O1157" t="e">
            <v>#N/A</v>
          </cell>
          <cell r="P1157" t="str">
            <v/>
          </cell>
          <cell r="Q1157" t="str">
            <v/>
          </cell>
          <cell r="R1157" t="e">
            <v>#N/A</v>
          </cell>
        </row>
        <row r="1158">
          <cell r="A1158" t="str">
            <v/>
          </cell>
          <cell r="B1158" t="str">
            <v/>
          </cell>
          <cell r="C1158" t="str">
            <v>Future</v>
          </cell>
          <cell r="D1158" t="e">
            <v>#N/A</v>
          </cell>
          <cell r="E1158">
            <v>-47.277549407114677</v>
          </cell>
          <cell r="F1158">
            <v>52.161185770751459</v>
          </cell>
          <cell r="G1158">
            <v>28.485296442686927</v>
          </cell>
          <cell r="H1158">
            <v>28.485296442686927</v>
          </cell>
          <cell r="I1158" t="e">
            <v>#N/A</v>
          </cell>
          <cell r="J1158" t="e">
            <v>#N/A</v>
          </cell>
          <cell r="K1158">
            <v>42</v>
          </cell>
          <cell r="L1158">
            <v>32</v>
          </cell>
          <cell r="M1158" t="e">
            <v>#N/A</v>
          </cell>
          <cell r="N1158">
            <v>37</v>
          </cell>
          <cell r="O1158" t="e">
            <v>#N/A</v>
          </cell>
          <cell r="P1158" t="str">
            <v/>
          </cell>
          <cell r="Q1158" t="str">
            <v/>
          </cell>
          <cell r="R1158" t="e">
            <v>#N/A</v>
          </cell>
        </row>
        <row r="1159">
          <cell r="A1159" t="str">
            <v/>
          </cell>
          <cell r="B1159" t="str">
            <v/>
          </cell>
          <cell r="C1159" t="str">
            <v>Future</v>
          </cell>
          <cell r="D1159" t="e">
            <v>#N/A</v>
          </cell>
          <cell r="E1159">
            <v>-47.414189723320213</v>
          </cell>
          <cell r="F1159">
            <v>52.190553359684266</v>
          </cell>
          <cell r="G1159">
            <v>28.475138339920129</v>
          </cell>
          <cell r="H1159">
            <v>28.475138339920129</v>
          </cell>
          <cell r="I1159" t="e">
            <v>#N/A</v>
          </cell>
          <cell r="J1159" t="e">
            <v>#N/A</v>
          </cell>
          <cell r="K1159">
            <v>42</v>
          </cell>
          <cell r="L1159">
            <v>32</v>
          </cell>
          <cell r="M1159" t="e">
            <v>#N/A</v>
          </cell>
          <cell r="N1159">
            <v>37</v>
          </cell>
          <cell r="O1159" t="e">
            <v>#N/A</v>
          </cell>
          <cell r="P1159" t="str">
            <v/>
          </cell>
          <cell r="Q1159" t="str">
            <v/>
          </cell>
          <cell r="R1159" t="e">
            <v>#N/A</v>
          </cell>
        </row>
        <row r="1160">
          <cell r="A1160" t="str">
            <v/>
          </cell>
          <cell r="B1160" t="str">
            <v/>
          </cell>
          <cell r="C1160" t="str">
            <v>Future</v>
          </cell>
          <cell r="D1160" t="e">
            <v>#N/A</v>
          </cell>
          <cell r="E1160">
            <v>-47.550830039525749</v>
          </cell>
          <cell r="F1160">
            <v>52.219920948617073</v>
          </cell>
          <cell r="G1160">
            <v>28.46498023715333</v>
          </cell>
          <cell r="H1160">
            <v>28.46498023715333</v>
          </cell>
          <cell r="I1160" t="e">
            <v>#N/A</v>
          </cell>
          <cell r="J1160" t="e">
            <v>#N/A</v>
          </cell>
          <cell r="K1160">
            <v>42</v>
          </cell>
          <cell r="L1160">
            <v>32</v>
          </cell>
          <cell r="M1160" t="e">
            <v>#N/A</v>
          </cell>
          <cell r="N1160">
            <v>37</v>
          </cell>
          <cell r="O1160" t="e">
            <v>#N/A</v>
          </cell>
          <cell r="P1160" t="str">
            <v/>
          </cell>
          <cell r="Q1160" t="str">
            <v/>
          </cell>
          <cell r="R1160" t="e">
            <v>#N/A</v>
          </cell>
        </row>
        <row r="1161">
          <cell r="A1161" t="str">
            <v/>
          </cell>
          <cell r="B1161" t="str">
            <v/>
          </cell>
          <cell r="C1161" t="str">
            <v>Future</v>
          </cell>
          <cell r="D1161" t="e">
            <v>#N/A</v>
          </cell>
          <cell r="E1161">
            <v>-47.687470355731286</v>
          </cell>
          <cell r="F1161">
            <v>52.24928853754988</v>
          </cell>
          <cell r="G1161">
            <v>28.454822134386532</v>
          </cell>
          <cell r="H1161">
            <v>28.454822134386532</v>
          </cell>
          <cell r="I1161" t="e">
            <v>#N/A</v>
          </cell>
          <cell r="J1161" t="e">
            <v>#N/A</v>
          </cell>
          <cell r="K1161">
            <v>42</v>
          </cell>
          <cell r="L1161">
            <v>32</v>
          </cell>
          <cell r="M1161" t="e">
            <v>#N/A</v>
          </cell>
          <cell r="N1161">
            <v>37</v>
          </cell>
          <cell r="O1161" t="e">
            <v>#N/A</v>
          </cell>
          <cell r="P1161" t="str">
            <v/>
          </cell>
          <cell r="Q1161" t="str">
            <v/>
          </cell>
          <cell r="R1161" t="e">
            <v>#N/A</v>
          </cell>
        </row>
        <row r="1162">
          <cell r="A1162" t="str">
            <v/>
          </cell>
          <cell r="B1162" t="str">
            <v/>
          </cell>
          <cell r="C1162" t="str">
            <v>Future</v>
          </cell>
          <cell r="D1162" t="e">
            <v>#N/A</v>
          </cell>
          <cell r="E1162">
            <v>-47.824110671936822</v>
          </cell>
          <cell r="F1162">
            <v>52.278656126482687</v>
          </cell>
          <cell r="G1162">
            <v>28.444664031619734</v>
          </cell>
          <cell r="H1162">
            <v>28.444664031619734</v>
          </cell>
          <cell r="I1162" t="e">
            <v>#N/A</v>
          </cell>
          <cell r="J1162" t="e">
            <v>#N/A</v>
          </cell>
          <cell r="K1162">
            <v>42</v>
          </cell>
          <cell r="L1162">
            <v>32</v>
          </cell>
          <cell r="M1162" t="e">
            <v>#N/A</v>
          </cell>
          <cell r="N1162">
            <v>37</v>
          </cell>
          <cell r="O1162" t="e">
            <v>#N/A</v>
          </cell>
          <cell r="P1162" t="str">
            <v/>
          </cell>
          <cell r="Q1162" t="str">
            <v/>
          </cell>
          <cell r="R1162" t="e">
            <v>#N/A</v>
          </cell>
        </row>
        <row r="1163">
          <cell r="A1163" t="str">
            <v/>
          </cell>
          <cell r="B1163" t="str">
            <v/>
          </cell>
          <cell r="C1163" t="str">
            <v>Future</v>
          </cell>
          <cell r="D1163" t="e">
            <v>#N/A</v>
          </cell>
          <cell r="E1163">
            <v>-47.960750988142358</v>
          </cell>
          <cell r="F1163">
            <v>52.308023715415494</v>
          </cell>
          <cell r="G1163">
            <v>28.434505928852936</v>
          </cell>
          <cell r="H1163">
            <v>28.434505928852936</v>
          </cell>
          <cell r="I1163" t="e">
            <v>#N/A</v>
          </cell>
          <cell r="J1163" t="e">
            <v>#N/A</v>
          </cell>
          <cell r="K1163">
            <v>42</v>
          </cell>
          <cell r="L1163">
            <v>32</v>
          </cell>
          <cell r="M1163" t="e">
            <v>#N/A</v>
          </cell>
          <cell r="N1163">
            <v>37</v>
          </cell>
          <cell r="O1163" t="e">
            <v>#N/A</v>
          </cell>
          <cell r="P1163" t="str">
            <v/>
          </cell>
          <cell r="Q1163" t="str">
            <v/>
          </cell>
          <cell r="R1163" t="e">
            <v>#N/A</v>
          </cell>
        </row>
        <row r="1164">
          <cell r="A1164" t="str">
            <v/>
          </cell>
          <cell r="B1164" t="str">
            <v/>
          </cell>
          <cell r="C1164" t="str">
            <v>Future</v>
          </cell>
          <cell r="D1164" t="e">
            <v>#N/A</v>
          </cell>
          <cell r="E1164">
            <v>-48.097391304347894</v>
          </cell>
          <cell r="F1164">
            <v>52.337391304348301</v>
          </cell>
          <cell r="G1164">
            <v>28.424347826086137</v>
          </cell>
          <cell r="H1164">
            <v>28.424347826086137</v>
          </cell>
          <cell r="I1164" t="e">
            <v>#N/A</v>
          </cell>
          <cell r="J1164" t="e">
            <v>#N/A</v>
          </cell>
          <cell r="K1164">
            <v>42</v>
          </cell>
          <cell r="L1164">
            <v>32</v>
          </cell>
          <cell r="M1164" t="e">
            <v>#N/A</v>
          </cell>
          <cell r="N1164">
            <v>37</v>
          </cell>
          <cell r="O1164" t="e">
            <v>#N/A</v>
          </cell>
          <cell r="P1164" t="str">
            <v/>
          </cell>
          <cell r="Q1164" t="str">
            <v/>
          </cell>
          <cell r="R1164" t="e">
            <v>#N/A</v>
          </cell>
        </row>
        <row r="1165">
          <cell r="A1165" t="str">
            <v/>
          </cell>
          <cell r="B1165" t="str">
            <v/>
          </cell>
          <cell r="C1165" t="str">
            <v>Future</v>
          </cell>
          <cell r="D1165" t="e">
            <v>#N/A</v>
          </cell>
          <cell r="E1165">
            <v>-48.234031620553431</v>
          </cell>
          <cell r="F1165">
            <v>52.366758893281109</v>
          </cell>
          <cell r="G1165">
            <v>28.414189723319339</v>
          </cell>
          <cell r="H1165">
            <v>28.414189723319339</v>
          </cell>
          <cell r="I1165" t="e">
            <v>#N/A</v>
          </cell>
          <cell r="J1165" t="e">
            <v>#N/A</v>
          </cell>
          <cell r="K1165">
            <v>42</v>
          </cell>
          <cell r="L1165">
            <v>32</v>
          </cell>
          <cell r="M1165" t="e">
            <v>#N/A</v>
          </cell>
          <cell r="N1165">
            <v>37</v>
          </cell>
          <cell r="O1165" t="e">
            <v>#N/A</v>
          </cell>
          <cell r="P1165" t="str">
            <v/>
          </cell>
          <cell r="Q1165" t="str">
            <v/>
          </cell>
          <cell r="R1165" t="e">
            <v>#N/A</v>
          </cell>
        </row>
        <row r="1166">
          <cell r="A1166" t="str">
            <v/>
          </cell>
          <cell r="B1166" t="str">
            <v/>
          </cell>
          <cell r="C1166" t="str">
            <v>Future</v>
          </cell>
          <cell r="D1166" t="e">
            <v>#N/A</v>
          </cell>
          <cell r="E1166">
            <v>-48.370671936758967</v>
          </cell>
          <cell r="F1166">
            <v>52.396126482213916</v>
          </cell>
          <cell r="G1166">
            <v>28.404031620552541</v>
          </cell>
          <cell r="H1166">
            <v>28.404031620552541</v>
          </cell>
          <cell r="I1166" t="e">
            <v>#N/A</v>
          </cell>
          <cell r="J1166" t="e">
            <v>#N/A</v>
          </cell>
          <cell r="K1166">
            <v>42</v>
          </cell>
          <cell r="L1166">
            <v>32</v>
          </cell>
          <cell r="M1166" t="e">
            <v>#N/A</v>
          </cell>
          <cell r="N1166">
            <v>37</v>
          </cell>
          <cell r="O1166" t="e">
            <v>#N/A</v>
          </cell>
          <cell r="P1166" t="str">
            <v/>
          </cell>
          <cell r="Q1166" t="str">
            <v/>
          </cell>
          <cell r="R1166" t="e">
            <v>#N/A</v>
          </cell>
        </row>
        <row r="1167">
          <cell r="A1167" t="str">
            <v/>
          </cell>
          <cell r="B1167" t="str">
            <v/>
          </cell>
          <cell r="C1167" t="str">
            <v>Future</v>
          </cell>
          <cell r="D1167" t="e">
            <v>#N/A</v>
          </cell>
          <cell r="E1167">
            <v>-48.507312252964503</v>
          </cell>
          <cell r="F1167">
            <v>52.425494071146723</v>
          </cell>
          <cell r="G1167">
            <v>28.393873517785742</v>
          </cell>
          <cell r="H1167">
            <v>28.393873517785742</v>
          </cell>
          <cell r="I1167" t="e">
            <v>#N/A</v>
          </cell>
          <cell r="J1167" t="e">
            <v>#N/A</v>
          </cell>
          <cell r="K1167">
            <v>42</v>
          </cell>
          <cell r="L1167">
            <v>32</v>
          </cell>
          <cell r="M1167" t="e">
            <v>#N/A</v>
          </cell>
          <cell r="N1167">
            <v>37</v>
          </cell>
          <cell r="O1167" t="e">
            <v>#N/A</v>
          </cell>
          <cell r="P1167" t="str">
            <v/>
          </cell>
          <cell r="Q1167" t="str">
            <v/>
          </cell>
          <cell r="R1167" t="e">
            <v>#N/A</v>
          </cell>
        </row>
        <row r="1168">
          <cell r="A1168" t="str">
            <v/>
          </cell>
          <cell r="B1168" t="str">
            <v/>
          </cell>
          <cell r="C1168" t="str">
            <v>Future</v>
          </cell>
          <cell r="D1168" t="e">
            <v>#N/A</v>
          </cell>
          <cell r="E1168">
            <v>-48.64395256917004</v>
          </cell>
          <cell r="F1168">
            <v>52.45486166007953</v>
          </cell>
          <cell r="G1168">
            <v>28.383715415018944</v>
          </cell>
          <cell r="H1168">
            <v>28.383715415018944</v>
          </cell>
          <cell r="I1168" t="e">
            <v>#N/A</v>
          </cell>
          <cell r="J1168" t="e">
            <v>#N/A</v>
          </cell>
          <cell r="K1168">
            <v>42</v>
          </cell>
          <cell r="L1168">
            <v>32</v>
          </cell>
          <cell r="M1168" t="e">
            <v>#N/A</v>
          </cell>
          <cell r="N1168">
            <v>37</v>
          </cell>
          <cell r="O1168" t="e">
            <v>#N/A</v>
          </cell>
          <cell r="P1168" t="str">
            <v/>
          </cell>
          <cell r="Q1168" t="str">
            <v/>
          </cell>
          <cell r="R1168" t="e">
            <v>#N/A</v>
          </cell>
        </row>
        <row r="1169">
          <cell r="A1169" t="str">
            <v/>
          </cell>
          <cell r="B1169" t="str">
            <v/>
          </cell>
          <cell r="C1169" t="str">
            <v>Future</v>
          </cell>
          <cell r="D1169" t="e">
            <v>#N/A</v>
          </cell>
          <cell r="E1169">
            <v>-48.780592885375576</v>
          </cell>
          <cell r="F1169">
            <v>52.484229249012337</v>
          </cell>
          <cell r="G1169">
            <v>28.373557312252146</v>
          </cell>
          <cell r="H1169">
            <v>28.373557312252146</v>
          </cell>
          <cell r="I1169" t="e">
            <v>#N/A</v>
          </cell>
          <cell r="J1169" t="e">
            <v>#N/A</v>
          </cell>
          <cell r="K1169">
            <v>42</v>
          </cell>
          <cell r="L1169">
            <v>32</v>
          </cell>
          <cell r="M1169" t="e">
            <v>#N/A</v>
          </cell>
          <cell r="N1169">
            <v>37</v>
          </cell>
          <cell r="O1169" t="e">
            <v>#N/A</v>
          </cell>
          <cell r="P1169" t="str">
            <v/>
          </cell>
          <cell r="Q1169" t="str">
            <v/>
          </cell>
          <cell r="R1169" t="e">
            <v>#N/A</v>
          </cell>
        </row>
        <row r="1170">
          <cell r="A1170" t="str">
            <v/>
          </cell>
          <cell r="B1170" t="str">
            <v/>
          </cell>
          <cell r="C1170" t="str">
            <v>Future</v>
          </cell>
          <cell r="D1170" t="e">
            <v>#N/A</v>
          </cell>
          <cell r="E1170">
            <v>-48.917233201581112</v>
          </cell>
          <cell r="F1170">
            <v>52.513596837945144</v>
          </cell>
          <cell r="G1170">
            <v>28.363399209485348</v>
          </cell>
          <cell r="H1170">
            <v>28.363399209485348</v>
          </cell>
          <cell r="I1170" t="e">
            <v>#N/A</v>
          </cell>
          <cell r="J1170" t="e">
            <v>#N/A</v>
          </cell>
          <cell r="K1170">
            <v>42</v>
          </cell>
          <cell r="L1170">
            <v>32</v>
          </cell>
          <cell r="M1170" t="e">
            <v>#N/A</v>
          </cell>
          <cell r="N1170">
            <v>37</v>
          </cell>
          <cell r="O1170" t="e">
            <v>#N/A</v>
          </cell>
          <cell r="P1170" t="str">
            <v/>
          </cell>
          <cell r="Q1170" t="str">
            <v/>
          </cell>
          <cell r="R1170" t="e">
            <v>#N/A</v>
          </cell>
        </row>
        <row r="1171">
          <cell r="A1171" t="str">
            <v/>
          </cell>
          <cell r="B1171" t="str">
            <v/>
          </cell>
          <cell r="C1171" t="str">
            <v>Future</v>
          </cell>
          <cell r="D1171" t="e">
            <v>#N/A</v>
          </cell>
          <cell r="E1171">
            <v>-49.053873517786649</v>
          </cell>
          <cell r="F1171">
            <v>52.542964426877951</v>
          </cell>
          <cell r="G1171">
            <v>28.353241106718549</v>
          </cell>
          <cell r="H1171">
            <v>28.353241106718549</v>
          </cell>
          <cell r="I1171" t="e">
            <v>#N/A</v>
          </cell>
          <cell r="J1171" t="e">
            <v>#N/A</v>
          </cell>
          <cell r="K1171">
            <v>42</v>
          </cell>
          <cell r="L1171">
            <v>32</v>
          </cell>
          <cell r="M1171" t="e">
            <v>#N/A</v>
          </cell>
          <cell r="N1171">
            <v>37</v>
          </cell>
          <cell r="O1171" t="e">
            <v>#N/A</v>
          </cell>
          <cell r="P1171" t="str">
            <v/>
          </cell>
          <cell r="Q1171" t="str">
            <v/>
          </cell>
          <cell r="R1171" t="e">
            <v>#N/A</v>
          </cell>
        </row>
        <row r="1172">
          <cell r="A1172" t="str">
            <v/>
          </cell>
          <cell r="B1172" t="str">
            <v/>
          </cell>
          <cell r="C1172" t="str">
            <v>Future</v>
          </cell>
          <cell r="D1172" t="e">
            <v>#N/A</v>
          </cell>
          <cell r="E1172">
            <v>-49.190513833992185</v>
          </cell>
          <cell r="F1172">
            <v>52.572332015810758</v>
          </cell>
          <cell r="G1172">
            <v>28.343083003951751</v>
          </cell>
          <cell r="H1172">
            <v>28.343083003951751</v>
          </cell>
          <cell r="I1172" t="e">
            <v>#N/A</v>
          </cell>
          <cell r="J1172" t="e">
            <v>#N/A</v>
          </cell>
          <cell r="K1172">
            <v>42</v>
          </cell>
          <cell r="L1172">
            <v>32</v>
          </cell>
          <cell r="M1172" t="e">
            <v>#N/A</v>
          </cell>
          <cell r="N1172">
            <v>37</v>
          </cell>
          <cell r="O1172" t="e">
            <v>#N/A</v>
          </cell>
          <cell r="P1172" t="str">
            <v/>
          </cell>
          <cell r="Q1172" t="str">
            <v/>
          </cell>
          <cell r="R1172" t="e">
            <v>#N/A</v>
          </cell>
        </row>
        <row r="1173">
          <cell r="A1173" t="str">
            <v/>
          </cell>
          <cell r="B1173" t="str">
            <v/>
          </cell>
          <cell r="C1173" t="str">
            <v>Future</v>
          </cell>
          <cell r="D1173" t="e">
            <v>#N/A</v>
          </cell>
          <cell r="E1173">
            <v>-49.327154150197721</v>
          </cell>
          <cell r="F1173">
            <v>52.601699604743565</v>
          </cell>
          <cell r="G1173">
            <v>28.332924901184953</v>
          </cell>
          <cell r="H1173">
            <v>28.332924901184953</v>
          </cell>
          <cell r="I1173" t="e">
            <v>#N/A</v>
          </cell>
          <cell r="J1173" t="e">
            <v>#N/A</v>
          </cell>
          <cell r="K1173">
            <v>42</v>
          </cell>
          <cell r="L1173">
            <v>32</v>
          </cell>
          <cell r="M1173" t="e">
            <v>#N/A</v>
          </cell>
          <cell r="N1173">
            <v>37</v>
          </cell>
          <cell r="O1173" t="e">
            <v>#N/A</v>
          </cell>
          <cell r="P1173" t="str">
            <v/>
          </cell>
          <cell r="Q1173" t="str">
            <v/>
          </cell>
          <cell r="R1173" t="e">
            <v>#N/A</v>
          </cell>
        </row>
        <row r="1174">
          <cell r="A1174" t="str">
            <v/>
          </cell>
          <cell r="B1174" t="str">
            <v/>
          </cell>
          <cell r="C1174" t="str">
            <v>Future</v>
          </cell>
          <cell r="D1174" t="e">
            <v>#N/A</v>
          </cell>
          <cell r="E1174">
            <v>-49.463794466403257</v>
          </cell>
          <cell r="F1174">
            <v>52.631067193676373</v>
          </cell>
          <cell r="G1174">
            <v>28.322766798418154</v>
          </cell>
          <cell r="H1174">
            <v>28.322766798418154</v>
          </cell>
          <cell r="I1174" t="e">
            <v>#N/A</v>
          </cell>
          <cell r="J1174" t="e">
            <v>#N/A</v>
          </cell>
          <cell r="K1174">
            <v>42</v>
          </cell>
          <cell r="L1174">
            <v>32</v>
          </cell>
          <cell r="M1174" t="e">
            <v>#N/A</v>
          </cell>
          <cell r="N1174">
            <v>37</v>
          </cell>
          <cell r="O1174" t="e">
            <v>#N/A</v>
          </cell>
          <cell r="P1174" t="str">
            <v/>
          </cell>
          <cell r="Q1174" t="str">
            <v/>
          </cell>
          <cell r="R1174" t="e">
            <v>#N/A</v>
          </cell>
        </row>
        <row r="1175">
          <cell r="A1175" t="str">
            <v/>
          </cell>
          <cell r="B1175" t="str">
            <v/>
          </cell>
          <cell r="C1175" t="str">
            <v>Future</v>
          </cell>
          <cell r="D1175" t="e">
            <v>#N/A</v>
          </cell>
          <cell r="E1175">
            <v>-49.600434782608794</v>
          </cell>
          <cell r="F1175">
            <v>52.66043478260918</v>
          </cell>
          <cell r="G1175">
            <v>28.312608695651356</v>
          </cell>
          <cell r="H1175">
            <v>28.312608695651356</v>
          </cell>
          <cell r="I1175" t="e">
            <v>#N/A</v>
          </cell>
          <cell r="J1175" t="e">
            <v>#N/A</v>
          </cell>
          <cell r="K1175">
            <v>42</v>
          </cell>
          <cell r="L1175">
            <v>32</v>
          </cell>
          <cell r="M1175" t="e">
            <v>#N/A</v>
          </cell>
          <cell r="N1175">
            <v>37</v>
          </cell>
          <cell r="O1175" t="e">
            <v>#N/A</v>
          </cell>
          <cell r="P1175" t="str">
            <v/>
          </cell>
          <cell r="Q1175" t="str">
            <v/>
          </cell>
          <cell r="R1175" t="e">
            <v>#N/A</v>
          </cell>
        </row>
        <row r="1176">
          <cell r="A1176" t="str">
            <v/>
          </cell>
          <cell r="B1176" t="str">
            <v/>
          </cell>
          <cell r="C1176" t="str">
            <v>Future</v>
          </cell>
          <cell r="D1176" t="e">
            <v>#N/A</v>
          </cell>
          <cell r="E1176">
            <v>-49.73707509881433</v>
          </cell>
          <cell r="F1176">
            <v>52.689802371541987</v>
          </cell>
          <cell r="G1176">
            <v>28.302450592884558</v>
          </cell>
          <cell r="H1176">
            <v>28.302450592884558</v>
          </cell>
          <cell r="I1176" t="e">
            <v>#N/A</v>
          </cell>
          <cell r="J1176" t="e">
            <v>#N/A</v>
          </cell>
          <cell r="K1176">
            <v>42</v>
          </cell>
          <cell r="L1176">
            <v>32</v>
          </cell>
          <cell r="M1176" t="e">
            <v>#N/A</v>
          </cell>
          <cell r="N1176">
            <v>37</v>
          </cell>
          <cell r="O1176" t="e">
            <v>#N/A</v>
          </cell>
          <cell r="P1176" t="str">
            <v/>
          </cell>
          <cell r="Q1176" t="str">
            <v/>
          </cell>
          <cell r="R1176" t="e">
            <v>#N/A</v>
          </cell>
        </row>
        <row r="1177">
          <cell r="A1177" t="str">
            <v/>
          </cell>
          <cell r="B1177" t="str">
            <v/>
          </cell>
          <cell r="C1177" t="str">
            <v>Future</v>
          </cell>
          <cell r="D1177" t="e">
            <v>#N/A</v>
          </cell>
          <cell r="E1177">
            <v>-49.873715415019866</v>
          </cell>
          <cell r="F1177">
            <v>52.719169960474794</v>
          </cell>
          <cell r="G1177">
            <v>28.292292490117759</v>
          </cell>
          <cell r="H1177">
            <v>28.292292490117759</v>
          </cell>
          <cell r="I1177" t="e">
            <v>#N/A</v>
          </cell>
          <cell r="J1177" t="e">
            <v>#N/A</v>
          </cell>
          <cell r="K1177">
            <v>42</v>
          </cell>
          <cell r="L1177">
            <v>32</v>
          </cell>
          <cell r="M1177" t="e">
            <v>#N/A</v>
          </cell>
          <cell r="N1177">
            <v>37</v>
          </cell>
          <cell r="O1177" t="e">
            <v>#N/A</v>
          </cell>
          <cell r="P1177" t="str">
            <v/>
          </cell>
          <cell r="Q1177" t="str">
            <v/>
          </cell>
          <cell r="R1177" t="e">
            <v>#N/A</v>
          </cell>
        </row>
        <row r="1178">
          <cell r="A1178" t="str">
            <v/>
          </cell>
          <cell r="B1178" t="str">
            <v/>
          </cell>
          <cell r="C1178" t="str">
            <v>Future</v>
          </cell>
          <cell r="D1178" t="e">
            <v>#N/A</v>
          </cell>
          <cell r="E1178">
            <v>-50.010355731225403</v>
          </cell>
          <cell r="F1178">
            <v>52.748537549407601</v>
          </cell>
          <cell r="G1178">
            <v>28.282134387350961</v>
          </cell>
          <cell r="H1178">
            <v>28.282134387350961</v>
          </cell>
          <cell r="I1178" t="e">
            <v>#N/A</v>
          </cell>
          <cell r="J1178" t="e">
            <v>#N/A</v>
          </cell>
          <cell r="K1178">
            <v>42</v>
          </cell>
          <cell r="L1178">
            <v>32</v>
          </cell>
          <cell r="M1178" t="e">
            <v>#N/A</v>
          </cell>
          <cell r="N1178">
            <v>37</v>
          </cell>
          <cell r="O1178" t="e">
            <v>#N/A</v>
          </cell>
          <cell r="P1178" t="str">
            <v/>
          </cell>
          <cell r="Q1178" t="str">
            <v/>
          </cell>
          <cell r="R1178" t="e">
            <v>#N/A</v>
          </cell>
        </row>
        <row r="1179">
          <cell r="A1179" t="str">
            <v/>
          </cell>
          <cell r="B1179" t="str">
            <v/>
          </cell>
          <cell r="C1179" t="str">
            <v>Future</v>
          </cell>
          <cell r="D1179" t="e">
            <v>#N/A</v>
          </cell>
          <cell r="E1179">
            <v>-50.146996047430939</v>
          </cell>
          <cell r="F1179">
            <v>52.777905138340408</v>
          </cell>
          <cell r="G1179">
            <v>28.271976284584163</v>
          </cell>
          <cell r="H1179">
            <v>28.271976284584163</v>
          </cell>
          <cell r="I1179" t="e">
            <v>#N/A</v>
          </cell>
          <cell r="J1179" t="e">
            <v>#N/A</v>
          </cell>
          <cell r="K1179">
            <v>42</v>
          </cell>
          <cell r="L1179">
            <v>32</v>
          </cell>
          <cell r="M1179" t="e">
            <v>#N/A</v>
          </cell>
          <cell r="N1179">
            <v>37</v>
          </cell>
          <cell r="O1179" t="e">
            <v>#N/A</v>
          </cell>
          <cell r="P1179" t="str">
            <v/>
          </cell>
          <cell r="Q1179" t="str">
            <v/>
          </cell>
          <cell r="R1179" t="e">
            <v>#N/A</v>
          </cell>
        </row>
        <row r="1180">
          <cell r="A1180" t="str">
            <v/>
          </cell>
          <cell r="B1180" t="str">
            <v/>
          </cell>
          <cell r="C1180" t="str">
            <v>Future</v>
          </cell>
          <cell r="D1180" t="e">
            <v>#N/A</v>
          </cell>
          <cell r="E1180">
            <v>-50.283636363636475</v>
          </cell>
          <cell r="F1180">
            <v>52.807272727273215</v>
          </cell>
          <cell r="G1180">
            <v>28.261818181817365</v>
          </cell>
          <cell r="H1180">
            <v>28.261818181817365</v>
          </cell>
          <cell r="I1180" t="e">
            <v>#N/A</v>
          </cell>
          <cell r="J1180" t="e">
            <v>#N/A</v>
          </cell>
          <cell r="K1180">
            <v>42</v>
          </cell>
          <cell r="L1180">
            <v>32</v>
          </cell>
          <cell r="M1180" t="e">
            <v>#N/A</v>
          </cell>
          <cell r="N1180">
            <v>37</v>
          </cell>
          <cell r="O1180" t="e">
            <v>#N/A</v>
          </cell>
          <cell r="P1180" t="str">
            <v/>
          </cell>
          <cell r="Q1180" t="str">
            <v/>
          </cell>
          <cell r="R1180" t="e">
            <v>#N/A</v>
          </cell>
        </row>
        <row r="1181">
          <cell r="A1181" t="str">
            <v/>
          </cell>
          <cell r="B1181" t="str">
            <v/>
          </cell>
          <cell r="C1181" t="str">
            <v>Future</v>
          </cell>
          <cell r="D1181" t="e">
            <v>#N/A</v>
          </cell>
          <cell r="E1181">
            <v>-50.420276679842011</v>
          </cell>
          <cell r="F1181">
            <v>52.836640316206022</v>
          </cell>
          <cell r="G1181">
            <v>28.251660079050566</v>
          </cell>
          <cell r="H1181">
            <v>28.251660079050566</v>
          </cell>
          <cell r="I1181" t="e">
            <v>#N/A</v>
          </cell>
          <cell r="J1181" t="e">
            <v>#N/A</v>
          </cell>
          <cell r="K1181">
            <v>42</v>
          </cell>
          <cell r="L1181">
            <v>32</v>
          </cell>
          <cell r="M1181" t="e">
            <v>#N/A</v>
          </cell>
          <cell r="N1181">
            <v>37</v>
          </cell>
          <cell r="O1181" t="e">
            <v>#N/A</v>
          </cell>
          <cell r="P1181" t="str">
            <v/>
          </cell>
          <cell r="Q1181" t="str">
            <v/>
          </cell>
          <cell r="R1181" t="e">
            <v>#N/A</v>
          </cell>
        </row>
        <row r="1182">
          <cell r="A1182" t="str">
            <v/>
          </cell>
          <cell r="B1182" t="str">
            <v/>
          </cell>
          <cell r="C1182" t="str">
            <v>Future</v>
          </cell>
          <cell r="D1182" t="e">
            <v>#N/A</v>
          </cell>
          <cell r="E1182">
            <v>-50.556916996047548</v>
          </cell>
          <cell r="F1182">
            <v>52.866007905138829</v>
          </cell>
          <cell r="G1182">
            <v>28.241501976283768</v>
          </cell>
          <cell r="H1182">
            <v>28.241501976283768</v>
          </cell>
          <cell r="I1182" t="e">
            <v>#N/A</v>
          </cell>
          <cell r="J1182" t="e">
            <v>#N/A</v>
          </cell>
          <cell r="K1182">
            <v>42</v>
          </cell>
          <cell r="L1182">
            <v>32</v>
          </cell>
          <cell r="M1182" t="e">
            <v>#N/A</v>
          </cell>
          <cell r="N1182">
            <v>37</v>
          </cell>
          <cell r="O1182" t="e">
            <v>#N/A</v>
          </cell>
          <cell r="P1182" t="str">
            <v/>
          </cell>
          <cell r="Q1182" t="str">
            <v/>
          </cell>
          <cell r="R1182" t="e">
            <v>#N/A</v>
          </cell>
        </row>
        <row r="1183">
          <cell r="A1183" t="str">
            <v/>
          </cell>
          <cell r="B1183" t="str">
            <v/>
          </cell>
          <cell r="C1183" t="str">
            <v>Future</v>
          </cell>
          <cell r="D1183" t="e">
            <v>#N/A</v>
          </cell>
          <cell r="E1183">
            <v>-50.693557312253084</v>
          </cell>
          <cell r="F1183">
            <v>52.895375494071637</v>
          </cell>
          <cell r="G1183">
            <v>28.23134387351697</v>
          </cell>
          <cell r="H1183">
            <v>28.23134387351697</v>
          </cell>
          <cell r="I1183" t="e">
            <v>#N/A</v>
          </cell>
          <cell r="J1183" t="e">
            <v>#N/A</v>
          </cell>
          <cell r="K1183">
            <v>42</v>
          </cell>
          <cell r="L1183">
            <v>32</v>
          </cell>
          <cell r="M1183" t="e">
            <v>#N/A</v>
          </cell>
          <cell r="N1183">
            <v>37</v>
          </cell>
          <cell r="O1183" t="e">
            <v>#N/A</v>
          </cell>
          <cell r="P1183" t="str">
            <v/>
          </cell>
          <cell r="Q1183" t="str">
            <v/>
          </cell>
          <cell r="R1183" t="e">
            <v>#N/A</v>
          </cell>
        </row>
        <row r="1184">
          <cell r="A1184" t="str">
            <v/>
          </cell>
          <cell r="B1184" t="str">
            <v/>
          </cell>
          <cell r="C1184" t="str">
            <v>Future</v>
          </cell>
          <cell r="D1184" t="e">
            <v>#N/A</v>
          </cell>
          <cell r="E1184">
            <v>-50.83019762845862</v>
          </cell>
          <cell r="F1184">
            <v>52.924743083004444</v>
          </cell>
          <cell r="G1184">
            <v>28.221185770750171</v>
          </cell>
          <cell r="H1184">
            <v>28.221185770750171</v>
          </cell>
          <cell r="I1184" t="e">
            <v>#N/A</v>
          </cell>
          <cell r="J1184" t="e">
            <v>#N/A</v>
          </cell>
          <cell r="K1184">
            <v>42</v>
          </cell>
          <cell r="L1184">
            <v>32</v>
          </cell>
          <cell r="M1184" t="e">
            <v>#N/A</v>
          </cell>
          <cell r="N1184">
            <v>37</v>
          </cell>
          <cell r="O1184" t="e">
            <v>#N/A</v>
          </cell>
          <cell r="P1184" t="str">
            <v/>
          </cell>
          <cell r="Q1184" t="str">
            <v/>
          </cell>
          <cell r="R1184" t="e">
            <v>#N/A</v>
          </cell>
        </row>
        <row r="1185">
          <cell r="A1185" t="str">
            <v/>
          </cell>
          <cell r="B1185" t="str">
            <v/>
          </cell>
          <cell r="C1185" t="str">
            <v>Future</v>
          </cell>
          <cell r="D1185" t="e">
            <v>#N/A</v>
          </cell>
          <cell r="E1185">
            <v>-50.966837944664157</v>
          </cell>
          <cell r="F1185">
            <v>52.954110671937251</v>
          </cell>
          <cell r="G1185">
            <v>28.211027667983373</v>
          </cell>
          <cell r="H1185">
            <v>28.211027667983373</v>
          </cell>
          <cell r="I1185" t="e">
            <v>#N/A</v>
          </cell>
          <cell r="J1185" t="e">
            <v>#N/A</v>
          </cell>
          <cell r="K1185">
            <v>42</v>
          </cell>
          <cell r="L1185">
            <v>32</v>
          </cell>
          <cell r="M1185" t="e">
            <v>#N/A</v>
          </cell>
          <cell r="N1185">
            <v>37</v>
          </cell>
          <cell r="O1185" t="e">
            <v>#N/A</v>
          </cell>
          <cell r="P1185" t="str">
            <v/>
          </cell>
          <cell r="Q1185" t="str">
            <v/>
          </cell>
          <cell r="R1185" t="e">
            <v>#N/A</v>
          </cell>
        </row>
        <row r="1186">
          <cell r="A1186" t="str">
            <v/>
          </cell>
          <cell r="B1186" t="str">
            <v/>
          </cell>
          <cell r="C1186" t="str">
            <v>Future</v>
          </cell>
          <cell r="D1186" t="e">
            <v>#N/A</v>
          </cell>
          <cell r="E1186">
            <v>-51.103478260869693</v>
          </cell>
          <cell r="F1186">
            <v>52.983478260870058</v>
          </cell>
          <cell r="G1186">
            <v>28.200869565216575</v>
          </cell>
          <cell r="H1186">
            <v>28.200869565216575</v>
          </cell>
          <cell r="I1186" t="e">
            <v>#N/A</v>
          </cell>
          <cell r="J1186" t="e">
            <v>#N/A</v>
          </cell>
          <cell r="K1186">
            <v>42</v>
          </cell>
          <cell r="L1186">
            <v>32</v>
          </cell>
          <cell r="M1186" t="e">
            <v>#N/A</v>
          </cell>
          <cell r="N1186">
            <v>37</v>
          </cell>
          <cell r="O1186" t="e">
            <v>#N/A</v>
          </cell>
          <cell r="P1186" t="str">
            <v/>
          </cell>
          <cell r="Q1186" t="str">
            <v/>
          </cell>
          <cell r="R1186" t="e">
            <v>#N/A</v>
          </cell>
        </row>
        <row r="1187">
          <cell r="A1187" t="str">
            <v/>
          </cell>
          <cell r="B1187" t="str">
            <v/>
          </cell>
          <cell r="C1187" t="str">
            <v>Future</v>
          </cell>
          <cell r="D1187" t="e">
            <v>#N/A</v>
          </cell>
          <cell r="E1187">
            <v>-51.240118577075229</v>
          </cell>
          <cell r="F1187">
            <v>53.012845849802865</v>
          </cell>
          <cell r="G1187">
            <v>28.190711462449777</v>
          </cell>
          <cell r="H1187">
            <v>28.190711462449777</v>
          </cell>
          <cell r="I1187" t="e">
            <v>#N/A</v>
          </cell>
          <cell r="J1187" t="e">
            <v>#N/A</v>
          </cell>
          <cell r="K1187">
            <v>42</v>
          </cell>
          <cell r="L1187">
            <v>32</v>
          </cell>
          <cell r="M1187" t="e">
            <v>#N/A</v>
          </cell>
          <cell r="N1187">
            <v>37</v>
          </cell>
          <cell r="O1187" t="e">
            <v>#N/A</v>
          </cell>
          <cell r="P1187" t="str">
            <v/>
          </cell>
          <cell r="Q1187" t="str">
            <v/>
          </cell>
          <cell r="R1187" t="e">
            <v>#N/A</v>
          </cell>
        </row>
        <row r="1188">
          <cell r="A1188" t="str">
            <v/>
          </cell>
          <cell r="B1188" t="str">
            <v/>
          </cell>
          <cell r="C1188" t="str">
            <v>Future</v>
          </cell>
          <cell r="D1188" t="e">
            <v>#N/A</v>
          </cell>
          <cell r="E1188">
            <v>-51.376758893280766</v>
          </cell>
          <cell r="F1188">
            <v>53.042213438735672</v>
          </cell>
          <cell r="G1188">
            <v>28.180553359682978</v>
          </cell>
          <cell r="H1188">
            <v>28.180553359682978</v>
          </cell>
          <cell r="I1188" t="e">
            <v>#N/A</v>
          </cell>
          <cell r="J1188" t="e">
            <v>#N/A</v>
          </cell>
          <cell r="K1188">
            <v>42</v>
          </cell>
          <cell r="L1188">
            <v>32</v>
          </cell>
          <cell r="M1188" t="e">
            <v>#N/A</v>
          </cell>
          <cell r="N1188">
            <v>37</v>
          </cell>
          <cell r="O1188" t="e">
            <v>#N/A</v>
          </cell>
          <cell r="P1188" t="str">
            <v/>
          </cell>
          <cell r="Q1188" t="str">
            <v/>
          </cell>
          <cell r="R1188" t="e">
            <v>#N/A</v>
          </cell>
        </row>
        <row r="1189">
          <cell r="A1189" t="str">
            <v/>
          </cell>
          <cell r="B1189" t="str">
            <v/>
          </cell>
          <cell r="C1189" t="str">
            <v>Future</v>
          </cell>
          <cell r="D1189" t="e">
            <v>#N/A</v>
          </cell>
          <cell r="E1189">
            <v>-51.513399209486302</v>
          </cell>
          <cell r="F1189">
            <v>53.071581027668479</v>
          </cell>
          <cell r="G1189">
            <v>28.17039525691618</v>
          </cell>
          <cell r="H1189">
            <v>28.17039525691618</v>
          </cell>
          <cell r="I1189" t="e">
            <v>#N/A</v>
          </cell>
          <cell r="J1189" t="e">
            <v>#N/A</v>
          </cell>
          <cell r="K1189">
            <v>42</v>
          </cell>
          <cell r="L1189">
            <v>32</v>
          </cell>
          <cell r="M1189" t="e">
            <v>#N/A</v>
          </cell>
          <cell r="N1189">
            <v>37</v>
          </cell>
          <cell r="O1189" t="e">
            <v>#N/A</v>
          </cell>
          <cell r="P1189" t="str">
            <v/>
          </cell>
          <cell r="Q1189" t="str">
            <v/>
          </cell>
          <cell r="R1189" t="e">
            <v>#N/A</v>
          </cell>
        </row>
        <row r="1190">
          <cell r="A1190" t="str">
            <v/>
          </cell>
          <cell r="B1190" t="str">
            <v/>
          </cell>
          <cell r="C1190" t="str">
            <v>Future</v>
          </cell>
          <cell r="D1190" t="e">
            <v>#N/A</v>
          </cell>
          <cell r="E1190">
            <v>-51.650039525691838</v>
          </cell>
          <cell r="F1190">
            <v>53.100948616601286</v>
          </cell>
          <cell r="G1190">
            <v>28.160237154149382</v>
          </cell>
          <cell r="H1190">
            <v>28.160237154149382</v>
          </cell>
          <cell r="I1190" t="e">
            <v>#N/A</v>
          </cell>
          <cell r="J1190" t="e">
            <v>#N/A</v>
          </cell>
          <cell r="K1190">
            <v>42</v>
          </cell>
          <cell r="L1190">
            <v>32</v>
          </cell>
          <cell r="M1190" t="e">
            <v>#N/A</v>
          </cell>
          <cell r="N1190">
            <v>37</v>
          </cell>
          <cell r="O1190" t="e">
            <v>#N/A</v>
          </cell>
          <cell r="P1190" t="str">
            <v/>
          </cell>
          <cell r="Q1190" t="str">
            <v/>
          </cell>
          <cell r="R1190" t="e">
            <v>#N/A</v>
          </cell>
        </row>
        <row r="1191">
          <cell r="A1191" t="str">
            <v/>
          </cell>
          <cell r="B1191" t="str">
            <v/>
          </cell>
          <cell r="C1191" t="str">
            <v>Future</v>
          </cell>
          <cell r="D1191" t="e">
            <v>#N/A</v>
          </cell>
          <cell r="E1191">
            <v>-51.786679841897374</v>
          </cell>
          <cell r="F1191">
            <v>53.130316205534093</v>
          </cell>
          <cell r="G1191">
            <v>28.150079051382583</v>
          </cell>
          <cell r="H1191">
            <v>28.150079051382583</v>
          </cell>
          <cell r="I1191" t="e">
            <v>#N/A</v>
          </cell>
          <cell r="J1191" t="e">
            <v>#N/A</v>
          </cell>
          <cell r="K1191">
            <v>42</v>
          </cell>
          <cell r="L1191">
            <v>32</v>
          </cell>
          <cell r="M1191" t="e">
            <v>#N/A</v>
          </cell>
          <cell r="N1191">
            <v>37</v>
          </cell>
          <cell r="O1191" t="e">
            <v>#N/A</v>
          </cell>
          <cell r="P1191" t="str">
            <v/>
          </cell>
          <cell r="Q1191" t="str">
            <v/>
          </cell>
          <cell r="R1191" t="e">
            <v>#N/A</v>
          </cell>
        </row>
        <row r="1192">
          <cell r="A1192" t="str">
            <v/>
          </cell>
          <cell r="B1192" t="str">
            <v/>
          </cell>
          <cell r="C1192" t="str">
            <v>Future</v>
          </cell>
          <cell r="D1192" t="e">
            <v>#N/A</v>
          </cell>
          <cell r="E1192">
            <v>-51.923320158102911</v>
          </cell>
          <cell r="F1192">
            <v>53.159683794466901</v>
          </cell>
          <cell r="G1192">
            <v>28.139920948615785</v>
          </cell>
          <cell r="H1192">
            <v>28.139920948615785</v>
          </cell>
          <cell r="I1192" t="e">
            <v>#N/A</v>
          </cell>
          <cell r="J1192" t="e">
            <v>#N/A</v>
          </cell>
          <cell r="K1192">
            <v>42</v>
          </cell>
          <cell r="L1192">
            <v>32</v>
          </cell>
          <cell r="M1192" t="e">
            <v>#N/A</v>
          </cell>
          <cell r="N1192">
            <v>37</v>
          </cell>
          <cell r="O1192" t="e">
            <v>#N/A</v>
          </cell>
          <cell r="P1192" t="str">
            <v/>
          </cell>
          <cell r="Q1192" t="str">
            <v/>
          </cell>
          <cell r="R1192" t="e">
            <v>#N/A</v>
          </cell>
        </row>
        <row r="1193">
          <cell r="A1193" t="str">
            <v/>
          </cell>
          <cell r="B1193" t="str">
            <v/>
          </cell>
          <cell r="C1193" t="str">
            <v>Future</v>
          </cell>
          <cell r="D1193" t="e">
            <v>#N/A</v>
          </cell>
          <cell r="E1193">
            <v>-52.059960474308447</v>
          </cell>
          <cell r="F1193">
            <v>53.189051383399708</v>
          </cell>
          <cell r="G1193">
            <v>28.129762845848987</v>
          </cell>
          <cell r="H1193">
            <v>28.129762845848987</v>
          </cell>
          <cell r="I1193" t="e">
            <v>#N/A</v>
          </cell>
          <cell r="J1193" t="e">
            <v>#N/A</v>
          </cell>
          <cell r="K1193">
            <v>42</v>
          </cell>
          <cell r="L1193">
            <v>32</v>
          </cell>
          <cell r="M1193" t="e">
            <v>#N/A</v>
          </cell>
          <cell r="N1193">
            <v>37</v>
          </cell>
          <cell r="O1193" t="e">
            <v>#N/A</v>
          </cell>
          <cell r="P1193" t="str">
            <v/>
          </cell>
          <cell r="Q1193" t="str">
            <v/>
          </cell>
          <cell r="R1193" t="e">
            <v>#N/A</v>
          </cell>
        </row>
        <row r="1194">
          <cell r="A1194" t="str">
            <v/>
          </cell>
          <cell r="B1194" t="str">
            <v/>
          </cell>
          <cell r="C1194" t="str">
            <v>Future</v>
          </cell>
          <cell r="D1194" t="e">
            <v>#N/A</v>
          </cell>
          <cell r="E1194">
            <v>-52.196600790513983</v>
          </cell>
          <cell r="F1194">
            <v>53.218418972332515</v>
          </cell>
          <cell r="G1194">
            <v>28.119604743082188</v>
          </cell>
          <cell r="H1194">
            <v>28.119604743082188</v>
          </cell>
          <cell r="I1194" t="e">
            <v>#N/A</v>
          </cell>
          <cell r="J1194" t="e">
            <v>#N/A</v>
          </cell>
          <cell r="K1194">
            <v>42</v>
          </cell>
          <cell r="L1194">
            <v>32</v>
          </cell>
          <cell r="M1194" t="e">
            <v>#N/A</v>
          </cell>
          <cell r="N1194">
            <v>37</v>
          </cell>
          <cell r="O1194" t="e">
            <v>#N/A</v>
          </cell>
          <cell r="P1194" t="str">
            <v/>
          </cell>
          <cell r="Q1194" t="str">
            <v/>
          </cell>
          <cell r="R1194" t="e">
            <v>#N/A</v>
          </cell>
        </row>
        <row r="1195">
          <cell r="A1195" t="str">
            <v/>
          </cell>
          <cell r="B1195" t="str">
            <v/>
          </cell>
          <cell r="C1195" t="str">
            <v>Future</v>
          </cell>
          <cell r="D1195" t="e">
            <v>#N/A</v>
          </cell>
          <cell r="E1195">
            <v>-52.33324110671952</v>
          </cell>
          <cell r="F1195">
            <v>53.247786561265322</v>
          </cell>
          <cell r="G1195">
            <v>28.10944664031539</v>
          </cell>
          <cell r="H1195">
            <v>28.10944664031539</v>
          </cell>
          <cell r="I1195" t="e">
            <v>#N/A</v>
          </cell>
          <cell r="J1195" t="e">
            <v>#N/A</v>
          </cell>
          <cell r="K1195">
            <v>42</v>
          </cell>
          <cell r="L1195">
            <v>32</v>
          </cell>
          <cell r="M1195" t="e">
            <v>#N/A</v>
          </cell>
          <cell r="N1195">
            <v>37</v>
          </cell>
          <cell r="O1195" t="e">
            <v>#N/A</v>
          </cell>
          <cell r="P1195" t="str">
            <v/>
          </cell>
          <cell r="Q1195" t="str">
            <v/>
          </cell>
          <cell r="R1195" t="e">
            <v>#N/A</v>
          </cell>
        </row>
        <row r="1196">
          <cell r="A1196" t="str">
            <v/>
          </cell>
          <cell r="B1196" t="str">
            <v/>
          </cell>
          <cell r="C1196" t="str">
            <v>Future</v>
          </cell>
          <cell r="D1196" t="e">
            <v>#N/A</v>
          </cell>
          <cell r="E1196">
            <v>-52.469881422925056</v>
          </cell>
          <cell r="F1196">
            <v>53.277154150198129</v>
          </cell>
          <cell r="G1196">
            <v>28.099288537548592</v>
          </cell>
          <cell r="H1196">
            <v>28.099288537548592</v>
          </cell>
          <cell r="I1196" t="e">
            <v>#N/A</v>
          </cell>
          <cell r="J1196" t="e">
            <v>#N/A</v>
          </cell>
          <cell r="K1196">
            <v>42</v>
          </cell>
          <cell r="L1196">
            <v>32</v>
          </cell>
          <cell r="M1196" t="e">
            <v>#N/A</v>
          </cell>
          <cell r="N1196">
            <v>37</v>
          </cell>
          <cell r="O1196" t="e">
            <v>#N/A</v>
          </cell>
          <cell r="P1196" t="str">
            <v/>
          </cell>
          <cell r="Q1196" t="str">
            <v/>
          </cell>
          <cell r="R1196" t="e">
            <v>#N/A</v>
          </cell>
        </row>
        <row r="1197">
          <cell r="A1197" t="str">
            <v/>
          </cell>
          <cell r="B1197" t="str">
            <v/>
          </cell>
          <cell r="C1197" t="str">
            <v>Future</v>
          </cell>
          <cell r="D1197" t="e">
            <v>#N/A</v>
          </cell>
          <cell r="E1197">
            <v>-52.606521739130592</v>
          </cell>
          <cell r="F1197">
            <v>53.306521739130936</v>
          </cell>
          <cell r="G1197">
            <v>28.089130434781794</v>
          </cell>
          <cell r="H1197">
            <v>28.089130434781794</v>
          </cell>
          <cell r="I1197" t="e">
            <v>#N/A</v>
          </cell>
          <cell r="J1197" t="e">
            <v>#N/A</v>
          </cell>
          <cell r="K1197">
            <v>42</v>
          </cell>
          <cell r="L1197">
            <v>32</v>
          </cell>
          <cell r="M1197" t="e">
            <v>#N/A</v>
          </cell>
          <cell r="N1197">
            <v>37</v>
          </cell>
          <cell r="O1197" t="e">
            <v>#N/A</v>
          </cell>
          <cell r="P1197" t="str">
            <v/>
          </cell>
          <cell r="Q1197" t="str">
            <v/>
          </cell>
          <cell r="R1197" t="e">
            <v>#N/A</v>
          </cell>
        </row>
        <row r="1198">
          <cell r="A1198" t="str">
            <v/>
          </cell>
          <cell r="B1198" t="str">
            <v/>
          </cell>
          <cell r="C1198" t="str">
            <v>Future</v>
          </cell>
          <cell r="D1198" t="e">
            <v>#N/A</v>
          </cell>
          <cell r="E1198">
            <v>-52.743162055336128</v>
          </cell>
          <cell r="F1198">
            <v>53.335889328063743</v>
          </cell>
          <cell r="G1198">
            <v>28.078972332014995</v>
          </cell>
          <cell r="H1198">
            <v>28.078972332014995</v>
          </cell>
          <cell r="I1198" t="e">
            <v>#N/A</v>
          </cell>
          <cell r="J1198" t="e">
            <v>#N/A</v>
          </cell>
          <cell r="K1198">
            <v>42</v>
          </cell>
          <cell r="L1198">
            <v>32</v>
          </cell>
          <cell r="M1198" t="e">
            <v>#N/A</v>
          </cell>
          <cell r="N1198">
            <v>37</v>
          </cell>
          <cell r="O1198" t="e">
            <v>#N/A</v>
          </cell>
          <cell r="P1198" t="str">
            <v/>
          </cell>
          <cell r="Q1198" t="str">
            <v/>
          </cell>
          <cell r="R1198" t="e">
            <v>#N/A</v>
          </cell>
        </row>
        <row r="1199">
          <cell r="A1199" t="str">
            <v/>
          </cell>
          <cell r="B1199" t="str">
            <v/>
          </cell>
          <cell r="C1199" t="str">
            <v>Future</v>
          </cell>
          <cell r="D1199" t="e">
            <v>#N/A</v>
          </cell>
          <cell r="E1199">
            <v>-52.879802371541665</v>
          </cell>
          <cell r="F1199">
            <v>53.36525691699655</v>
          </cell>
          <cell r="G1199">
            <v>28.068814229248197</v>
          </cell>
          <cell r="H1199">
            <v>28.068814229248197</v>
          </cell>
          <cell r="I1199" t="e">
            <v>#N/A</v>
          </cell>
          <cell r="J1199" t="e">
            <v>#N/A</v>
          </cell>
          <cell r="K1199">
            <v>42</v>
          </cell>
          <cell r="L1199">
            <v>32</v>
          </cell>
          <cell r="M1199" t="e">
            <v>#N/A</v>
          </cell>
          <cell r="N1199">
            <v>37</v>
          </cell>
          <cell r="O1199" t="e">
            <v>#N/A</v>
          </cell>
          <cell r="P1199" t="str">
            <v/>
          </cell>
          <cell r="Q1199" t="str">
            <v/>
          </cell>
          <cell r="R1199" t="e">
            <v>#N/A</v>
          </cell>
        </row>
        <row r="1200">
          <cell r="A1200" t="str">
            <v/>
          </cell>
          <cell r="B1200" t="str">
            <v/>
          </cell>
          <cell r="C1200" t="str">
            <v>Future</v>
          </cell>
          <cell r="D1200" t="e">
            <v>#N/A</v>
          </cell>
          <cell r="E1200">
            <v>-53.016442687747201</v>
          </cell>
          <cell r="F1200">
            <v>53.394624505929357</v>
          </cell>
          <cell r="G1200">
            <v>28.058656126481399</v>
          </cell>
          <cell r="H1200">
            <v>28.058656126481399</v>
          </cell>
          <cell r="I1200" t="e">
            <v>#N/A</v>
          </cell>
          <cell r="J1200" t="e">
            <v>#N/A</v>
          </cell>
          <cell r="K1200">
            <v>42</v>
          </cell>
          <cell r="L1200">
            <v>32</v>
          </cell>
          <cell r="M1200" t="e">
            <v>#N/A</v>
          </cell>
          <cell r="N1200">
            <v>37</v>
          </cell>
          <cell r="O1200" t="e">
            <v>#N/A</v>
          </cell>
          <cell r="P1200" t="str">
            <v/>
          </cell>
          <cell r="Q1200" t="str">
            <v/>
          </cell>
          <cell r="R1200" t="e">
            <v>#N/A</v>
          </cell>
        </row>
        <row r="1201">
          <cell r="A1201" t="str">
            <v/>
          </cell>
          <cell r="B1201" t="str">
            <v/>
          </cell>
          <cell r="C1201" t="str">
            <v>Future</v>
          </cell>
          <cell r="D1201" t="e">
            <v>#N/A</v>
          </cell>
          <cell r="E1201">
            <v>-53.153083003952737</v>
          </cell>
          <cell r="F1201">
            <v>53.423992094862164</v>
          </cell>
          <cell r="G1201">
            <v>28.0484980237146</v>
          </cell>
          <cell r="H1201">
            <v>28.0484980237146</v>
          </cell>
          <cell r="I1201" t="e">
            <v>#N/A</v>
          </cell>
          <cell r="J1201" t="e">
            <v>#N/A</v>
          </cell>
          <cell r="K1201">
            <v>42</v>
          </cell>
          <cell r="L1201">
            <v>32</v>
          </cell>
          <cell r="M1201" t="e">
            <v>#N/A</v>
          </cell>
          <cell r="N1201">
            <v>37</v>
          </cell>
          <cell r="O1201" t="e">
            <v>#N/A</v>
          </cell>
          <cell r="P1201" t="str">
            <v/>
          </cell>
          <cell r="Q1201" t="str">
            <v/>
          </cell>
          <cell r="R1201" t="e">
            <v>#N/A</v>
          </cell>
        </row>
        <row r="1202">
          <cell r="A1202" t="str">
            <v/>
          </cell>
          <cell r="B1202" t="str">
            <v/>
          </cell>
          <cell r="C1202" t="str">
            <v>Future</v>
          </cell>
          <cell r="D1202" t="e">
            <v>#N/A</v>
          </cell>
          <cell r="E1202">
            <v>-53.289723320158274</v>
          </cell>
          <cell r="F1202">
            <v>53.453359683794972</v>
          </cell>
          <cell r="G1202">
            <v>28.038339920947802</v>
          </cell>
          <cell r="H1202">
            <v>28.038339920947802</v>
          </cell>
          <cell r="I1202" t="e">
            <v>#N/A</v>
          </cell>
          <cell r="J1202" t="e">
            <v>#N/A</v>
          </cell>
          <cell r="K1202">
            <v>42</v>
          </cell>
          <cell r="L1202">
            <v>32</v>
          </cell>
          <cell r="M1202" t="e">
            <v>#N/A</v>
          </cell>
          <cell r="N1202">
            <v>37</v>
          </cell>
          <cell r="O1202" t="e">
            <v>#N/A</v>
          </cell>
          <cell r="P1202" t="str">
            <v/>
          </cell>
          <cell r="Q1202" t="str">
            <v/>
          </cell>
          <cell r="R1202" t="e">
            <v>#N/A</v>
          </cell>
        </row>
        <row r="1203">
          <cell r="A1203" t="str">
            <v/>
          </cell>
          <cell r="B1203" t="str">
            <v/>
          </cell>
          <cell r="C1203" t="str">
            <v>Future</v>
          </cell>
          <cell r="D1203" t="e">
            <v>#N/A</v>
          </cell>
          <cell r="E1203">
            <v>-53.42636363636381</v>
          </cell>
          <cell r="F1203">
            <v>53.482727272727779</v>
          </cell>
          <cell r="G1203">
            <v>28.028181818181004</v>
          </cell>
          <cell r="H1203">
            <v>28.028181818181004</v>
          </cell>
          <cell r="I1203" t="e">
            <v>#N/A</v>
          </cell>
          <cell r="J1203" t="e">
            <v>#N/A</v>
          </cell>
          <cell r="K1203">
            <v>42</v>
          </cell>
          <cell r="L1203">
            <v>32</v>
          </cell>
          <cell r="M1203" t="e">
            <v>#N/A</v>
          </cell>
          <cell r="N1203">
            <v>37</v>
          </cell>
          <cell r="O1203" t="e">
            <v>#N/A</v>
          </cell>
          <cell r="P1203" t="str">
            <v/>
          </cell>
          <cell r="Q1203" t="str">
            <v/>
          </cell>
          <cell r="R1203" t="e">
            <v>#N/A</v>
          </cell>
        </row>
        <row r="1204">
          <cell r="A1204" t="str">
            <v/>
          </cell>
          <cell r="B1204" t="str">
            <v/>
          </cell>
          <cell r="C1204" t="str">
            <v>Future</v>
          </cell>
          <cell r="D1204" t="e">
            <v>#N/A</v>
          </cell>
          <cell r="E1204">
            <v>-53.563003952569346</v>
          </cell>
          <cell r="F1204">
            <v>53.512094861660586</v>
          </cell>
          <cell r="G1204">
            <v>28.018023715414206</v>
          </cell>
          <cell r="H1204">
            <v>28.018023715414206</v>
          </cell>
          <cell r="I1204" t="e">
            <v>#N/A</v>
          </cell>
          <cell r="J1204" t="e">
            <v>#N/A</v>
          </cell>
          <cell r="K1204">
            <v>42</v>
          </cell>
          <cell r="L1204">
            <v>32</v>
          </cell>
          <cell r="M1204" t="e">
            <v>#N/A</v>
          </cell>
          <cell r="N1204">
            <v>37</v>
          </cell>
          <cell r="O1204" t="e">
            <v>#N/A</v>
          </cell>
          <cell r="P1204" t="str">
            <v/>
          </cell>
          <cell r="Q1204" t="str">
            <v/>
          </cell>
          <cell r="R1204" t="e">
            <v>#N/A</v>
          </cell>
        </row>
        <row r="1205">
          <cell r="A1205" t="str">
            <v/>
          </cell>
          <cell r="B1205" t="str">
            <v/>
          </cell>
          <cell r="C1205" t="str">
            <v>Future</v>
          </cell>
          <cell r="D1205" t="e">
            <v>#N/A</v>
          </cell>
          <cell r="E1205">
            <v>-53.699644268774883</v>
          </cell>
          <cell r="F1205">
            <v>53.541462450593393</v>
          </cell>
          <cell r="G1205">
            <v>28.007865612647407</v>
          </cell>
          <cell r="H1205">
            <v>28.007865612647407</v>
          </cell>
          <cell r="I1205" t="e">
            <v>#N/A</v>
          </cell>
          <cell r="J1205" t="e">
            <v>#N/A</v>
          </cell>
          <cell r="K1205">
            <v>42</v>
          </cell>
          <cell r="L1205">
            <v>32</v>
          </cell>
          <cell r="M1205" t="e">
            <v>#N/A</v>
          </cell>
          <cell r="N1205">
            <v>37</v>
          </cell>
          <cell r="O1205" t="e">
            <v>#N/A</v>
          </cell>
          <cell r="P1205" t="str">
            <v/>
          </cell>
          <cell r="Q1205" t="str">
            <v/>
          </cell>
          <cell r="R1205" t="e">
            <v>#N/A</v>
          </cell>
        </row>
        <row r="1206">
          <cell r="A1206" t="str">
            <v/>
          </cell>
          <cell r="B1206" t="str">
            <v/>
          </cell>
          <cell r="C1206" t="str">
            <v>Future</v>
          </cell>
          <cell r="D1206" t="e">
            <v>#N/A</v>
          </cell>
          <cell r="E1206">
            <v>-53.836284584980419</v>
          </cell>
          <cell r="F1206">
            <v>53.5708300395262</v>
          </cell>
          <cell r="G1206">
            <v>27.997707509880609</v>
          </cell>
          <cell r="H1206">
            <v>27.997707509880609</v>
          </cell>
          <cell r="I1206" t="e">
            <v>#N/A</v>
          </cell>
          <cell r="J1206" t="e">
            <v>#N/A</v>
          </cell>
          <cell r="K1206">
            <v>42</v>
          </cell>
          <cell r="L1206">
            <v>32</v>
          </cell>
          <cell r="M1206" t="e">
            <v>#N/A</v>
          </cell>
          <cell r="N1206">
            <v>37</v>
          </cell>
          <cell r="O1206" t="e">
            <v>#N/A</v>
          </cell>
          <cell r="P1206" t="str">
            <v/>
          </cell>
          <cell r="Q1206" t="str">
            <v/>
          </cell>
          <cell r="R1206" t="e">
            <v>#N/A</v>
          </cell>
        </row>
        <row r="1207">
          <cell r="A1207" t="str">
            <v/>
          </cell>
          <cell r="B1207" t="str">
            <v/>
          </cell>
          <cell r="C1207" t="str">
            <v>Future</v>
          </cell>
          <cell r="D1207" t="e">
            <v>#N/A</v>
          </cell>
          <cell r="E1207">
            <v>-53.972924901185955</v>
          </cell>
          <cell r="F1207">
            <v>53.600197628459007</v>
          </cell>
          <cell r="G1207">
            <v>27.987549407113811</v>
          </cell>
          <cell r="H1207">
            <v>27.987549407113811</v>
          </cell>
          <cell r="I1207" t="e">
            <v>#N/A</v>
          </cell>
          <cell r="J1207" t="e">
            <v>#N/A</v>
          </cell>
          <cell r="K1207">
            <v>42</v>
          </cell>
          <cell r="L1207">
            <v>32</v>
          </cell>
          <cell r="M1207" t="e">
            <v>#N/A</v>
          </cell>
          <cell r="N1207">
            <v>37</v>
          </cell>
          <cell r="O1207" t="e">
            <v>#N/A</v>
          </cell>
          <cell r="P1207" t="str">
            <v/>
          </cell>
          <cell r="Q1207" t="str">
            <v/>
          </cell>
          <cell r="R1207" t="e">
            <v>#N/A</v>
          </cell>
        </row>
        <row r="1208">
          <cell r="A1208" t="str">
            <v/>
          </cell>
          <cell r="B1208" t="str">
            <v/>
          </cell>
          <cell r="C1208" t="str">
            <v>Future</v>
          </cell>
          <cell r="D1208" t="e">
            <v>#N/A</v>
          </cell>
          <cell r="E1208">
            <v>-54.109565217391491</v>
          </cell>
          <cell r="F1208">
            <v>53.629565217391814</v>
          </cell>
          <cell r="G1208">
            <v>27.977391304347012</v>
          </cell>
          <cell r="H1208">
            <v>27.977391304347012</v>
          </cell>
          <cell r="I1208" t="e">
            <v>#N/A</v>
          </cell>
          <cell r="J1208" t="e">
            <v>#N/A</v>
          </cell>
          <cell r="K1208">
            <v>42</v>
          </cell>
          <cell r="L1208">
            <v>32</v>
          </cell>
          <cell r="M1208" t="e">
            <v>#N/A</v>
          </cell>
          <cell r="N1208">
            <v>37</v>
          </cell>
          <cell r="O1208" t="e">
            <v>#N/A</v>
          </cell>
          <cell r="P1208" t="str">
            <v/>
          </cell>
          <cell r="Q1208" t="str">
            <v/>
          </cell>
          <cell r="R1208" t="e">
            <v>#N/A</v>
          </cell>
        </row>
        <row r="1209">
          <cell r="A1209" t="str">
            <v/>
          </cell>
          <cell r="B1209" t="str">
            <v/>
          </cell>
          <cell r="C1209" t="str">
            <v>Future</v>
          </cell>
          <cell r="D1209" t="e">
            <v>#N/A</v>
          </cell>
          <cell r="E1209">
            <v>-54.246205533597028</v>
          </cell>
          <cell r="F1209">
            <v>53.658932806324621</v>
          </cell>
          <cell r="G1209">
            <v>27.967233201580214</v>
          </cell>
          <cell r="H1209">
            <v>27.967233201580214</v>
          </cell>
          <cell r="I1209" t="e">
            <v>#N/A</v>
          </cell>
          <cell r="J1209" t="e">
            <v>#N/A</v>
          </cell>
          <cell r="K1209">
            <v>42</v>
          </cell>
          <cell r="L1209">
            <v>32</v>
          </cell>
          <cell r="M1209" t="e">
            <v>#N/A</v>
          </cell>
          <cell r="N1209">
            <v>37</v>
          </cell>
          <cell r="O1209" t="e">
            <v>#N/A</v>
          </cell>
          <cell r="P1209" t="str">
            <v/>
          </cell>
          <cell r="Q1209" t="str">
            <v/>
          </cell>
          <cell r="R1209" t="e">
            <v>#N/A</v>
          </cell>
        </row>
        <row r="1210">
          <cell r="A1210" t="str">
            <v/>
          </cell>
          <cell r="B1210" t="str">
            <v/>
          </cell>
          <cell r="C1210" t="str">
            <v>Future</v>
          </cell>
          <cell r="D1210" t="e">
            <v>#N/A</v>
          </cell>
          <cell r="E1210">
            <v>-54.382845849802564</v>
          </cell>
          <cell r="F1210">
            <v>53.688300395257428</v>
          </cell>
          <cell r="G1210">
            <v>27.957075098813416</v>
          </cell>
          <cell r="H1210">
            <v>27.957075098813416</v>
          </cell>
          <cell r="I1210" t="e">
            <v>#N/A</v>
          </cell>
          <cell r="J1210" t="e">
            <v>#N/A</v>
          </cell>
          <cell r="K1210">
            <v>42</v>
          </cell>
          <cell r="L1210">
            <v>32</v>
          </cell>
          <cell r="M1210" t="e">
            <v>#N/A</v>
          </cell>
          <cell r="N1210">
            <v>37</v>
          </cell>
          <cell r="O1210" t="e">
            <v>#N/A</v>
          </cell>
          <cell r="P1210" t="str">
            <v/>
          </cell>
          <cell r="Q1210" t="str">
            <v/>
          </cell>
          <cell r="R1210" t="e">
            <v>#N/A</v>
          </cell>
        </row>
        <row r="1211">
          <cell r="A1211" t="str">
            <v/>
          </cell>
          <cell r="B1211" t="str">
            <v/>
          </cell>
          <cell r="C1211" t="str">
            <v>Future</v>
          </cell>
          <cell r="D1211" t="e">
            <v>#N/A</v>
          </cell>
          <cell r="E1211">
            <v>-54.5194861660081</v>
          </cell>
          <cell r="F1211">
            <v>53.717667984190236</v>
          </cell>
          <cell r="G1211">
            <v>27.946916996046617</v>
          </cell>
          <cell r="H1211">
            <v>27.946916996046617</v>
          </cell>
          <cell r="I1211" t="e">
            <v>#N/A</v>
          </cell>
          <cell r="J1211" t="e">
            <v>#N/A</v>
          </cell>
          <cell r="K1211">
            <v>42</v>
          </cell>
          <cell r="L1211">
            <v>32</v>
          </cell>
          <cell r="M1211" t="e">
            <v>#N/A</v>
          </cell>
          <cell r="N1211">
            <v>37</v>
          </cell>
          <cell r="O1211" t="e">
            <v>#N/A</v>
          </cell>
          <cell r="P1211" t="str">
            <v/>
          </cell>
          <cell r="Q1211" t="str">
            <v/>
          </cell>
          <cell r="R1211" t="e">
            <v>#N/A</v>
          </cell>
        </row>
        <row r="1212">
          <cell r="A1212" t="str">
            <v/>
          </cell>
          <cell r="B1212" t="str">
            <v/>
          </cell>
          <cell r="C1212" t="str">
            <v>Future</v>
          </cell>
          <cell r="D1212" t="e">
            <v>#N/A</v>
          </cell>
          <cell r="E1212">
            <v>-54.656126482213637</v>
          </cell>
          <cell r="F1212">
            <v>53.747035573123043</v>
          </cell>
          <cell r="G1212">
            <v>27.936758893279819</v>
          </cell>
          <cell r="H1212">
            <v>27.936758893279819</v>
          </cell>
          <cell r="I1212" t="e">
            <v>#N/A</v>
          </cell>
          <cell r="J1212" t="e">
            <v>#N/A</v>
          </cell>
          <cell r="K1212">
            <v>42</v>
          </cell>
          <cell r="L1212">
            <v>32</v>
          </cell>
          <cell r="M1212" t="e">
            <v>#N/A</v>
          </cell>
          <cell r="N1212">
            <v>37</v>
          </cell>
          <cell r="O1212" t="e">
            <v>#N/A</v>
          </cell>
          <cell r="P1212" t="str">
            <v/>
          </cell>
          <cell r="Q1212" t="str">
            <v/>
          </cell>
          <cell r="R1212" t="e">
            <v>#N/A</v>
          </cell>
        </row>
        <row r="1213">
          <cell r="A1213" t="str">
            <v/>
          </cell>
          <cell r="B1213" t="str">
            <v/>
          </cell>
          <cell r="C1213" t="str">
            <v>Future</v>
          </cell>
          <cell r="D1213" t="e">
            <v>#N/A</v>
          </cell>
          <cell r="E1213">
            <v>-54.792766798419173</v>
          </cell>
          <cell r="F1213">
            <v>53.77640316205585</v>
          </cell>
          <cell r="G1213">
            <v>27.926600790513021</v>
          </cell>
          <cell r="H1213">
            <v>27.926600790513021</v>
          </cell>
          <cell r="I1213" t="e">
            <v>#N/A</v>
          </cell>
          <cell r="J1213" t="e">
            <v>#N/A</v>
          </cell>
          <cell r="K1213">
            <v>42</v>
          </cell>
          <cell r="L1213">
            <v>32</v>
          </cell>
          <cell r="M1213" t="e">
            <v>#N/A</v>
          </cell>
          <cell r="N1213">
            <v>37</v>
          </cell>
          <cell r="O1213" t="e">
            <v>#N/A</v>
          </cell>
          <cell r="P1213" t="str">
            <v/>
          </cell>
          <cell r="Q1213" t="str">
            <v/>
          </cell>
          <cell r="R1213" t="e">
            <v>#N/A</v>
          </cell>
        </row>
        <row r="1214">
          <cell r="A1214" t="str">
            <v/>
          </cell>
          <cell r="B1214" t="str">
            <v/>
          </cell>
          <cell r="C1214" t="str">
            <v>Future</v>
          </cell>
          <cell r="D1214" t="e">
            <v>#N/A</v>
          </cell>
          <cell r="E1214">
            <v>-54.929407114624709</v>
          </cell>
          <cell r="F1214">
            <v>53.805770750988657</v>
          </cell>
          <cell r="G1214">
            <v>27.916442687746223</v>
          </cell>
          <cell r="H1214">
            <v>27.916442687746223</v>
          </cell>
          <cell r="I1214" t="e">
            <v>#N/A</v>
          </cell>
          <cell r="J1214" t="e">
            <v>#N/A</v>
          </cell>
          <cell r="K1214">
            <v>42</v>
          </cell>
          <cell r="L1214">
            <v>32</v>
          </cell>
          <cell r="M1214" t="e">
            <v>#N/A</v>
          </cell>
          <cell r="N1214">
            <v>37</v>
          </cell>
          <cell r="O1214" t="e">
            <v>#N/A</v>
          </cell>
          <cell r="P1214" t="str">
            <v/>
          </cell>
          <cell r="Q1214" t="str">
            <v/>
          </cell>
          <cell r="R1214" t="e">
            <v>#N/A</v>
          </cell>
        </row>
        <row r="1215">
          <cell r="A1215" t="str">
            <v/>
          </cell>
          <cell r="B1215" t="str">
            <v/>
          </cell>
          <cell r="C1215" t="str">
            <v>Future</v>
          </cell>
          <cell r="D1215" t="e">
            <v>#N/A</v>
          </cell>
          <cell r="E1215">
            <v>-55.066047430830245</v>
          </cell>
          <cell r="F1215">
            <v>53.835138339921464</v>
          </cell>
          <cell r="G1215">
            <v>27.906284584979424</v>
          </cell>
          <cell r="H1215">
            <v>27.906284584979424</v>
          </cell>
          <cell r="I1215" t="e">
            <v>#N/A</v>
          </cell>
          <cell r="J1215" t="e">
            <v>#N/A</v>
          </cell>
          <cell r="K1215">
            <v>42</v>
          </cell>
          <cell r="L1215">
            <v>32</v>
          </cell>
          <cell r="M1215" t="e">
            <v>#N/A</v>
          </cell>
          <cell r="N1215">
            <v>37</v>
          </cell>
          <cell r="O1215" t="e">
            <v>#N/A</v>
          </cell>
          <cell r="P1215" t="str">
            <v/>
          </cell>
          <cell r="Q1215" t="str">
            <v/>
          </cell>
          <cell r="R1215" t="e">
            <v>#N/A</v>
          </cell>
        </row>
        <row r="1216">
          <cell r="A1216" t="str">
            <v/>
          </cell>
          <cell r="B1216" t="str">
            <v/>
          </cell>
          <cell r="C1216" t="str">
            <v>Future</v>
          </cell>
          <cell r="D1216" t="e">
            <v>#N/A</v>
          </cell>
          <cell r="E1216">
            <v>-55.202687747035782</v>
          </cell>
          <cell r="F1216">
            <v>53.864505928854271</v>
          </cell>
          <cell r="G1216">
            <v>27.896126482212626</v>
          </cell>
          <cell r="H1216">
            <v>27.896126482212626</v>
          </cell>
          <cell r="I1216" t="e">
            <v>#N/A</v>
          </cell>
          <cell r="J1216" t="e">
            <v>#N/A</v>
          </cell>
          <cell r="K1216">
            <v>42</v>
          </cell>
          <cell r="L1216">
            <v>32</v>
          </cell>
          <cell r="M1216" t="e">
            <v>#N/A</v>
          </cell>
          <cell r="N1216">
            <v>37</v>
          </cell>
          <cell r="O1216" t="e">
            <v>#N/A</v>
          </cell>
          <cell r="P1216" t="str">
            <v/>
          </cell>
          <cell r="Q1216" t="str">
            <v/>
          </cell>
          <cell r="R1216" t="e">
            <v>#N/A</v>
          </cell>
        </row>
        <row r="1217">
          <cell r="A1217" t="str">
            <v/>
          </cell>
          <cell r="B1217" t="str">
            <v/>
          </cell>
          <cell r="C1217" t="str">
            <v>Future</v>
          </cell>
          <cell r="D1217" t="e">
            <v>#N/A</v>
          </cell>
          <cell r="E1217">
            <v>-55.339328063241318</v>
          </cell>
          <cell r="F1217">
            <v>53.893873517787078</v>
          </cell>
          <cell r="G1217">
            <v>27.885968379445828</v>
          </cell>
          <cell r="H1217">
            <v>27.885968379445828</v>
          </cell>
          <cell r="I1217" t="e">
            <v>#N/A</v>
          </cell>
          <cell r="J1217" t="e">
            <v>#N/A</v>
          </cell>
          <cell r="K1217">
            <v>42</v>
          </cell>
          <cell r="L1217">
            <v>32</v>
          </cell>
          <cell r="M1217" t="e">
            <v>#N/A</v>
          </cell>
          <cell r="N1217">
            <v>37</v>
          </cell>
          <cell r="O1217" t="e">
            <v>#N/A</v>
          </cell>
          <cell r="P1217" t="str">
            <v/>
          </cell>
          <cell r="Q1217" t="str">
            <v/>
          </cell>
          <cell r="R1217" t="e">
            <v>#N/A</v>
          </cell>
        </row>
        <row r="1218">
          <cell r="A1218" t="str">
            <v/>
          </cell>
          <cell r="B1218" t="str">
            <v/>
          </cell>
          <cell r="C1218" t="str">
            <v>Future</v>
          </cell>
          <cell r="D1218" t="e">
            <v>#N/A</v>
          </cell>
          <cell r="E1218">
            <v>-55.475968379446854</v>
          </cell>
          <cell r="F1218">
            <v>53.923241106719885</v>
          </cell>
          <cell r="G1218">
            <v>27.875810276679029</v>
          </cell>
          <cell r="H1218">
            <v>27.875810276679029</v>
          </cell>
          <cell r="I1218" t="e">
            <v>#N/A</v>
          </cell>
          <cell r="J1218" t="e">
            <v>#N/A</v>
          </cell>
          <cell r="K1218">
            <v>42</v>
          </cell>
          <cell r="L1218">
            <v>32</v>
          </cell>
          <cell r="M1218" t="e">
            <v>#N/A</v>
          </cell>
          <cell r="N1218">
            <v>37</v>
          </cell>
          <cell r="O1218" t="e">
            <v>#N/A</v>
          </cell>
          <cell r="P1218" t="str">
            <v/>
          </cell>
          <cell r="Q1218" t="str">
            <v/>
          </cell>
          <cell r="R1218" t="e">
            <v>#N/A</v>
          </cell>
        </row>
        <row r="1219">
          <cell r="A1219" t="str">
            <v/>
          </cell>
          <cell r="B1219" t="str">
            <v/>
          </cell>
          <cell r="C1219" t="str">
            <v>Future</v>
          </cell>
          <cell r="D1219" t="e">
            <v>#N/A</v>
          </cell>
          <cell r="E1219">
            <v>-55.612608695652391</v>
          </cell>
          <cell r="F1219">
            <v>53.952608695652692</v>
          </cell>
          <cell r="G1219">
            <v>27.865652173912231</v>
          </cell>
          <cell r="H1219">
            <v>27.865652173912231</v>
          </cell>
          <cell r="I1219" t="e">
            <v>#N/A</v>
          </cell>
          <cell r="J1219" t="e">
            <v>#N/A</v>
          </cell>
          <cell r="K1219">
            <v>42</v>
          </cell>
          <cell r="L1219">
            <v>32</v>
          </cell>
          <cell r="M1219" t="e">
            <v>#N/A</v>
          </cell>
          <cell r="N1219">
            <v>37</v>
          </cell>
          <cell r="O1219" t="e">
            <v>#N/A</v>
          </cell>
          <cell r="P1219" t="str">
            <v/>
          </cell>
          <cell r="Q1219" t="str">
            <v/>
          </cell>
          <cell r="R1219" t="e">
            <v>#N/A</v>
          </cell>
        </row>
        <row r="1220">
          <cell r="A1220" t="str">
            <v/>
          </cell>
          <cell r="B1220" t="str">
            <v/>
          </cell>
          <cell r="C1220" t="str">
            <v>Future</v>
          </cell>
          <cell r="D1220" t="e">
            <v>#N/A</v>
          </cell>
          <cell r="E1220">
            <v>-55.749249011857927</v>
          </cell>
          <cell r="F1220">
            <v>53.9819762845855</v>
          </cell>
          <cell r="G1220">
            <v>27.855494071145433</v>
          </cell>
          <cell r="H1220">
            <v>27.855494071145433</v>
          </cell>
          <cell r="I1220" t="e">
            <v>#N/A</v>
          </cell>
          <cell r="J1220" t="e">
            <v>#N/A</v>
          </cell>
          <cell r="K1220">
            <v>42</v>
          </cell>
          <cell r="L1220">
            <v>32</v>
          </cell>
          <cell r="M1220" t="e">
            <v>#N/A</v>
          </cell>
          <cell r="N1220">
            <v>37</v>
          </cell>
          <cell r="O1220" t="e">
            <v>#N/A</v>
          </cell>
          <cell r="P1220" t="str">
            <v/>
          </cell>
          <cell r="Q1220" t="str">
            <v/>
          </cell>
          <cell r="R1220" t="e">
            <v>#N/A</v>
          </cell>
        </row>
        <row r="1221">
          <cell r="A1221" t="str">
            <v/>
          </cell>
          <cell r="B1221" t="str">
            <v/>
          </cell>
          <cell r="C1221" t="str">
            <v>Future</v>
          </cell>
          <cell r="D1221" t="e">
            <v>#N/A</v>
          </cell>
          <cell r="E1221">
            <v>-55.885889328063463</v>
          </cell>
          <cell r="F1221">
            <v>54.011343873518307</v>
          </cell>
          <cell r="G1221">
            <v>27.845335968378635</v>
          </cell>
          <cell r="H1221">
            <v>27.845335968378635</v>
          </cell>
          <cell r="I1221" t="e">
            <v>#N/A</v>
          </cell>
          <cell r="J1221" t="e">
            <v>#N/A</v>
          </cell>
          <cell r="K1221">
            <v>42</v>
          </cell>
          <cell r="L1221">
            <v>32</v>
          </cell>
          <cell r="M1221" t="e">
            <v>#N/A</v>
          </cell>
          <cell r="N1221">
            <v>37</v>
          </cell>
          <cell r="O1221" t="e">
            <v>#N/A</v>
          </cell>
          <cell r="P1221" t="str">
            <v/>
          </cell>
          <cell r="Q1221" t="str">
            <v/>
          </cell>
          <cell r="R1221" t="e">
            <v>#N/A</v>
          </cell>
        </row>
        <row r="1222">
          <cell r="A1222" t="str">
            <v/>
          </cell>
          <cell r="B1222" t="str">
            <v/>
          </cell>
          <cell r="C1222" t="str">
            <v>Future</v>
          </cell>
          <cell r="D1222" t="e">
            <v>#N/A</v>
          </cell>
          <cell r="E1222">
            <v>-56.022529644269</v>
          </cell>
          <cell r="F1222">
            <v>54.040711462451114</v>
          </cell>
          <cell r="G1222">
            <v>27.835177865611836</v>
          </cell>
          <cell r="H1222">
            <v>27.835177865611836</v>
          </cell>
          <cell r="I1222" t="e">
            <v>#N/A</v>
          </cell>
          <cell r="J1222" t="e">
            <v>#N/A</v>
          </cell>
          <cell r="K1222">
            <v>42</v>
          </cell>
          <cell r="L1222">
            <v>32</v>
          </cell>
          <cell r="M1222" t="e">
            <v>#N/A</v>
          </cell>
          <cell r="N1222">
            <v>37</v>
          </cell>
          <cell r="O1222" t="e">
            <v>#N/A</v>
          </cell>
          <cell r="P1222" t="str">
            <v/>
          </cell>
          <cell r="Q1222" t="str">
            <v/>
          </cell>
          <cell r="R1222" t="e">
            <v>#N/A</v>
          </cell>
        </row>
        <row r="1223">
          <cell r="A1223" t="str">
            <v/>
          </cell>
          <cell r="B1223" t="str">
            <v/>
          </cell>
          <cell r="C1223" t="str">
            <v>Future</v>
          </cell>
          <cell r="D1223" t="e">
            <v>#N/A</v>
          </cell>
          <cell r="E1223">
            <v>-56.159169960474536</v>
          </cell>
          <cell r="F1223">
            <v>54.070079051383921</v>
          </cell>
          <cell r="G1223">
            <v>27.825019762845038</v>
          </cell>
          <cell r="H1223">
            <v>27.825019762845038</v>
          </cell>
          <cell r="I1223" t="e">
            <v>#N/A</v>
          </cell>
          <cell r="J1223" t="e">
            <v>#N/A</v>
          </cell>
          <cell r="K1223">
            <v>42</v>
          </cell>
          <cell r="L1223">
            <v>32</v>
          </cell>
          <cell r="M1223" t="e">
            <v>#N/A</v>
          </cell>
          <cell r="N1223">
            <v>37</v>
          </cell>
          <cell r="O1223" t="e">
            <v>#N/A</v>
          </cell>
          <cell r="P1223" t="str">
            <v/>
          </cell>
          <cell r="Q1223" t="str">
            <v/>
          </cell>
          <cell r="R1223" t="e">
            <v>#N/A</v>
          </cell>
        </row>
        <row r="1224">
          <cell r="A1224" t="str">
            <v/>
          </cell>
          <cell r="B1224" t="str">
            <v/>
          </cell>
          <cell r="C1224" t="str">
            <v>Future</v>
          </cell>
          <cell r="D1224" t="e">
            <v>#N/A</v>
          </cell>
          <cell r="E1224">
            <v>-56.295810276680072</v>
          </cell>
          <cell r="F1224">
            <v>54.099446640316728</v>
          </cell>
          <cell r="G1224">
            <v>27.81486166007824</v>
          </cell>
          <cell r="H1224">
            <v>27.81486166007824</v>
          </cell>
          <cell r="I1224" t="e">
            <v>#N/A</v>
          </cell>
          <cell r="J1224" t="e">
            <v>#N/A</v>
          </cell>
          <cell r="K1224">
            <v>42</v>
          </cell>
          <cell r="L1224">
            <v>32</v>
          </cell>
          <cell r="M1224" t="e">
            <v>#N/A</v>
          </cell>
          <cell r="N1224">
            <v>37</v>
          </cell>
          <cell r="O1224" t="e">
            <v>#N/A</v>
          </cell>
          <cell r="P1224" t="str">
            <v/>
          </cell>
          <cell r="Q1224" t="str">
            <v/>
          </cell>
          <cell r="R1224" t="e">
            <v>#N/A</v>
          </cell>
        </row>
        <row r="1225">
          <cell r="A1225" t="str">
            <v/>
          </cell>
          <cell r="B1225" t="str">
            <v/>
          </cell>
          <cell r="C1225" t="str">
            <v>Future</v>
          </cell>
          <cell r="D1225" t="e">
            <v>#N/A</v>
          </cell>
          <cell r="E1225">
            <v>-56.432450592885608</v>
          </cell>
          <cell r="F1225">
            <v>54.128814229249535</v>
          </cell>
          <cell r="G1225">
            <v>27.804703557311441</v>
          </cell>
          <cell r="H1225">
            <v>27.804703557311441</v>
          </cell>
          <cell r="I1225" t="e">
            <v>#N/A</v>
          </cell>
          <cell r="J1225" t="e">
            <v>#N/A</v>
          </cell>
          <cell r="K1225">
            <v>42</v>
          </cell>
          <cell r="L1225">
            <v>32</v>
          </cell>
          <cell r="M1225" t="e">
            <v>#N/A</v>
          </cell>
          <cell r="N1225">
            <v>37</v>
          </cell>
          <cell r="O1225" t="e">
            <v>#N/A</v>
          </cell>
          <cell r="P1225" t="str">
            <v/>
          </cell>
          <cell r="Q1225" t="str">
            <v/>
          </cell>
          <cell r="R1225" t="e">
            <v>#N/A</v>
          </cell>
        </row>
        <row r="1226">
          <cell r="A1226" t="str">
            <v/>
          </cell>
          <cell r="B1226" t="str">
            <v/>
          </cell>
          <cell r="C1226" t="str">
            <v>Future</v>
          </cell>
          <cell r="D1226" t="e">
            <v>#N/A</v>
          </cell>
          <cell r="E1226">
            <v>-56.569090909091145</v>
          </cell>
          <cell r="F1226">
            <v>54.158181818182342</v>
          </cell>
          <cell r="G1226">
            <v>27.794545454544643</v>
          </cell>
          <cell r="H1226">
            <v>27.794545454544643</v>
          </cell>
          <cell r="I1226" t="e">
            <v>#N/A</v>
          </cell>
          <cell r="J1226" t="e">
            <v>#N/A</v>
          </cell>
          <cell r="K1226">
            <v>42</v>
          </cell>
          <cell r="L1226">
            <v>32</v>
          </cell>
          <cell r="M1226" t="e">
            <v>#N/A</v>
          </cell>
          <cell r="N1226">
            <v>37</v>
          </cell>
          <cell r="O1226" t="e">
            <v>#N/A</v>
          </cell>
          <cell r="P1226" t="str">
            <v/>
          </cell>
          <cell r="Q1226" t="str">
            <v/>
          </cell>
          <cell r="R1226" t="e">
            <v>#N/A</v>
          </cell>
        </row>
        <row r="1227">
          <cell r="A1227" t="str">
            <v/>
          </cell>
          <cell r="B1227" t="str">
            <v/>
          </cell>
          <cell r="C1227" t="str">
            <v>Future</v>
          </cell>
          <cell r="D1227" t="e">
            <v>#N/A</v>
          </cell>
          <cell r="E1227">
            <v>-56.705731225296681</v>
          </cell>
          <cell r="F1227">
            <v>54.187549407115149</v>
          </cell>
          <cell r="G1227">
            <v>27.784387351777845</v>
          </cell>
          <cell r="H1227">
            <v>27.784387351777845</v>
          </cell>
          <cell r="I1227" t="e">
            <v>#N/A</v>
          </cell>
          <cell r="J1227" t="e">
            <v>#N/A</v>
          </cell>
          <cell r="K1227">
            <v>42</v>
          </cell>
          <cell r="L1227">
            <v>32</v>
          </cell>
          <cell r="M1227" t="e">
            <v>#N/A</v>
          </cell>
          <cell r="N1227">
            <v>37</v>
          </cell>
          <cell r="O1227" t="e">
            <v>#N/A</v>
          </cell>
          <cell r="P1227" t="str">
            <v/>
          </cell>
          <cell r="Q1227" t="str">
            <v/>
          </cell>
          <cell r="R1227" t="e">
            <v>#N/A</v>
          </cell>
        </row>
        <row r="1228">
          <cell r="A1228" t="str">
            <v/>
          </cell>
          <cell r="B1228" t="str">
            <v/>
          </cell>
          <cell r="C1228" t="str">
            <v>Future</v>
          </cell>
          <cell r="D1228" t="e">
            <v>#N/A</v>
          </cell>
          <cell r="E1228">
            <v>-56.842371541502217</v>
          </cell>
          <cell r="F1228">
            <v>54.216916996047956</v>
          </cell>
          <cell r="G1228">
            <v>27.774229249011047</v>
          </cell>
          <cell r="H1228">
            <v>27.774229249011047</v>
          </cell>
          <cell r="I1228" t="e">
            <v>#N/A</v>
          </cell>
          <cell r="J1228" t="e">
            <v>#N/A</v>
          </cell>
          <cell r="K1228">
            <v>42</v>
          </cell>
          <cell r="L1228">
            <v>32</v>
          </cell>
          <cell r="M1228" t="e">
            <v>#N/A</v>
          </cell>
          <cell r="N1228">
            <v>37</v>
          </cell>
          <cell r="O1228" t="e">
            <v>#N/A</v>
          </cell>
          <cell r="P1228" t="str">
            <v/>
          </cell>
          <cell r="Q1228" t="str">
            <v/>
          </cell>
          <cell r="R1228" t="e">
            <v>#N/A</v>
          </cell>
        </row>
        <row r="1229">
          <cell r="A1229" t="str">
            <v/>
          </cell>
          <cell r="B1229" t="str">
            <v/>
          </cell>
          <cell r="C1229" t="str">
            <v>Future</v>
          </cell>
          <cell r="D1229" t="e">
            <v>#N/A</v>
          </cell>
          <cell r="E1229">
            <v>-56.979011857707754</v>
          </cell>
          <cell r="F1229">
            <v>54.246284584980764</v>
          </cell>
          <cell r="G1229">
            <v>27.764071146244248</v>
          </cell>
          <cell r="H1229">
            <v>27.764071146244248</v>
          </cell>
          <cell r="I1229" t="e">
            <v>#N/A</v>
          </cell>
          <cell r="J1229" t="e">
            <v>#N/A</v>
          </cell>
          <cell r="K1229">
            <v>42</v>
          </cell>
          <cell r="L1229">
            <v>32</v>
          </cell>
          <cell r="M1229" t="e">
            <v>#N/A</v>
          </cell>
          <cell r="N1229">
            <v>37</v>
          </cell>
          <cell r="O1229" t="e">
            <v>#N/A</v>
          </cell>
          <cell r="P1229" t="str">
            <v/>
          </cell>
          <cell r="Q1229" t="str">
            <v/>
          </cell>
          <cell r="R1229" t="e">
            <v>#N/A</v>
          </cell>
        </row>
        <row r="1230">
          <cell r="A1230" t="str">
            <v/>
          </cell>
          <cell r="B1230" t="str">
            <v/>
          </cell>
          <cell r="C1230" t="str">
            <v>Future</v>
          </cell>
          <cell r="D1230" t="e">
            <v>#N/A</v>
          </cell>
          <cell r="E1230">
            <v>-57.11565217391329</v>
          </cell>
          <cell r="F1230">
            <v>54.275652173913571</v>
          </cell>
          <cell r="G1230">
            <v>27.75391304347745</v>
          </cell>
          <cell r="H1230">
            <v>27.75391304347745</v>
          </cell>
          <cell r="I1230" t="e">
            <v>#N/A</v>
          </cell>
          <cell r="J1230" t="e">
            <v>#N/A</v>
          </cell>
          <cell r="K1230">
            <v>42</v>
          </cell>
          <cell r="L1230">
            <v>32</v>
          </cell>
          <cell r="M1230" t="e">
            <v>#N/A</v>
          </cell>
          <cell r="N1230">
            <v>37</v>
          </cell>
          <cell r="O1230" t="e">
            <v>#N/A</v>
          </cell>
          <cell r="P1230" t="str">
            <v/>
          </cell>
          <cell r="Q1230" t="str">
            <v/>
          </cell>
          <cell r="R1230" t="e">
            <v>#N/A</v>
          </cell>
        </row>
        <row r="1231">
          <cell r="A1231" t="str">
            <v/>
          </cell>
          <cell r="B1231" t="str">
            <v/>
          </cell>
          <cell r="C1231" t="str">
            <v>Future</v>
          </cell>
          <cell r="D1231" t="e">
            <v>#N/A</v>
          </cell>
          <cell r="E1231">
            <v>-57.252292490118826</v>
          </cell>
          <cell r="F1231">
            <v>54.305019762846378</v>
          </cell>
          <cell r="G1231">
            <v>27.743754940710652</v>
          </cell>
          <cell r="H1231">
            <v>27.743754940710652</v>
          </cell>
          <cell r="I1231" t="e">
            <v>#N/A</v>
          </cell>
          <cell r="J1231" t="e">
            <v>#N/A</v>
          </cell>
          <cell r="K1231">
            <v>42</v>
          </cell>
          <cell r="L1231">
            <v>32</v>
          </cell>
          <cell r="M1231" t="e">
            <v>#N/A</v>
          </cell>
          <cell r="N1231">
            <v>37</v>
          </cell>
          <cell r="O1231" t="e">
            <v>#N/A</v>
          </cell>
          <cell r="P1231" t="str">
            <v/>
          </cell>
          <cell r="Q1231" t="str">
            <v/>
          </cell>
          <cell r="R1231" t="e">
            <v>#N/A</v>
          </cell>
        </row>
        <row r="1232">
          <cell r="A1232" t="str">
            <v/>
          </cell>
          <cell r="B1232" t="str">
            <v/>
          </cell>
          <cell r="C1232" t="str">
            <v>Future</v>
          </cell>
          <cell r="D1232" t="e">
            <v>#N/A</v>
          </cell>
          <cell r="E1232">
            <v>-57.388932806324362</v>
          </cell>
          <cell r="F1232">
            <v>54.334387351779185</v>
          </cell>
          <cell r="G1232">
            <v>27.733596837943853</v>
          </cell>
          <cell r="H1232">
            <v>27.733596837943853</v>
          </cell>
          <cell r="I1232" t="e">
            <v>#N/A</v>
          </cell>
          <cell r="J1232" t="e">
            <v>#N/A</v>
          </cell>
          <cell r="K1232">
            <v>42</v>
          </cell>
          <cell r="L1232">
            <v>32</v>
          </cell>
          <cell r="M1232" t="e">
            <v>#N/A</v>
          </cell>
          <cell r="N1232">
            <v>37</v>
          </cell>
          <cell r="O1232" t="e">
            <v>#N/A</v>
          </cell>
          <cell r="P1232" t="str">
            <v/>
          </cell>
          <cell r="Q1232" t="str">
            <v/>
          </cell>
          <cell r="R1232" t="e">
            <v>#N/A</v>
          </cell>
        </row>
        <row r="1233">
          <cell r="A1233" t="str">
            <v/>
          </cell>
          <cell r="B1233" t="str">
            <v/>
          </cell>
          <cell r="C1233" t="str">
            <v>Future</v>
          </cell>
          <cell r="D1233" t="e">
            <v>#N/A</v>
          </cell>
          <cell r="E1233">
            <v>-57.525573122529899</v>
          </cell>
          <cell r="F1233">
            <v>54.363754940711992</v>
          </cell>
          <cell r="G1233">
            <v>27.723438735177055</v>
          </cell>
          <cell r="H1233">
            <v>27.723438735177055</v>
          </cell>
          <cell r="I1233" t="e">
            <v>#N/A</v>
          </cell>
          <cell r="J1233" t="e">
            <v>#N/A</v>
          </cell>
          <cell r="K1233">
            <v>42</v>
          </cell>
          <cell r="L1233">
            <v>32</v>
          </cell>
          <cell r="M1233" t="e">
            <v>#N/A</v>
          </cell>
          <cell r="N1233">
            <v>37</v>
          </cell>
          <cell r="O1233" t="e">
            <v>#N/A</v>
          </cell>
          <cell r="P1233" t="str">
            <v/>
          </cell>
          <cell r="Q1233" t="str">
            <v/>
          </cell>
          <cell r="R1233" t="e">
            <v>#N/A</v>
          </cell>
        </row>
        <row r="1234">
          <cell r="A1234" t="str">
            <v/>
          </cell>
          <cell r="B1234" t="str">
            <v/>
          </cell>
          <cell r="C1234" t="str">
            <v>Future</v>
          </cell>
          <cell r="D1234" t="e">
            <v>#N/A</v>
          </cell>
          <cell r="E1234">
            <v>-57.662213438735435</v>
          </cell>
          <cell r="F1234">
            <v>54.393122529644799</v>
          </cell>
          <cell r="G1234">
            <v>27.713280632410257</v>
          </cell>
          <cell r="H1234">
            <v>27.713280632410257</v>
          </cell>
          <cell r="I1234" t="e">
            <v>#N/A</v>
          </cell>
          <cell r="J1234" t="e">
            <v>#N/A</v>
          </cell>
          <cell r="K1234">
            <v>42</v>
          </cell>
          <cell r="L1234">
            <v>32</v>
          </cell>
          <cell r="M1234" t="e">
            <v>#N/A</v>
          </cell>
          <cell r="N1234">
            <v>37</v>
          </cell>
          <cell r="O1234" t="e">
            <v>#N/A</v>
          </cell>
          <cell r="P1234" t="str">
            <v/>
          </cell>
          <cell r="Q1234" t="str">
            <v/>
          </cell>
          <cell r="R1234" t="e">
            <v>#N/A</v>
          </cell>
        </row>
        <row r="1235">
          <cell r="A1235" t="str">
            <v/>
          </cell>
          <cell r="B1235" t="str">
            <v/>
          </cell>
          <cell r="C1235" t="str">
            <v>Future</v>
          </cell>
          <cell r="D1235" t="e">
            <v>#N/A</v>
          </cell>
          <cell r="E1235">
            <v>-57.798853754940971</v>
          </cell>
          <cell r="F1235">
            <v>54.422490118577606</v>
          </cell>
          <cell r="G1235">
            <v>27.703122529643458</v>
          </cell>
          <cell r="H1235">
            <v>27.703122529643458</v>
          </cell>
          <cell r="I1235" t="e">
            <v>#N/A</v>
          </cell>
          <cell r="J1235" t="e">
            <v>#N/A</v>
          </cell>
          <cell r="K1235">
            <v>42</v>
          </cell>
          <cell r="L1235">
            <v>32</v>
          </cell>
          <cell r="M1235" t="e">
            <v>#N/A</v>
          </cell>
          <cell r="N1235">
            <v>37</v>
          </cell>
          <cell r="O1235" t="e">
            <v>#N/A</v>
          </cell>
          <cell r="P1235" t="str">
            <v/>
          </cell>
          <cell r="Q1235" t="str">
            <v/>
          </cell>
          <cell r="R1235" t="e">
            <v>#N/A</v>
          </cell>
        </row>
        <row r="1236">
          <cell r="A1236" t="str">
            <v/>
          </cell>
          <cell r="B1236" t="str">
            <v/>
          </cell>
          <cell r="C1236" t="str">
            <v>Future</v>
          </cell>
          <cell r="D1236" t="e">
            <v>#N/A</v>
          </cell>
          <cell r="E1236">
            <v>-57.935494071146508</v>
          </cell>
          <cell r="F1236">
            <v>54.451857707510413</v>
          </cell>
          <cell r="G1236">
            <v>27.69296442687666</v>
          </cell>
          <cell r="H1236">
            <v>27.69296442687666</v>
          </cell>
          <cell r="I1236" t="e">
            <v>#N/A</v>
          </cell>
          <cell r="J1236" t="e">
            <v>#N/A</v>
          </cell>
          <cell r="K1236">
            <v>42</v>
          </cell>
          <cell r="L1236">
            <v>32</v>
          </cell>
          <cell r="M1236" t="e">
            <v>#N/A</v>
          </cell>
          <cell r="N1236">
            <v>37</v>
          </cell>
          <cell r="O1236" t="e">
            <v>#N/A</v>
          </cell>
          <cell r="P1236" t="str">
            <v/>
          </cell>
          <cell r="Q1236" t="str">
            <v/>
          </cell>
          <cell r="R1236" t="e">
            <v>#N/A</v>
          </cell>
        </row>
        <row r="1237">
          <cell r="A1237" t="str">
            <v/>
          </cell>
          <cell r="B1237" t="str">
            <v/>
          </cell>
          <cell r="C1237" t="str">
            <v>Future</v>
          </cell>
          <cell r="D1237" t="e">
            <v>#N/A</v>
          </cell>
          <cell r="E1237">
            <v>-58.072134387352044</v>
          </cell>
          <cell r="F1237">
            <v>54.48122529644322</v>
          </cell>
          <cell r="G1237">
            <v>27.682806324109862</v>
          </cell>
          <cell r="H1237">
            <v>27.682806324109862</v>
          </cell>
          <cell r="I1237" t="e">
            <v>#N/A</v>
          </cell>
          <cell r="J1237" t="e">
            <v>#N/A</v>
          </cell>
          <cell r="K1237">
            <v>42</v>
          </cell>
          <cell r="L1237">
            <v>32</v>
          </cell>
          <cell r="M1237" t="e">
            <v>#N/A</v>
          </cell>
          <cell r="N1237">
            <v>37</v>
          </cell>
          <cell r="O1237" t="e">
            <v>#N/A</v>
          </cell>
          <cell r="P1237" t="str">
            <v/>
          </cell>
          <cell r="Q1237" t="str">
            <v/>
          </cell>
          <cell r="R1237" t="e">
            <v>#N/A</v>
          </cell>
        </row>
        <row r="1238">
          <cell r="A1238" t="str">
            <v/>
          </cell>
          <cell r="B1238" t="str">
            <v/>
          </cell>
          <cell r="C1238" t="str">
            <v>Future</v>
          </cell>
          <cell r="D1238" t="e">
            <v>#N/A</v>
          </cell>
          <cell r="E1238">
            <v>-58.20877470355758</v>
          </cell>
          <cell r="F1238">
            <v>54.510592885376028</v>
          </cell>
          <cell r="G1238">
            <v>27.672648221343064</v>
          </cell>
          <cell r="H1238">
            <v>27.672648221343064</v>
          </cell>
          <cell r="I1238" t="e">
            <v>#N/A</v>
          </cell>
          <cell r="J1238" t="e">
            <v>#N/A</v>
          </cell>
          <cell r="K1238">
            <v>42</v>
          </cell>
          <cell r="L1238">
            <v>32</v>
          </cell>
          <cell r="M1238" t="e">
            <v>#N/A</v>
          </cell>
          <cell r="N1238">
            <v>37</v>
          </cell>
          <cell r="O1238" t="e">
            <v>#N/A</v>
          </cell>
          <cell r="P1238" t="str">
            <v/>
          </cell>
          <cell r="Q1238" t="str">
            <v/>
          </cell>
          <cell r="R1238" t="e">
            <v>#N/A</v>
          </cell>
        </row>
        <row r="1239">
          <cell r="A1239" t="str">
            <v/>
          </cell>
          <cell r="B1239" t="str">
            <v/>
          </cell>
          <cell r="C1239" t="str">
            <v>Future</v>
          </cell>
          <cell r="D1239" t="e">
            <v>#N/A</v>
          </cell>
          <cell r="E1239">
            <v>-58.345415019763117</v>
          </cell>
          <cell r="F1239">
            <v>54.539960474308835</v>
          </cell>
          <cell r="G1239">
            <v>27.662490118576265</v>
          </cell>
          <cell r="H1239">
            <v>27.662490118576265</v>
          </cell>
          <cell r="I1239" t="e">
            <v>#N/A</v>
          </cell>
          <cell r="J1239" t="e">
            <v>#N/A</v>
          </cell>
          <cell r="K1239">
            <v>42</v>
          </cell>
          <cell r="L1239">
            <v>32</v>
          </cell>
          <cell r="M1239" t="e">
            <v>#N/A</v>
          </cell>
          <cell r="N1239">
            <v>37</v>
          </cell>
          <cell r="O1239" t="e">
            <v>#N/A</v>
          </cell>
          <cell r="P1239" t="str">
            <v/>
          </cell>
          <cell r="Q1239" t="str">
            <v/>
          </cell>
          <cell r="R1239" t="e">
            <v>#N/A</v>
          </cell>
        </row>
        <row r="1240">
          <cell r="A1240" t="str">
            <v/>
          </cell>
          <cell r="B1240" t="str">
            <v/>
          </cell>
          <cell r="C1240" t="str">
            <v>Future</v>
          </cell>
          <cell r="D1240" t="e">
            <v>#N/A</v>
          </cell>
          <cell r="E1240">
            <v>-58.482055335968653</v>
          </cell>
          <cell r="F1240">
            <v>54.569328063241642</v>
          </cell>
          <cell r="G1240">
            <v>27.652332015809467</v>
          </cell>
          <cell r="H1240">
            <v>27.652332015809467</v>
          </cell>
          <cell r="I1240" t="e">
            <v>#N/A</v>
          </cell>
          <cell r="J1240" t="e">
            <v>#N/A</v>
          </cell>
          <cell r="K1240">
            <v>42</v>
          </cell>
          <cell r="L1240">
            <v>32</v>
          </cell>
          <cell r="M1240" t="e">
            <v>#N/A</v>
          </cell>
          <cell r="N1240">
            <v>37</v>
          </cell>
          <cell r="O1240" t="e">
            <v>#N/A</v>
          </cell>
          <cell r="P1240" t="str">
            <v/>
          </cell>
          <cell r="Q1240" t="str">
            <v/>
          </cell>
          <cell r="R1240" t="e">
            <v>#N/A</v>
          </cell>
        </row>
        <row r="1241">
          <cell r="A1241" t="str">
            <v/>
          </cell>
          <cell r="B1241" t="str">
            <v/>
          </cell>
          <cell r="C1241" t="str">
            <v>Future</v>
          </cell>
          <cell r="D1241" t="e">
            <v>#N/A</v>
          </cell>
          <cell r="E1241">
            <v>-58.618695652174189</v>
          </cell>
          <cell r="F1241">
            <v>54.598695652174449</v>
          </cell>
          <cell r="G1241">
            <v>27.642173913042669</v>
          </cell>
          <cell r="H1241">
            <v>27.642173913042669</v>
          </cell>
          <cell r="I1241" t="e">
            <v>#N/A</v>
          </cell>
          <cell r="J1241" t="e">
            <v>#N/A</v>
          </cell>
          <cell r="K1241">
            <v>42</v>
          </cell>
          <cell r="L1241">
            <v>32</v>
          </cell>
          <cell r="M1241" t="e">
            <v>#N/A</v>
          </cell>
          <cell r="N1241">
            <v>37</v>
          </cell>
          <cell r="O1241" t="e">
            <v>#N/A</v>
          </cell>
          <cell r="P1241" t="str">
            <v/>
          </cell>
          <cell r="Q1241" t="str">
            <v/>
          </cell>
          <cell r="R1241" t="e">
            <v>#N/A</v>
          </cell>
        </row>
        <row r="1242">
          <cell r="A1242" t="str">
            <v/>
          </cell>
          <cell r="B1242" t="str">
            <v/>
          </cell>
          <cell r="C1242" t="str">
            <v>Future</v>
          </cell>
          <cell r="D1242" t="e">
            <v>#N/A</v>
          </cell>
          <cell r="E1242">
            <v>-58.755335968379725</v>
          </cell>
          <cell r="F1242">
            <v>54.628063241107256</v>
          </cell>
          <cell r="G1242">
            <v>27.63201581027587</v>
          </cell>
          <cell r="H1242">
            <v>27.63201581027587</v>
          </cell>
          <cell r="I1242" t="e">
            <v>#N/A</v>
          </cell>
          <cell r="J1242" t="e">
            <v>#N/A</v>
          </cell>
          <cell r="K1242">
            <v>42</v>
          </cell>
          <cell r="L1242">
            <v>32</v>
          </cell>
          <cell r="M1242" t="e">
            <v>#N/A</v>
          </cell>
          <cell r="N1242">
            <v>37</v>
          </cell>
          <cell r="O1242" t="e">
            <v>#N/A</v>
          </cell>
          <cell r="P1242" t="str">
            <v/>
          </cell>
          <cell r="Q1242" t="str">
            <v/>
          </cell>
          <cell r="R1242" t="e">
            <v>#N/A</v>
          </cell>
        </row>
        <row r="1243">
          <cell r="A1243" t="str">
            <v/>
          </cell>
          <cell r="B1243" t="str">
            <v/>
          </cell>
          <cell r="C1243" t="str">
            <v>Future</v>
          </cell>
          <cell r="D1243" t="e">
            <v>#N/A</v>
          </cell>
          <cell r="E1243">
            <v>-58.891976284585262</v>
          </cell>
          <cell r="F1243">
            <v>54.657430830040063</v>
          </cell>
          <cell r="G1243">
            <v>27.621857707509072</v>
          </cell>
          <cell r="H1243">
            <v>27.621857707509072</v>
          </cell>
          <cell r="I1243" t="e">
            <v>#N/A</v>
          </cell>
          <cell r="J1243" t="e">
            <v>#N/A</v>
          </cell>
          <cell r="K1243">
            <v>42</v>
          </cell>
          <cell r="L1243">
            <v>32</v>
          </cell>
          <cell r="M1243" t="e">
            <v>#N/A</v>
          </cell>
          <cell r="N1243">
            <v>37</v>
          </cell>
          <cell r="O1243" t="e">
            <v>#N/A</v>
          </cell>
          <cell r="P1243" t="str">
            <v/>
          </cell>
          <cell r="Q1243" t="str">
            <v/>
          </cell>
          <cell r="R1243" t="e">
            <v>#N/A</v>
          </cell>
        </row>
        <row r="1244">
          <cell r="A1244" t="str">
            <v/>
          </cell>
          <cell r="B1244" t="str">
            <v/>
          </cell>
          <cell r="C1244" t="str">
            <v>Future</v>
          </cell>
          <cell r="D1244" t="e">
            <v>#N/A</v>
          </cell>
          <cell r="E1244">
            <v>-59.028616600790798</v>
          </cell>
          <cell r="F1244">
            <v>54.68679841897287</v>
          </cell>
          <cell r="G1244">
            <v>27.611699604742274</v>
          </cell>
          <cell r="H1244">
            <v>27.611699604742274</v>
          </cell>
          <cell r="I1244" t="e">
            <v>#N/A</v>
          </cell>
          <cell r="J1244" t="e">
            <v>#N/A</v>
          </cell>
          <cell r="K1244">
            <v>42</v>
          </cell>
          <cell r="L1244">
            <v>32</v>
          </cell>
          <cell r="M1244" t="e">
            <v>#N/A</v>
          </cell>
          <cell r="N1244">
            <v>37</v>
          </cell>
          <cell r="O1244" t="e">
            <v>#N/A</v>
          </cell>
          <cell r="P1244" t="str">
            <v/>
          </cell>
          <cell r="Q1244" t="str">
            <v/>
          </cell>
          <cell r="R1244" t="e">
            <v>#N/A</v>
          </cell>
        </row>
        <row r="1245">
          <cell r="A1245" t="str">
            <v/>
          </cell>
          <cell r="B1245" t="str">
            <v/>
          </cell>
          <cell r="C1245" t="str">
            <v>Future</v>
          </cell>
          <cell r="D1245" t="e">
            <v>#N/A</v>
          </cell>
          <cell r="E1245">
            <v>-59.165256916996334</v>
          </cell>
          <cell r="F1245">
            <v>54.716166007905677</v>
          </cell>
          <cell r="G1245">
            <v>27.601541501975476</v>
          </cell>
          <cell r="H1245">
            <v>27.601541501975476</v>
          </cell>
          <cell r="I1245" t="e">
            <v>#N/A</v>
          </cell>
          <cell r="J1245" t="e">
            <v>#N/A</v>
          </cell>
          <cell r="K1245">
            <v>42</v>
          </cell>
          <cell r="L1245">
            <v>32</v>
          </cell>
          <cell r="M1245" t="e">
            <v>#N/A</v>
          </cell>
          <cell r="N1245">
            <v>37</v>
          </cell>
          <cell r="O1245" t="e">
            <v>#N/A</v>
          </cell>
          <cell r="P1245" t="str">
            <v/>
          </cell>
          <cell r="Q1245" t="str">
            <v/>
          </cell>
          <cell r="R1245" t="e">
            <v>#N/A</v>
          </cell>
        </row>
        <row r="1246">
          <cell r="A1246" t="str">
            <v/>
          </cell>
          <cell r="B1246" t="str">
            <v/>
          </cell>
          <cell r="C1246" t="str">
            <v>Future</v>
          </cell>
          <cell r="D1246" t="e">
            <v>#N/A</v>
          </cell>
          <cell r="E1246">
            <v>-59.301897233201871</v>
          </cell>
          <cell r="F1246">
            <v>54.745533596838484</v>
          </cell>
          <cell r="G1246">
            <v>27.591383399208677</v>
          </cell>
          <cell r="H1246">
            <v>27.591383399208677</v>
          </cell>
          <cell r="I1246" t="e">
            <v>#N/A</v>
          </cell>
          <cell r="J1246" t="e">
            <v>#N/A</v>
          </cell>
          <cell r="K1246">
            <v>42</v>
          </cell>
          <cell r="L1246">
            <v>32</v>
          </cell>
          <cell r="M1246" t="e">
            <v>#N/A</v>
          </cell>
          <cell r="N1246">
            <v>37</v>
          </cell>
          <cell r="O1246" t="e">
            <v>#N/A</v>
          </cell>
          <cell r="P1246" t="str">
            <v/>
          </cell>
          <cell r="Q1246" t="str">
            <v/>
          </cell>
          <cell r="R1246" t="e">
            <v>#N/A</v>
          </cell>
        </row>
        <row r="1247">
          <cell r="A1247" t="str">
            <v/>
          </cell>
          <cell r="B1247" t="str">
            <v/>
          </cell>
          <cell r="C1247" t="str">
            <v>Future</v>
          </cell>
          <cell r="D1247" t="e">
            <v>#N/A</v>
          </cell>
          <cell r="E1247">
            <v>-59.438537549407407</v>
          </cell>
          <cell r="F1247">
            <v>54.774901185771292</v>
          </cell>
          <cell r="G1247">
            <v>27.581225296441879</v>
          </cell>
          <cell r="H1247">
            <v>27.581225296441879</v>
          </cell>
          <cell r="I1247" t="e">
            <v>#N/A</v>
          </cell>
          <cell r="J1247" t="e">
            <v>#N/A</v>
          </cell>
          <cell r="K1247">
            <v>42</v>
          </cell>
          <cell r="L1247">
            <v>32</v>
          </cell>
          <cell r="M1247" t="e">
            <v>#N/A</v>
          </cell>
          <cell r="N1247">
            <v>37</v>
          </cell>
          <cell r="O1247" t="e">
            <v>#N/A</v>
          </cell>
          <cell r="P1247" t="str">
            <v/>
          </cell>
          <cell r="Q1247" t="str">
            <v/>
          </cell>
          <cell r="R1247" t="e">
            <v>#N/A</v>
          </cell>
        </row>
        <row r="1248">
          <cell r="A1248" t="str">
            <v/>
          </cell>
          <cell r="B1248" t="str">
            <v/>
          </cell>
          <cell r="C1248" t="str">
            <v>Future</v>
          </cell>
          <cell r="D1248" t="e">
            <v>#N/A</v>
          </cell>
          <cell r="E1248">
            <v>-59.575177865612943</v>
          </cell>
          <cell r="F1248">
            <v>54.804268774704099</v>
          </cell>
          <cell r="G1248">
            <v>27.571067193675081</v>
          </cell>
          <cell r="H1248">
            <v>27.571067193675081</v>
          </cell>
          <cell r="I1248" t="e">
            <v>#N/A</v>
          </cell>
          <cell r="J1248" t="e">
            <v>#N/A</v>
          </cell>
          <cell r="K1248">
            <v>42</v>
          </cell>
          <cell r="L1248">
            <v>32</v>
          </cell>
          <cell r="M1248" t="e">
            <v>#N/A</v>
          </cell>
          <cell r="N1248">
            <v>37</v>
          </cell>
          <cell r="O1248" t="e">
            <v>#N/A</v>
          </cell>
          <cell r="P1248" t="str">
            <v/>
          </cell>
          <cell r="Q1248" t="str">
            <v/>
          </cell>
          <cell r="R1248" t="e">
            <v>#N/A</v>
          </cell>
        </row>
        <row r="1249">
          <cell r="A1249" t="str">
            <v/>
          </cell>
          <cell r="B1249" t="str">
            <v/>
          </cell>
          <cell r="C1249" t="str">
            <v>Future</v>
          </cell>
          <cell r="D1249" t="e">
            <v>#N/A</v>
          </cell>
          <cell r="E1249">
            <v>-59.711818181818479</v>
          </cell>
          <cell r="F1249">
            <v>54.833636363636906</v>
          </cell>
          <cell r="G1249">
            <v>27.560909090908282</v>
          </cell>
          <cell r="H1249">
            <v>27.560909090908282</v>
          </cell>
          <cell r="I1249" t="e">
            <v>#N/A</v>
          </cell>
          <cell r="J1249" t="e">
            <v>#N/A</v>
          </cell>
          <cell r="K1249">
            <v>42</v>
          </cell>
          <cell r="L1249">
            <v>32</v>
          </cell>
          <cell r="M1249" t="e">
            <v>#N/A</v>
          </cell>
          <cell r="N1249">
            <v>37</v>
          </cell>
          <cell r="O1249" t="e">
            <v>#N/A</v>
          </cell>
          <cell r="P1249" t="str">
            <v/>
          </cell>
          <cell r="Q1249" t="str">
            <v/>
          </cell>
          <cell r="R1249" t="e">
            <v>#N/A</v>
          </cell>
        </row>
        <row r="1250">
          <cell r="A1250" t="str">
            <v/>
          </cell>
          <cell r="B1250" t="str">
            <v/>
          </cell>
          <cell r="C1250" t="str">
            <v>Future</v>
          </cell>
          <cell r="D1250" t="e">
            <v>#N/A</v>
          </cell>
          <cell r="E1250">
            <v>-59.848458498024016</v>
          </cell>
          <cell r="F1250">
            <v>54.863003952569713</v>
          </cell>
          <cell r="G1250">
            <v>27.550750988141484</v>
          </cell>
          <cell r="H1250">
            <v>27.550750988141484</v>
          </cell>
          <cell r="I1250" t="e">
            <v>#N/A</v>
          </cell>
          <cell r="J1250" t="e">
            <v>#N/A</v>
          </cell>
          <cell r="K1250">
            <v>42</v>
          </cell>
          <cell r="L1250">
            <v>32</v>
          </cell>
          <cell r="M1250" t="e">
            <v>#N/A</v>
          </cell>
          <cell r="N1250">
            <v>37</v>
          </cell>
          <cell r="O1250" t="e">
            <v>#N/A</v>
          </cell>
          <cell r="P1250" t="str">
            <v/>
          </cell>
          <cell r="Q1250" t="str">
            <v/>
          </cell>
          <cell r="R1250" t="e">
            <v>#N/A</v>
          </cell>
        </row>
        <row r="1251">
          <cell r="A1251" t="str">
            <v/>
          </cell>
          <cell r="B1251" t="str">
            <v/>
          </cell>
          <cell r="C1251" t="str">
            <v>Future</v>
          </cell>
          <cell r="D1251" t="e">
            <v>#N/A</v>
          </cell>
          <cell r="E1251">
            <v>-59.985098814229552</v>
          </cell>
          <cell r="F1251">
            <v>54.89237154150252</v>
          </cell>
          <cell r="G1251">
            <v>27.540592885374686</v>
          </cell>
          <cell r="H1251">
            <v>27.540592885374686</v>
          </cell>
          <cell r="I1251" t="e">
            <v>#N/A</v>
          </cell>
          <cell r="J1251" t="e">
            <v>#N/A</v>
          </cell>
          <cell r="K1251">
            <v>42</v>
          </cell>
          <cell r="L1251">
            <v>32</v>
          </cell>
          <cell r="M1251" t="e">
            <v>#N/A</v>
          </cell>
          <cell r="N1251">
            <v>37</v>
          </cell>
          <cell r="O1251" t="e">
            <v>#N/A</v>
          </cell>
          <cell r="P1251" t="str">
            <v/>
          </cell>
          <cell r="Q1251" t="str">
            <v/>
          </cell>
          <cell r="R1251" t="e">
            <v>#N/A</v>
          </cell>
        </row>
        <row r="1252">
          <cell r="A1252" t="str">
            <v/>
          </cell>
          <cell r="B1252" t="str">
            <v/>
          </cell>
          <cell r="C1252" t="str">
            <v>Future</v>
          </cell>
          <cell r="D1252" t="e">
            <v>#N/A</v>
          </cell>
          <cell r="E1252">
            <v>-60.121739130435088</v>
          </cell>
          <cell r="F1252">
            <v>54.921739130435327</v>
          </cell>
          <cell r="G1252">
            <v>27.530434782607887</v>
          </cell>
          <cell r="H1252">
            <v>27.530434782607887</v>
          </cell>
          <cell r="I1252" t="e">
            <v>#N/A</v>
          </cell>
          <cell r="J1252" t="e">
            <v>#N/A</v>
          </cell>
          <cell r="K1252">
            <v>42</v>
          </cell>
          <cell r="L1252">
            <v>32</v>
          </cell>
          <cell r="M1252" t="e">
            <v>#N/A</v>
          </cell>
          <cell r="N1252">
            <v>37</v>
          </cell>
          <cell r="O1252" t="e">
            <v>#N/A</v>
          </cell>
          <cell r="P1252" t="str">
            <v/>
          </cell>
          <cell r="Q1252" t="str">
            <v/>
          </cell>
          <cell r="R1252" t="e">
            <v>#N/A</v>
          </cell>
        </row>
        <row r="1253">
          <cell r="A1253" t="str">
            <v/>
          </cell>
          <cell r="P1253" t="str">
            <v/>
          </cell>
          <cell r="Q1253" t="str">
            <v/>
          </cell>
        </row>
      </sheetData>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refreshError="1"/>
      <sheetData sheetId="48" refreshError="1"/>
      <sheetData sheetId="49"/>
      <sheetData sheetId="50" refreshError="1"/>
      <sheetData sheetId="51" refreshError="1"/>
      <sheetData sheetId="52" refreshError="1"/>
      <sheetData sheetId="5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WYE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777.7528584280044</v>
          </cell>
          <cell r="E12">
            <v>801.12416082795426</v>
          </cell>
          <cell r="F12">
            <v>480.32922347793647</v>
          </cell>
          <cell r="G12">
            <v>302.52535042870295</v>
          </cell>
          <cell r="H12">
            <v>-140.85209419635794</v>
          </cell>
          <cell r="BA12" t="str">
            <v>.</v>
          </cell>
        </row>
        <row r="13">
          <cell r="C13" t="str">
            <v>Pipeline products launching 2010–2015</v>
          </cell>
          <cell r="D13">
            <v>336.15000000000003</v>
          </cell>
          <cell r="E13">
            <v>486.05249999999995</v>
          </cell>
          <cell r="F13">
            <v>643.90925000000004</v>
          </cell>
          <cell r="G13">
            <v>903.77877650000028</v>
          </cell>
          <cell r="H13">
            <v>877.75910161390948</v>
          </cell>
          <cell r="BA13" t="str">
            <v>.</v>
          </cell>
        </row>
        <row r="14">
          <cell r="C14" t="str">
            <v>Products expiring 2010–15</v>
          </cell>
          <cell r="D14">
            <v>-1897.5856368349996</v>
          </cell>
          <cell r="E14">
            <v>-405.26704991404949</v>
          </cell>
          <cell r="F14">
            <v>-247.4564255044188</v>
          </cell>
          <cell r="G14">
            <v>-486.45018457921105</v>
          </cell>
          <cell r="H14">
            <v>-467.41580692871912</v>
          </cell>
          <cell r="BA14" t="str">
            <v>.</v>
          </cell>
        </row>
        <row r="15">
          <cell r="C15" t="str">
            <v>Net YOY change</v>
          </cell>
          <cell r="D15">
            <v>-783.68277840699375</v>
          </cell>
          <cell r="E15">
            <v>881.90961091390272</v>
          </cell>
          <cell r="F15">
            <v>876.78204797351646</v>
          </cell>
          <cell r="G15">
            <v>719.85394234949126</v>
          </cell>
          <cell r="H15">
            <v>269.4912004888356</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Product Mix 100%"/>
      <sheetName val="Traditional &amp; Other"/>
      <sheetName val="Per Pharma Traditional &amp; Biolog"/>
      <sheetName val="MW-Cache"/>
      <sheetName val="__FDSCACHE__"/>
      <sheetName val="2010PE"/>
      <sheetName val="2010PE_Ex BMY"/>
      <sheetName val="2012PE"/>
      <sheetName val="2012PE_Ex BMY"/>
      <sheetName val="short IS"/>
      <sheetName val="cost savings"/>
      <sheetName val="2015 top 10"/>
      <sheetName val="2010 top 10"/>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PFE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932.42080930800876</v>
          </cell>
          <cell r="E12">
            <v>1421.1035914094464</v>
          </cell>
          <cell r="F12">
            <v>1765.8870921994021</v>
          </cell>
          <cell r="G12">
            <v>1055.7675672663318</v>
          </cell>
          <cell r="H12">
            <v>577.39612356401631</v>
          </cell>
          <cell r="BA12" t="str">
            <v>.</v>
          </cell>
        </row>
        <row r="13">
          <cell r="C13" t="str">
            <v>Pipeline products launching 2010–2015</v>
          </cell>
          <cell r="D13">
            <v>488.88851560750004</v>
          </cell>
          <cell r="E13">
            <v>1032.6222136879819</v>
          </cell>
          <cell r="F13">
            <v>1194.3879881319788</v>
          </cell>
          <cell r="G13">
            <v>1586.9809373847056</v>
          </cell>
          <cell r="H13">
            <v>1912.159684759381</v>
          </cell>
          <cell r="BA13" t="str">
            <v>.</v>
          </cell>
        </row>
        <row r="14">
          <cell r="C14" t="str">
            <v>Products expiring 2010–15</v>
          </cell>
          <cell r="D14">
            <v>-3093.4238533699972</v>
          </cell>
          <cell r="E14">
            <v>-9244.3086322740019</v>
          </cell>
          <cell r="F14">
            <v>-2500.25038596167</v>
          </cell>
          <cell r="G14">
            <v>-2111.4680686893898</v>
          </cell>
          <cell r="H14">
            <v>-2273.0544201852699</v>
          </cell>
          <cell r="BA14" t="str">
            <v>.</v>
          </cell>
        </row>
        <row r="15">
          <cell r="C15" t="str">
            <v>Net YOY change</v>
          </cell>
          <cell r="D15">
            <v>-1672.1145284544909</v>
          </cell>
          <cell r="E15">
            <v>-6790.582827176564</v>
          </cell>
          <cell r="F15">
            <v>460.02469436970568</v>
          </cell>
          <cell r="G15">
            <v>531.28043596164935</v>
          </cell>
          <cell r="H15">
            <v>216.50138813813101</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ow r="1">
          <cell r="Y1" t="str">
            <v>SmartCharts</v>
          </cell>
          <cell r="BH1" t="str">
            <v>.</v>
          </cell>
        </row>
        <row r="2">
          <cell r="BH2" t="str">
            <v>.</v>
          </cell>
        </row>
        <row r="3">
          <cell r="BH3" t="str">
            <v>.</v>
          </cell>
        </row>
        <row r="6">
          <cell r="C6" t="str">
            <v>Input starting data point here:</v>
          </cell>
        </row>
        <row r="7">
          <cell r="C7" t="str">
            <v>2010E</v>
          </cell>
          <cell r="D7">
            <v>67.2</v>
          </cell>
        </row>
        <row r="8">
          <cell r="M8" t="str">
            <v>inv series</v>
          </cell>
          <cell r="P8" t="str">
            <v>clean labels</v>
          </cell>
        </row>
        <row r="9">
          <cell r="M9" t="str">
            <v>for labels</v>
          </cell>
        </row>
        <row r="10">
          <cell r="C10" t="str">
            <v>Input increments here:</v>
          </cell>
          <cell r="G10">
            <v>3</v>
          </cell>
          <cell r="H10" t="str">
            <v>Invisible</v>
          </cell>
          <cell r="I10" t="str">
            <v>Final</v>
          </cell>
          <cell r="J10" t="str">
            <v>Minus</v>
          </cell>
          <cell r="K10" t="str">
            <v>Plus</v>
          </cell>
          <cell r="L10" t="str">
            <v>Initial</v>
          </cell>
          <cell r="M10" t="str">
            <v>inside1</v>
          </cell>
          <cell r="N10" t="str">
            <v>inside2</v>
          </cell>
          <cell r="O10" t="str">
            <v>outside</v>
          </cell>
          <cell r="P10" t="str">
            <v>labfinal</v>
          </cell>
          <cell r="Q10" t="str">
            <v>labminus</v>
          </cell>
          <cell r="R10" t="str">
            <v>labplus</v>
          </cell>
          <cell r="S10" t="str">
            <v>labinitial</v>
          </cell>
          <cell r="T10" t="str">
            <v>labinside1</v>
          </cell>
          <cell r="U10" t="str">
            <v>labinside2</v>
          </cell>
        </row>
        <row r="11">
          <cell r="H11">
            <v>0</v>
          </cell>
        </row>
        <row r="12">
          <cell r="L12">
            <v>67.2</v>
          </cell>
          <cell r="M12">
            <v>0</v>
          </cell>
          <cell r="N12">
            <v>0</v>
          </cell>
          <cell r="O12">
            <v>0</v>
          </cell>
          <cell r="P12" t="str">
            <v/>
          </cell>
          <cell r="Q12" t="str">
            <v/>
          </cell>
          <cell r="R12" t="str">
            <v/>
          </cell>
          <cell r="S12">
            <v>67.2</v>
          </cell>
          <cell r="T12" t="str">
            <v>2010E</v>
          </cell>
        </row>
        <row r="13">
          <cell r="C13" t="str">
            <v>In-Line Products</v>
          </cell>
          <cell r="D13">
            <v>5.8</v>
          </cell>
          <cell r="G13">
            <v>1</v>
          </cell>
          <cell r="H13">
            <v>67.2</v>
          </cell>
          <cell r="I13" t="str">
            <v/>
          </cell>
          <cell r="J13">
            <v>0</v>
          </cell>
          <cell r="K13">
            <v>5.8</v>
          </cell>
          <cell r="M13">
            <v>0</v>
          </cell>
          <cell r="N13">
            <v>0</v>
          </cell>
          <cell r="O13">
            <v>0</v>
          </cell>
          <cell r="P13" t="str">
            <v/>
          </cell>
          <cell r="Q13" t="str">
            <v/>
          </cell>
          <cell r="R13">
            <v>5.8</v>
          </cell>
          <cell r="S13" t="str">
            <v/>
          </cell>
          <cell r="T13" t="str">
            <v/>
          </cell>
          <cell r="U13" t="str">
            <v>In-Line Products</v>
          </cell>
        </row>
        <row r="14">
          <cell r="C14" t="str">
            <v>Pipeline</v>
          </cell>
          <cell r="D14">
            <v>6.2</v>
          </cell>
          <cell r="G14">
            <v>2</v>
          </cell>
          <cell r="H14">
            <v>73</v>
          </cell>
          <cell r="I14" t="str">
            <v/>
          </cell>
          <cell r="J14">
            <v>0</v>
          </cell>
          <cell r="K14">
            <v>6.2</v>
          </cell>
          <cell r="M14">
            <v>0</v>
          </cell>
          <cell r="N14">
            <v>0</v>
          </cell>
          <cell r="O14">
            <v>0</v>
          </cell>
          <cell r="P14" t="str">
            <v/>
          </cell>
          <cell r="Q14" t="str">
            <v/>
          </cell>
          <cell r="R14">
            <v>6.2</v>
          </cell>
          <cell r="S14" t="str">
            <v/>
          </cell>
          <cell r="T14" t="str">
            <v/>
          </cell>
          <cell r="U14" t="str">
            <v>Pipeline</v>
          </cell>
        </row>
        <row r="15">
          <cell r="C15" t="str">
            <v>Expirations</v>
          </cell>
          <cell r="D15">
            <v>-19.2</v>
          </cell>
          <cell r="G15">
            <v>3</v>
          </cell>
          <cell r="H15">
            <v>60</v>
          </cell>
          <cell r="I15" t="str">
            <v/>
          </cell>
          <cell r="J15">
            <v>19.2</v>
          </cell>
          <cell r="K15">
            <v>0</v>
          </cell>
          <cell r="M15">
            <v>0</v>
          </cell>
          <cell r="N15">
            <v>0</v>
          </cell>
          <cell r="O15">
            <v>0</v>
          </cell>
          <cell r="P15" t="str">
            <v/>
          </cell>
          <cell r="Q15">
            <v>-19.2</v>
          </cell>
          <cell r="R15" t="str">
            <v/>
          </cell>
          <cell r="S15" t="str">
            <v/>
          </cell>
          <cell r="T15" t="str">
            <v/>
          </cell>
          <cell r="U15" t="str">
            <v>Expirations</v>
          </cell>
        </row>
        <row r="16">
          <cell r="G16">
            <v>4</v>
          </cell>
          <cell r="H16" t="str">
            <v/>
          </cell>
          <cell r="I16">
            <v>60</v>
          </cell>
          <cell r="J16">
            <v>0</v>
          </cell>
          <cell r="K16">
            <v>0</v>
          </cell>
          <cell r="M16">
            <v>0</v>
          </cell>
          <cell r="N16">
            <v>0</v>
          </cell>
          <cell r="O16">
            <v>0</v>
          </cell>
          <cell r="P16">
            <v>60</v>
          </cell>
          <cell r="Q16" t="str">
            <v/>
          </cell>
          <cell r="R16" t="str">
            <v/>
          </cell>
          <cell r="S16" t="str">
            <v/>
          </cell>
          <cell r="T16" t="str">
            <v>2015E</v>
          </cell>
          <cell r="U16" t="str">
            <v/>
          </cell>
        </row>
        <row r="17">
          <cell r="G17">
            <v>5</v>
          </cell>
          <cell r="H17" t="str">
            <v/>
          </cell>
          <cell r="I17" t="str">
            <v/>
          </cell>
          <cell r="J17">
            <v>0</v>
          </cell>
          <cell r="K17">
            <v>0</v>
          </cell>
          <cell r="M17">
            <v>0</v>
          </cell>
          <cell r="N17">
            <v>0</v>
          </cell>
          <cell r="O17">
            <v>0</v>
          </cell>
          <cell r="P17" t="str">
            <v/>
          </cell>
          <cell r="Q17" t="str">
            <v/>
          </cell>
          <cell r="R17" t="str">
            <v/>
          </cell>
          <cell r="S17" t="str">
            <v/>
          </cell>
          <cell r="T17" t="str">
            <v/>
          </cell>
          <cell r="U17" t="str">
            <v/>
          </cell>
        </row>
        <row r="18">
          <cell r="G18">
            <v>6</v>
          </cell>
          <cell r="H18" t="str">
            <v/>
          </cell>
          <cell r="I18" t="str">
            <v/>
          </cell>
          <cell r="J18">
            <v>0</v>
          </cell>
          <cell r="K18">
            <v>0</v>
          </cell>
          <cell r="M18">
            <v>0</v>
          </cell>
          <cell r="N18">
            <v>0</v>
          </cell>
          <cell r="O18">
            <v>0</v>
          </cell>
          <cell r="P18" t="str">
            <v/>
          </cell>
          <cell r="Q18" t="str">
            <v/>
          </cell>
          <cell r="R18" t="str">
            <v/>
          </cell>
          <cell r="S18" t="str">
            <v/>
          </cell>
          <cell r="T18" t="str">
            <v/>
          </cell>
          <cell r="U18" t="str">
            <v/>
          </cell>
        </row>
        <row r="19">
          <cell r="G19">
            <v>7</v>
          </cell>
          <cell r="H19" t="str">
            <v/>
          </cell>
          <cell r="I19" t="str">
            <v/>
          </cell>
          <cell r="J19">
            <v>0</v>
          </cell>
          <cell r="K19">
            <v>0</v>
          </cell>
          <cell r="M19">
            <v>0</v>
          </cell>
          <cell r="N19">
            <v>0</v>
          </cell>
          <cell r="O19">
            <v>0</v>
          </cell>
          <cell r="P19" t="str">
            <v/>
          </cell>
          <cell r="Q19" t="str">
            <v/>
          </cell>
          <cell r="R19" t="str">
            <v/>
          </cell>
          <cell r="S19" t="str">
            <v/>
          </cell>
          <cell r="T19" t="str">
            <v/>
          </cell>
          <cell r="U19" t="str">
            <v/>
          </cell>
        </row>
        <row r="20">
          <cell r="G20">
            <v>8</v>
          </cell>
          <cell r="H20" t="str">
            <v/>
          </cell>
          <cell r="I20" t="str">
            <v/>
          </cell>
          <cell r="J20">
            <v>0</v>
          </cell>
          <cell r="K20">
            <v>0</v>
          </cell>
          <cell r="M20">
            <v>0</v>
          </cell>
          <cell r="N20">
            <v>0</v>
          </cell>
          <cell r="O20">
            <v>0</v>
          </cell>
          <cell r="P20" t="str">
            <v/>
          </cell>
          <cell r="Q20" t="str">
            <v/>
          </cell>
          <cell r="R20" t="str">
            <v/>
          </cell>
          <cell r="S20" t="str">
            <v/>
          </cell>
          <cell r="T20" t="str">
            <v/>
          </cell>
          <cell r="U20" t="str">
            <v/>
          </cell>
        </row>
        <row r="21">
          <cell r="G21">
            <v>9</v>
          </cell>
          <cell r="H21" t="str">
            <v/>
          </cell>
          <cell r="I21" t="str">
            <v/>
          </cell>
          <cell r="J21">
            <v>0</v>
          </cell>
          <cell r="K21">
            <v>0</v>
          </cell>
          <cell r="M21">
            <v>0</v>
          </cell>
          <cell r="N21">
            <v>0</v>
          </cell>
          <cell r="O21">
            <v>0</v>
          </cell>
          <cell r="P21" t="str">
            <v/>
          </cell>
          <cell r="Q21" t="str">
            <v/>
          </cell>
          <cell r="R21" t="str">
            <v/>
          </cell>
          <cell r="S21" t="str">
            <v/>
          </cell>
          <cell r="T21" t="str">
            <v/>
          </cell>
          <cell r="U21" t="str">
            <v/>
          </cell>
        </row>
        <row r="22">
          <cell r="G22">
            <v>10</v>
          </cell>
          <cell r="H22" t="str">
            <v/>
          </cell>
          <cell r="I22" t="str">
            <v/>
          </cell>
          <cell r="J22">
            <v>0</v>
          </cell>
          <cell r="K22">
            <v>0</v>
          </cell>
          <cell r="M22">
            <v>0</v>
          </cell>
          <cell r="N22">
            <v>0</v>
          </cell>
          <cell r="O22">
            <v>0</v>
          </cell>
          <cell r="P22" t="str">
            <v/>
          </cell>
          <cell r="Q22" t="str">
            <v/>
          </cell>
          <cell r="R22" t="str">
            <v/>
          </cell>
          <cell r="S22" t="str">
            <v/>
          </cell>
          <cell r="T22" t="str">
            <v/>
          </cell>
          <cell r="U22" t="str">
            <v/>
          </cell>
        </row>
        <row r="23">
          <cell r="G23">
            <v>11</v>
          </cell>
          <cell r="H23" t="str">
            <v/>
          </cell>
          <cell r="I23" t="str">
            <v/>
          </cell>
          <cell r="M23">
            <v>0</v>
          </cell>
          <cell r="N23">
            <v>0</v>
          </cell>
          <cell r="O23">
            <v>0</v>
          </cell>
          <cell r="P23" t="str">
            <v/>
          </cell>
          <cell r="Q23" t="str">
            <v/>
          </cell>
          <cell r="R23" t="str">
            <v/>
          </cell>
          <cell r="S23" t="str">
            <v/>
          </cell>
          <cell r="T23" t="str">
            <v/>
          </cell>
          <cell r="U23" t="str">
            <v/>
          </cell>
        </row>
        <row r="24">
          <cell r="G24">
            <v>12</v>
          </cell>
          <cell r="H24">
            <v>0</v>
          </cell>
          <cell r="I24" t="str">
            <v/>
          </cell>
          <cell r="M24">
            <v>0</v>
          </cell>
          <cell r="N24">
            <v>0</v>
          </cell>
          <cell r="O24">
            <v>0</v>
          </cell>
          <cell r="P24" t="str">
            <v/>
          </cell>
          <cell r="Q24" t="str">
            <v/>
          </cell>
          <cell r="R24" t="str">
            <v/>
          </cell>
          <cell r="S24" t="str">
            <v/>
          </cell>
          <cell r="T24" t="str">
            <v/>
          </cell>
          <cell r="U24" t="str">
            <v/>
          </cell>
        </row>
        <row r="25">
          <cell r="H25" t="str">
            <v>net chg</v>
          </cell>
          <cell r="I25">
            <v>-7.2</v>
          </cell>
        </row>
        <row r="27">
          <cell r="C27" t="str">
            <v>Input label for end point here:</v>
          </cell>
        </row>
        <row r="28">
          <cell r="C28" t="str">
            <v>2015E</v>
          </cell>
        </row>
        <row r="30">
          <cell r="C30" t="str">
            <v xml:space="preserve">End data value 
</v>
          </cell>
          <cell r="D30" t="str">
            <v/>
          </cell>
        </row>
        <row r="31">
          <cell r="C31" t="str">
            <v>is calculated</v>
          </cell>
        </row>
        <row r="32">
          <cell r="C32" t="str">
            <v>automatically</v>
          </cell>
        </row>
        <row r="1002">
          <cell r="A1002" t="str">
            <v>.</v>
          </cell>
          <cell r="B1002" t="str">
            <v>.</v>
          </cell>
          <cell r="C1002" t="str">
            <v>.</v>
          </cell>
        </row>
      </sheetData>
      <sheetData sheetId="3">
        <row r="1">
          <cell r="S1" t="str">
            <v>SmartCharts</v>
          </cell>
          <cell r="BB1" t="str">
            <v>.</v>
          </cell>
        </row>
        <row r="2">
          <cell r="BB2" t="str">
            <v>.</v>
          </cell>
        </row>
        <row r="3">
          <cell r="BB3" t="str">
            <v>.</v>
          </cell>
        </row>
        <row r="4">
          <cell r="BB4" t="str">
            <v>.</v>
          </cell>
        </row>
        <row r="5">
          <cell r="C5" t="str">
            <v>Define value axis here:</v>
          </cell>
        </row>
        <row r="6">
          <cell r="C6" t="str">
            <v>PFE/WYE Revenue Contribution per Segment</v>
          </cell>
        </row>
        <row r="10">
          <cell r="C10" t="str">
            <v>Input your data here:</v>
          </cell>
          <cell r="BB10" t="str">
            <v>.</v>
          </cell>
        </row>
        <row r="11">
          <cell r="D11" t="str">
            <v>Other</v>
          </cell>
          <cell r="E11" t="str">
            <v>Nutritionals</v>
          </cell>
          <cell r="F11" t="str">
            <v>Animal</v>
          </cell>
          <cell r="G11" t="str">
            <v>CHC</v>
          </cell>
          <cell r="H11" t="str">
            <v>Biologic</v>
          </cell>
          <cell r="I11" t="str">
            <v>Traditional</v>
          </cell>
          <cell r="BB11" t="str">
            <v>.</v>
          </cell>
        </row>
        <row r="12">
          <cell r="C12">
            <v>2010</v>
          </cell>
          <cell r="D12">
            <v>7.3922836848778701E-3</v>
          </cell>
          <cell r="E12">
            <v>3.9694505637046879E-2</v>
          </cell>
          <cell r="F12">
            <v>4.9542591862029917E-2</v>
          </cell>
          <cell r="G12">
            <v>4.5134290951814274E-2</v>
          </cell>
          <cell r="H12">
            <v>0.15079210822131184</v>
          </cell>
          <cell r="I12">
            <v>0.70744421964291904</v>
          </cell>
          <cell r="BB12" t="str">
            <v>.</v>
          </cell>
        </row>
        <row r="13">
          <cell r="C13">
            <v>2011</v>
          </cell>
          <cell r="D13">
            <v>7.8621358780429015E-3</v>
          </cell>
          <cell r="E13">
            <v>4.3501848606407156E-2</v>
          </cell>
          <cell r="F13">
            <v>5.2892461739374758E-2</v>
          </cell>
          <cell r="G13">
            <v>4.7788394858716006E-2</v>
          </cell>
          <cell r="H13">
            <v>0.16335309234331286</v>
          </cell>
          <cell r="I13">
            <v>0.68460206657414613</v>
          </cell>
          <cell r="BB13" t="str">
            <v>.</v>
          </cell>
        </row>
        <row r="14">
          <cell r="C14">
            <v>2012</v>
          </cell>
          <cell r="D14">
            <v>9.0894156599119914E-3</v>
          </cell>
          <cell r="E14">
            <v>5.1809888445371488E-2</v>
          </cell>
          <cell r="F14">
            <v>6.1361732478238944E-2</v>
          </cell>
          <cell r="G14">
            <v>5.4948172167998723E-2</v>
          </cell>
          <cell r="H14">
            <v>0.2064642573378605</v>
          </cell>
          <cell r="I14">
            <v>0.61632653391061831</v>
          </cell>
          <cell r="BB14" t="str">
            <v>.</v>
          </cell>
        </row>
        <row r="15">
          <cell r="C15">
            <v>2013</v>
          </cell>
          <cell r="D15">
            <v>9.3639207719231066E-3</v>
          </cell>
          <cell r="E15">
            <v>5.4972084194039497E-2</v>
          </cell>
          <cell r="F15">
            <v>6.3414379086380118E-2</v>
          </cell>
          <cell r="G15">
            <v>5.6314339157607203E-2</v>
          </cell>
          <cell r="H15">
            <v>0.22546494243949647</v>
          </cell>
          <cell r="I15">
            <v>0.59047033435055385</v>
          </cell>
          <cell r="BB15" t="str">
            <v>.</v>
          </cell>
        </row>
        <row r="16">
          <cell r="C16">
            <v>2014</v>
          </cell>
          <cell r="D16">
            <v>9.6393304601885728E-3</v>
          </cell>
          <cell r="E16">
            <v>5.826952701183119E-2</v>
          </cell>
          <cell r="F16">
            <v>6.5465107357308594E-2</v>
          </cell>
          <cell r="G16">
            <v>5.766814515501012E-2</v>
          </cell>
          <cell r="H16">
            <v>0.23925277361350805</v>
          </cell>
          <cell r="I16">
            <v>0.56970511640215349</v>
          </cell>
          <cell r="BB16" t="str">
            <v>.</v>
          </cell>
        </row>
        <row r="17">
          <cell r="C17">
            <v>2015</v>
          </cell>
          <cell r="D17">
            <v>9.9799761432740278E-3</v>
          </cell>
          <cell r="E17">
            <v>6.2107028447675697E-2</v>
          </cell>
          <cell r="F17">
            <v>6.7950841022483971E-2</v>
          </cell>
          <cell r="G17">
            <v>5.9392717383289405E-2</v>
          </cell>
          <cell r="H17">
            <v>0.25421323458932704</v>
          </cell>
          <cell r="I17">
            <v>0.54635620241394955</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4"/>
      <sheetData sheetId="5">
        <row r="1">
          <cell r="S1" t="str">
            <v>SmartCharts</v>
          </cell>
          <cell r="BB1" t="str">
            <v>.</v>
          </cell>
        </row>
        <row r="2">
          <cell r="BB2" t="str">
            <v>.</v>
          </cell>
        </row>
        <row r="3">
          <cell r="BB3" t="str">
            <v>.</v>
          </cell>
        </row>
        <row r="4">
          <cell r="BB4" t="str">
            <v>.</v>
          </cell>
        </row>
        <row r="5">
          <cell r="C5" t="str">
            <v>Define value axis here:</v>
          </cell>
        </row>
        <row r="6">
          <cell r="C6" t="str">
            <v>Pharmaceutical Revenue Contribution</v>
          </cell>
        </row>
        <row r="10">
          <cell r="C10" t="str">
            <v>Input your data here:</v>
          </cell>
          <cell r="BB10" t="str">
            <v>.</v>
          </cell>
        </row>
        <row r="11">
          <cell r="D11" t="str">
            <v>Traditional</v>
          </cell>
          <cell r="E11" t="str">
            <v>Biologic</v>
          </cell>
          <cell r="BB11" t="str">
            <v>.</v>
          </cell>
        </row>
        <row r="12">
          <cell r="C12">
            <v>2010</v>
          </cell>
          <cell r="D12">
            <v>0.82430001699349376</v>
          </cell>
          <cell r="E12">
            <v>0.17569998300650647</v>
          </cell>
          <cell r="BB12" t="str">
            <v>.</v>
          </cell>
        </row>
        <row r="13">
          <cell r="C13">
            <v>2011</v>
          </cell>
          <cell r="D13">
            <v>0.80735644965960518</v>
          </cell>
          <cell r="E13">
            <v>0.19264355034039463</v>
          </cell>
          <cell r="BB13" t="str">
            <v>.</v>
          </cell>
        </row>
        <row r="14">
          <cell r="C14">
            <v>2012</v>
          </cell>
          <cell r="D14">
            <v>0.74906834211819795</v>
          </cell>
          <cell r="E14">
            <v>0.25093165788180211</v>
          </cell>
          <cell r="BB14" t="str">
            <v>.</v>
          </cell>
        </row>
        <row r="15">
          <cell r="C15">
            <v>2013</v>
          </cell>
          <cell r="D15">
            <v>0.72367300587064676</v>
          </cell>
          <cell r="E15">
            <v>0.27632699412935324</v>
          </cell>
          <cell r="BB15" t="str">
            <v>.</v>
          </cell>
        </row>
        <row r="16">
          <cell r="C16">
            <v>2014</v>
          </cell>
          <cell r="D16">
            <v>0.70424570108479179</v>
          </cell>
          <cell r="E16">
            <v>0.29575429891520816</v>
          </cell>
          <cell r="BB16" t="str">
            <v>.</v>
          </cell>
        </row>
        <row r="17">
          <cell r="C17">
            <v>2015</v>
          </cell>
          <cell r="D17">
            <v>0.68245948091534925</v>
          </cell>
          <cell r="E17">
            <v>0.3175405190846507</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6"/>
      <sheetData sheetId="7"/>
      <sheetData sheetId="8"/>
      <sheetData sheetId="9"/>
      <sheetData sheetId="10"/>
      <sheetData sheetId="11"/>
      <sheetData sheetId="12">
        <row r="2">
          <cell r="B2" t="str">
            <v>($M)</v>
          </cell>
          <cell r="C2" t="str">
            <v>2009E</v>
          </cell>
          <cell r="D2" t="str">
            <v>2010E</v>
          </cell>
          <cell r="E2" t="str">
            <v>2011E</v>
          </cell>
          <cell r="F2" t="str">
            <v>2012E</v>
          </cell>
          <cell r="G2" t="str">
            <v>2013E</v>
          </cell>
          <cell r="H2" t="str">
            <v>2014E</v>
          </cell>
          <cell r="I2" t="str">
            <v>2015E</v>
          </cell>
        </row>
        <row r="3">
          <cell r="B3" t="str">
            <v>Revenue</v>
          </cell>
          <cell r="C3">
            <v>46664.590000000004</v>
          </cell>
          <cell r="D3">
            <v>59490.450000000004</v>
          </cell>
          <cell r="E3">
            <v>57134.93</v>
          </cell>
          <cell r="F3">
            <v>58779.911381268947</v>
          </cell>
          <cell r="G3">
            <v>59239.936075638652</v>
          </cell>
          <cell r="H3">
            <v>59771.216511600302</v>
          </cell>
          <cell r="I3">
            <v>59987.717899738433</v>
          </cell>
        </row>
        <row r="4">
          <cell r="B4" t="str">
            <v>Op. Income</v>
          </cell>
          <cell r="C4">
            <v>7540</v>
          </cell>
          <cell r="D4">
            <v>10000</v>
          </cell>
          <cell r="E4">
            <v>9200</v>
          </cell>
          <cell r="F4">
            <v>23420.697731424829</v>
          </cell>
          <cell r="G4">
            <v>24062.427582023694</v>
          </cell>
          <cell r="H4">
            <v>24252.934339512249</v>
          </cell>
          <cell r="I4">
            <v>24182.870845785517</v>
          </cell>
        </row>
        <row r="5">
          <cell r="B5" t="str">
            <v>Op. Margin</v>
          </cell>
          <cell r="C5">
            <v>0.15271279077999245</v>
          </cell>
          <cell r="D5">
            <v>0.14871522964147593</v>
          </cell>
          <cell r="E5">
            <v>0.14030701020421829</v>
          </cell>
          <cell r="F5">
            <v>0.39844731271384948</v>
          </cell>
          <cell r="G5">
            <v>0.40618591403104048</v>
          </cell>
          <cell r="H5">
            <v>0.40576276935580319</v>
          </cell>
          <cell r="I5">
            <v>0.40313036888991177</v>
          </cell>
        </row>
        <row r="6">
          <cell r="B6" t="str">
            <v>EPS</v>
          </cell>
          <cell r="C6">
            <v>0</v>
          </cell>
          <cell r="D6">
            <v>0</v>
          </cell>
          <cell r="E6">
            <v>0</v>
          </cell>
          <cell r="F6">
            <v>2.1029587057701495</v>
          </cell>
          <cell r="G6">
            <v>2.2372166055191349</v>
          </cell>
          <cell r="H6">
            <v>2.3276533306404867</v>
          </cell>
          <cell r="I6">
            <v>2.3911545965022829</v>
          </cell>
        </row>
      </sheetData>
      <sheetData sheetId="13">
        <row r="1">
          <cell r="B1" t="str">
            <v>Historical Planned vs. Realized Cost Savings</v>
          </cell>
        </row>
        <row r="3">
          <cell r="B3" t="str">
            <v>($B)</v>
          </cell>
          <cell r="C3" t="str">
            <v>Warner-Lambert</v>
          </cell>
          <cell r="D3" t="str">
            <v>Pharmacia</v>
          </cell>
          <cell r="E3" t="str">
            <v>Adapting to Scale (AtS)</v>
          </cell>
          <cell r="F3" t="str">
            <v>2007/2008 Plan</v>
          </cell>
        </row>
        <row r="4">
          <cell r="B4" t="str">
            <v>Original Goal</v>
          </cell>
          <cell r="C4">
            <v>1.6</v>
          </cell>
          <cell r="D4">
            <v>3.8</v>
          </cell>
          <cell r="E4">
            <v>2</v>
          </cell>
          <cell r="F4" t="str">
            <v>1.5-2.0</v>
          </cell>
        </row>
        <row r="5">
          <cell r="B5" t="str">
            <v>Actual Savings</v>
          </cell>
          <cell r="C5">
            <v>1.8</v>
          </cell>
          <cell r="D5">
            <v>4.2</v>
          </cell>
          <cell r="E5">
            <v>2.6</v>
          </cell>
          <cell r="F5">
            <v>2.8</v>
          </cell>
        </row>
        <row r="6">
          <cell r="B6" t="str">
            <v>% Upside</v>
          </cell>
          <cell r="C6">
            <v>0.12499999999999997</v>
          </cell>
          <cell r="D6">
            <v>0.10526315789473695</v>
          </cell>
          <cell r="E6">
            <v>0.30000000000000004</v>
          </cell>
          <cell r="F6" t="str">
            <v>40%-87%</v>
          </cell>
        </row>
      </sheetData>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ail prices"/>
      <sheetName val="Margin build up"/>
      <sheetName val="Sheet1"/>
      <sheetName val="Sheet2"/>
      <sheetName val="Sheet3"/>
      <sheetName val="#REF"/>
    </sheetNames>
    <sheetDataSet>
      <sheetData sheetId="0">
        <row r="4">
          <cell r="C4" t="str">
            <v>Revlimid price in Germany</v>
          </cell>
        </row>
        <row r="5">
          <cell r="C5" t="str">
            <v>mg</v>
          </cell>
          <cell r="D5" t="str">
            <v>Pack size
(# of tabs)</v>
          </cell>
          <cell r="E5" t="str">
            <v>Price 
(€/ pack)</v>
          </cell>
          <cell r="F5" t="str">
            <v>Effective price in $ for 21 tabs</v>
          </cell>
          <cell r="G5" t="str">
            <v>Comparable price in US</v>
          </cell>
          <cell r="H5" t="str">
            <v>Increase in Germany price vs. US</v>
          </cell>
          <cell r="I5" t="str">
            <v>Net to Company</v>
          </cell>
          <cell r="J5" t="str">
            <v>Comparable Price in US</v>
          </cell>
          <cell r="K5" t="str">
            <v>Increase%</v>
          </cell>
        </row>
        <row r="6">
          <cell r="C6">
            <v>5</v>
          </cell>
          <cell r="D6">
            <v>21</v>
          </cell>
          <cell r="E6">
            <v>6496</v>
          </cell>
          <cell r="F6">
            <v>9198.3359999999993</v>
          </cell>
          <cell r="G6">
            <v>6080.9</v>
          </cell>
          <cell r="H6">
            <v>0.51266029699551052</v>
          </cell>
          <cell r="I6">
            <v>6714.7852799999991</v>
          </cell>
          <cell r="J6">
            <v>4905</v>
          </cell>
          <cell r="K6">
            <v>0.36896743730886827</v>
          </cell>
          <cell r="L6">
            <v>0.23769658715596331</v>
          </cell>
        </row>
        <row r="7">
          <cell r="C7">
            <v>10</v>
          </cell>
          <cell r="D7">
            <v>21</v>
          </cell>
          <cell r="E7">
            <v>6856</v>
          </cell>
          <cell r="F7">
            <v>9708.0959999999995</v>
          </cell>
          <cell r="G7">
            <v>6500</v>
          </cell>
          <cell r="H7">
            <v>0.49355323076923074</v>
          </cell>
          <cell r="I7">
            <v>7086.9100799999997</v>
          </cell>
          <cell r="J7">
            <v>5123</v>
          </cell>
          <cell r="K7">
            <v>0.38335156744095245</v>
          </cell>
          <cell r="L7">
            <v>0.25070141713839544</v>
          </cell>
        </row>
        <row r="8">
          <cell r="C8">
            <v>15</v>
          </cell>
          <cell r="D8">
            <v>21</v>
          </cell>
          <cell r="E8">
            <v>7216</v>
          </cell>
          <cell r="F8">
            <v>10217.856</v>
          </cell>
          <cell r="G8">
            <v>7429</v>
          </cell>
          <cell r="H8">
            <v>0.37540126531161655</v>
          </cell>
          <cell r="I8">
            <v>7459.0348799999992</v>
          </cell>
          <cell r="J8">
            <v>6056</v>
          </cell>
          <cell r="K8">
            <v>0.23167682959048874</v>
          </cell>
          <cell r="L8">
            <v>0.11357083223249664</v>
          </cell>
        </row>
        <row r="9">
          <cell r="C9">
            <v>25</v>
          </cell>
          <cell r="D9">
            <v>21</v>
          </cell>
          <cell r="E9">
            <v>7911</v>
          </cell>
          <cell r="F9">
            <v>11201.975999999999</v>
          </cell>
          <cell r="G9">
            <v>7826.2800000000007</v>
          </cell>
          <cell r="H9">
            <v>0.43132829390208349</v>
          </cell>
          <cell r="I9">
            <v>8177.4424799999988</v>
          </cell>
          <cell r="J9">
            <v>6381</v>
          </cell>
          <cell r="K9">
            <v>0.28152992947813793</v>
          </cell>
          <cell r="L9">
            <v>0.15864349788434406</v>
          </cell>
        </row>
        <row r="10">
          <cell r="I10">
            <v>0</v>
          </cell>
        </row>
        <row r="11">
          <cell r="I11">
            <v>0</v>
          </cell>
        </row>
        <row r="12">
          <cell r="C12" t="str">
            <v>Revlimid price in UK (private insurance)</v>
          </cell>
          <cell r="I12">
            <v>0</v>
          </cell>
        </row>
        <row r="13">
          <cell r="C13" t="str">
            <v>mg</v>
          </cell>
          <cell r="D13" t="str">
            <v>Pack size
(# of tabs)</v>
          </cell>
          <cell r="E13" t="str">
            <v>Price 
(£/ pack)</v>
          </cell>
          <cell r="F13" t="str">
            <v>Effective price in $ for 21 tabs</v>
          </cell>
          <cell r="G13" t="str">
            <v>Comparable price in US</v>
          </cell>
          <cell r="H13" t="str">
            <v>Increase in UK price vs. US</v>
          </cell>
          <cell r="I13" t="str">
            <v>Net to Company</v>
          </cell>
        </row>
        <row r="14">
          <cell r="C14">
            <v>5</v>
          </cell>
          <cell r="D14">
            <v>21</v>
          </cell>
          <cell r="E14">
            <v>5714</v>
          </cell>
          <cell r="F14">
            <v>11559.422</v>
          </cell>
          <cell r="G14">
            <v>6080.9</v>
          </cell>
          <cell r="H14">
            <v>0.90093933463796505</v>
          </cell>
          <cell r="I14">
            <v>8438.3780600000009</v>
          </cell>
          <cell r="J14">
            <v>4905</v>
          </cell>
          <cell r="K14">
            <v>0.72036249949031617</v>
          </cell>
        </row>
        <row r="15">
          <cell r="C15">
            <v>10</v>
          </cell>
          <cell r="D15">
            <v>21</v>
          </cell>
          <cell r="E15">
            <v>6050</v>
          </cell>
          <cell r="F15">
            <v>12239.150000000001</v>
          </cell>
          <cell r="G15">
            <v>6500</v>
          </cell>
          <cell r="H15">
            <v>0.88294615384615405</v>
          </cell>
          <cell r="I15">
            <v>8934.5795000000016</v>
          </cell>
          <cell r="J15">
            <v>5123</v>
          </cell>
          <cell r="K15">
            <v>0.74401317587351201</v>
          </cell>
        </row>
        <row r="16">
          <cell r="C16">
            <v>15</v>
          </cell>
          <cell r="D16">
            <v>21</v>
          </cell>
          <cell r="E16">
            <v>6352</v>
          </cell>
          <cell r="F16">
            <v>12850.096000000001</v>
          </cell>
          <cell r="G16">
            <v>7429</v>
          </cell>
          <cell r="H16">
            <v>0.72972082379862724</v>
          </cell>
          <cell r="I16">
            <v>9380.5700800000013</v>
          </cell>
          <cell r="J16">
            <v>6056</v>
          </cell>
          <cell r="K16">
            <v>0.54897128137384432</v>
          </cell>
        </row>
        <row r="17">
          <cell r="C17">
            <v>25</v>
          </cell>
          <cell r="D17">
            <v>21</v>
          </cell>
          <cell r="E17">
            <v>6990</v>
          </cell>
          <cell r="F17">
            <v>14140.77</v>
          </cell>
          <cell r="G17">
            <v>7826.2800000000007</v>
          </cell>
          <cell r="H17">
            <v>0.80683159815391203</v>
          </cell>
          <cell r="I17">
            <v>10322.7621</v>
          </cell>
          <cell r="J17">
            <v>6381</v>
          </cell>
          <cell r="K17">
            <v>0.61773422661024924</v>
          </cell>
        </row>
        <row r="18">
          <cell r="C18" t="str">
            <v>Source: Westbury, UK</v>
          </cell>
        </row>
        <row r="21">
          <cell r="C21" t="str">
            <v>Revlimid price in US</v>
          </cell>
        </row>
        <row r="22">
          <cell r="C22" t="str">
            <v>mg</v>
          </cell>
          <cell r="D22" t="str">
            <v>Pack size
(# of tabs)</v>
          </cell>
          <cell r="E22" t="str">
            <v>Price 
($/ pack)</v>
          </cell>
          <cell r="F22" t="str">
            <v>Effective price for 21 tabs</v>
          </cell>
          <cell r="G22" t="str">
            <v>Price given by Celgene in Jan, 07</v>
          </cell>
          <cell r="H22" t="str">
            <v>Est. price increase since Jan, 07</v>
          </cell>
        </row>
        <row r="23">
          <cell r="C23">
            <v>5</v>
          </cell>
          <cell r="D23">
            <v>30</v>
          </cell>
          <cell r="E23">
            <v>8687</v>
          </cell>
          <cell r="F23">
            <v>6080.9</v>
          </cell>
          <cell r="G23">
            <v>4905</v>
          </cell>
          <cell r="H23">
            <v>0.23973496432212027</v>
          </cell>
        </row>
        <row r="24">
          <cell r="C24">
            <v>10</v>
          </cell>
          <cell r="D24">
            <v>30</v>
          </cell>
          <cell r="E24">
            <v>9090</v>
          </cell>
          <cell r="F24">
            <v>6500</v>
          </cell>
          <cell r="G24">
            <v>5123</v>
          </cell>
          <cell r="H24">
            <v>0.26878781963693155</v>
          </cell>
        </row>
        <row r="25">
          <cell r="C25">
            <v>15</v>
          </cell>
          <cell r="D25">
            <v>21</v>
          </cell>
          <cell r="E25">
            <v>7423</v>
          </cell>
          <cell r="F25">
            <v>7429</v>
          </cell>
          <cell r="G25">
            <v>6056</v>
          </cell>
          <cell r="H25">
            <v>0.22671730515191535</v>
          </cell>
        </row>
        <row r="26">
          <cell r="C26">
            <v>25</v>
          </cell>
          <cell r="D26">
            <v>25</v>
          </cell>
          <cell r="E26">
            <v>9309</v>
          </cell>
          <cell r="F26">
            <v>7826.2800000000007</v>
          </cell>
          <cell r="G26">
            <v>6381</v>
          </cell>
          <cell r="H26">
            <v>0.22649741419840153</v>
          </cell>
        </row>
        <row r="27">
          <cell r="C27" t="str">
            <v>Source: NY pharmacies</v>
          </cell>
        </row>
        <row r="30">
          <cell r="C30" t="str">
            <v>mg</v>
          </cell>
          <cell r="D30" t="str">
            <v>Pack size
(# of tabs)</v>
          </cell>
          <cell r="E30" t="str">
            <v>Price 
($/ pack)</v>
          </cell>
          <cell r="F30" t="str">
            <v>Effective price for 21 tabs</v>
          </cell>
        </row>
        <row r="31">
          <cell r="C31">
            <v>5</v>
          </cell>
          <cell r="D31">
            <v>21</v>
          </cell>
          <cell r="E31" t="str">
            <v>N/A</v>
          </cell>
          <cell r="F31" t="str">
            <v>N/A</v>
          </cell>
        </row>
        <row r="32">
          <cell r="C32">
            <v>10</v>
          </cell>
          <cell r="D32">
            <v>21</v>
          </cell>
          <cell r="E32">
            <v>6637</v>
          </cell>
          <cell r="F32">
            <v>6637</v>
          </cell>
          <cell r="I32">
            <v>1.4159999999999999</v>
          </cell>
        </row>
        <row r="33">
          <cell r="C33">
            <v>15</v>
          </cell>
          <cell r="D33">
            <v>21</v>
          </cell>
          <cell r="E33">
            <v>7435</v>
          </cell>
          <cell r="F33">
            <v>7435</v>
          </cell>
        </row>
        <row r="34">
          <cell r="C34">
            <v>25</v>
          </cell>
          <cell r="D34">
            <v>21</v>
          </cell>
          <cell r="E34">
            <v>7833</v>
          </cell>
          <cell r="F34">
            <v>7833</v>
          </cell>
        </row>
        <row r="35">
          <cell r="C35" t="str">
            <v>Source: Duane Read, NY</v>
          </cell>
        </row>
        <row r="38">
          <cell r="C38" t="str">
            <v>mg</v>
          </cell>
          <cell r="D38" t="str">
            <v>Pack size
(# of tabs)</v>
          </cell>
          <cell r="E38" t="str">
            <v>Price 
($/ pack)</v>
          </cell>
          <cell r="F38" t="str">
            <v>Effective price for 21 tabs</v>
          </cell>
        </row>
        <row r="39">
          <cell r="C39">
            <v>5</v>
          </cell>
          <cell r="D39">
            <v>30</v>
          </cell>
          <cell r="E39">
            <v>8687</v>
          </cell>
          <cell r="F39">
            <v>6080.9</v>
          </cell>
        </row>
        <row r="40">
          <cell r="C40">
            <v>10</v>
          </cell>
          <cell r="D40">
            <v>30</v>
          </cell>
          <cell r="E40">
            <v>9090</v>
          </cell>
          <cell r="F40">
            <v>6363</v>
          </cell>
        </row>
        <row r="41">
          <cell r="C41">
            <v>15</v>
          </cell>
          <cell r="D41">
            <v>21</v>
          </cell>
          <cell r="E41">
            <v>7423</v>
          </cell>
          <cell r="F41">
            <v>7423</v>
          </cell>
        </row>
        <row r="42">
          <cell r="C42">
            <v>25</v>
          </cell>
          <cell r="D42">
            <v>25</v>
          </cell>
          <cell r="E42">
            <v>9309</v>
          </cell>
          <cell r="F42">
            <v>7819.56</v>
          </cell>
        </row>
        <row r="43">
          <cell r="C43" t="str">
            <v>Source: CVS Pharmacy, NY</v>
          </cell>
        </row>
        <row r="46">
          <cell r="C46" t="str">
            <v>mg</v>
          </cell>
          <cell r="D46" t="str">
            <v>Pack size
(# of tabs)</v>
          </cell>
          <cell r="E46" t="str">
            <v>Price 
($/ pack)</v>
          </cell>
          <cell r="F46" t="str">
            <v>Effective price for 21 tabs</v>
          </cell>
        </row>
        <row r="47">
          <cell r="C47">
            <v>5</v>
          </cell>
          <cell r="D47">
            <v>100</v>
          </cell>
          <cell r="E47">
            <v>26002</v>
          </cell>
          <cell r="F47">
            <v>5460.42</v>
          </cell>
        </row>
        <row r="48">
          <cell r="C48">
            <v>5</v>
          </cell>
          <cell r="D48">
            <v>300</v>
          </cell>
          <cell r="E48">
            <v>78006</v>
          </cell>
          <cell r="F48">
            <v>5460.42</v>
          </cell>
        </row>
        <row r="49">
          <cell r="C49">
            <v>10</v>
          </cell>
          <cell r="D49">
            <v>100</v>
          </cell>
          <cell r="E49">
            <v>28001</v>
          </cell>
          <cell r="F49">
            <v>5880.21</v>
          </cell>
        </row>
        <row r="50">
          <cell r="C50">
            <v>10</v>
          </cell>
          <cell r="D50">
            <v>30</v>
          </cell>
          <cell r="E50">
            <v>9232</v>
          </cell>
          <cell r="F50">
            <v>6462.4000000000005</v>
          </cell>
        </row>
        <row r="51">
          <cell r="C51">
            <v>10</v>
          </cell>
          <cell r="D51">
            <v>90</v>
          </cell>
          <cell r="E51">
            <v>27697</v>
          </cell>
          <cell r="F51">
            <v>6462.6333333333341</v>
          </cell>
        </row>
        <row r="52">
          <cell r="C52" t="str">
            <v>Sources: Walgreens</v>
          </cell>
        </row>
      </sheetData>
      <sheetData sheetId="1"/>
      <sheetData sheetId="2"/>
      <sheetData sheetId="3"/>
      <sheetData sheetId="4"/>
      <sheetData sheetId="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short IS"/>
      <sheetName val="Product Mix 100%"/>
      <sheetName val="cost savings"/>
      <sheetName val="Per Pharma Traditional &amp; Biolog"/>
    </sheetNames>
    <sheetDataSet>
      <sheetData sheetId="0" refreshError="1"/>
      <sheetData sheetId="1">
        <row r="1">
          <cell r="R1" t="str">
            <v>SmartCharts</v>
          </cell>
          <cell r="BA1" t="str">
            <v>.</v>
          </cell>
        </row>
        <row r="2">
          <cell r="BA2" t="str">
            <v>.</v>
          </cell>
        </row>
        <row r="3">
          <cell r="BA3" t="str">
            <v>.</v>
          </cell>
        </row>
        <row r="4">
          <cell r="BA4" t="str">
            <v>.</v>
          </cell>
        </row>
        <row r="5">
          <cell r="C5" t="str">
            <v>Define value axis here:</v>
          </cell>
        </row>
        <row r="6">
          <cell r="C6" t="str">
            <v>Eli Lilly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781.72624304999954</v>
          </cell>
          <cell r="E12">
            <v>628.01563373899808</v>
          </cell>
          <cell r="F12">
            <v>619.00336252127454</v>
          </cell>
          <cell r="G12">
            <v>650.37276247114823</v>
          </cell>
          <cell r="H12">
            <v>535.71762648130425</v>
          </cell>
          <cell r="BA12" t="str">
            <v>.</v>
          </cell>
        </row>
        <row r="13">
          <cell r="C13" t="str">
            <v>Pipeline products launching 2010–2015</v>
          </cell>
          <cell r="D13">
            <v>94.75</v>
          </cell>
          <cell r="E13">
            <v>176.17500000000001</v>
          </cell>
          <cell r="F13">
            <v>330.42500000000001</v>
          </cell>
          <cell r="G13">
            <v>642.0732999999999</v>
          </cell>
          <cell r="H13">
            <v>950.38365750000003</v>
          </cell>
          <cell r="BA13" t="str">
            <v>.</v>
          </cell>
        </row>
        <row r="14">
          <cell r="C14" t="str">
            <v>Products expiring 2010–2015</v>
          </cell>
          <cell r="D14">
            <v>-371.49615019999874</v>
          </cell>
          <cell r="E14">
            <v>-2226.0126789459991</v>
          </cell>
          <cell r="F14">
            <v>-713.0858879557818</v>
          </cell>
          <cell r="G14">
            <v>-2566.7028729389294</v>
          </cell>
          <cell r="H14">
            <v>-2382.3369144914741</v>
          </cell>
          <cell r="BA14" t="str">
            <v>.</v>
          </cell>
        </row>
        <row r="15">
          <cell r="C15" t="str">
            <v>Net YOY change</v>
          </cell>
          <cell r="D15">
            <v>504.9800928500008</v>
          </cell>
          <cell r="E15">
            <v>-1421.8220452070018</v>
          </cell>
          <cell r="F15">
            <v>236.34247456549201</v>
          </cell>
          <cell r="G15">
            <v>-1274.2568104677812</v>
          </cell>
          <cell r="H15">
            <v>-896.23563051016754</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efreshError="1"/>
      <sheetData sheetId="5" refreshError="1"/>
      <sheetData sheetId="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2015 biopharma rev change"/>
      <sheetName val="margins"/>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Bristol-Myers Squibb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428.20430499999929</v>
          </cell>
          <cell r="E12">
            <v>406.00087174999862</v>
          </cell>
          <cell r="F12">
            <v>379.77037045850375</v>
          </cell>
          <cell r="G12">
            <v>349.04459650893114</v>
          </cell>
          <cell r="H12">
            <v>290.7973990176979</v>
          </cell>
          <cell r="BA12" t="str">
            <v>.</v>
          </cell>
        </row>
        <row r="13">
          <cell r="C13" t="str">
            <v>Pipeline products launching 2010–2015</v>
          </cell>
          <cell r="D13">
            <v>509.8125</v>
          </cell>
          <cell r="E13">
            <v>791.0775000000001</v>
          </cell>
          <cell r="F13">
            <v>1302.57</v>
          </cell>
          <cell r="G13">
            <v>1653.0442999999996</v>
          </cell>
          <cell r="H13">
            <v>1227.8117000000011</v>
          </cell>
          <cell r="BA13" t="str">
            <v>.</v>
          </cell>
        </row>
        <row r="14">
          <cell r="C14" t="str">
            <v>Products expiring 2010–2015</v>
          </cell>
          <cell r="D14">
            <v>170.7135303846153</v>
          </cell>
          <cell r="E14">
            <v>-3013.0544055538448</v>
          </cell>
          <cell r="F14">
            <v>-3358.1474564076934</v>
          </cell>
          <cell r="G14">
            <v>-1309.0957018979234</v>
          </cell>
          <cell r="H14">
            <v>-2226.5059205538264</v>
          </cell>
          <cell r="BA14" t="str">
            <v>.</v>
          </cell>
        </row>
        <row r="15">
          <cell r="C15" t="str">
            <v>Biopharmaceuticals net YOY change</v>
          </cell>
          <cell r="D15">
            <v>1108.7303353846146</v>
          </cell>
          <cell r="E15">
            <v>-1815.9760338038468</v>
          </cell>
          <cell r="F15">
            <v>-1675.8070859491891</v>
          </cell>
          <cell r="G15">
            <v>692.99319461100822</v>
          </cell>
          <cell r="H15">
            <v>-707.89682153612739</v>
          </cell>
          <cell r="BA15" t="str">
            <v>.</v>
          </cell>
        </row>
        <row r="16">
          <cell r="C16" t="str">
            <v>Mead Johnson YOY change</v>
          </cell>
          <cell r="D16">
            <v>214.20896000000039</v>
          </cell>
          <cell r="E16">
            <v>221.85658040000044</v>
          </cell>
          <cell r="F16">
            <v>215.35684153200009</v>
          </cell>
          <cell r="G16">
            <v>204.1549097092402</v>
          </cell>
          <cell r="H16">
            <v>188.16653348492491</v>
          </cell>
          <cell r="BA16" t="str">
            <v>.</v>
          </cell>
        </row>
        <row r="17">
          <cell r="C17" t="str">
            <v>Total YOY change</v>
          </cell>
          <cell r="D17">
            <v>1322.9392953846145</v>
          </cell>
          <cell r="E17">
            <v>-1594.1194534038477</v>
          </cell>
          <cell r="F17">
            <v>-1460.4502444171885</v>
          </cell>
          <cell r="G17">
            <v>897.14810432025115</v>
          </cell>
          <cell r="H17">
            <v>-519.73028805120339</v>
          </cell>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ow r="1">
          <cell r="P1" t="str">
            <v>SmartCharts</v>
          </cell>
          <cell r="BA1" t="str">
            <v>.</v>
          </cell>
        </row>
        <row r="2">
          <cell r="BA2" t="str">
            <v>.</v>
          </cell>
        </row>
        <row r="3">
          <cell r="BA3" t="str">
            <v>.</v>
          </cell>
        </row>
        <row r="4">
          <cell r="BA4" t="str">
            <v>.</v>
          </cell>
        </row>
        <row r="5">
          <cell r="C5" t="str">
            <v>Define value axis here:</v>
          </cell>
        </row>
        <row r="6">
          <cell r="C6" t="str">
            <v>Bristol-Myers Squibb 2010E–2015 margins projections</v>
          </cell>
        </row>
        <row r="10">
          <cell r="C10" t="str">
            <v>Input your data here:</v>
          </cell>
          <cell r="BA10" t="str">
            <v>.</v>
          </cell>
        </row>
        <row r="11">
          <cell r="D11">
            <v>2010</v>
          </cell>
          <cell r="E11">
            <v>2015</v>
          </cell>
          <cell r="BA11" t="str">
            <v>.</v>
          </cell>
        </row>
        <row r="12">
          <cell r="C12" t="str">
            <v>Gross margin</v>
          </cell>
          <cell r="D12">
            <v>0.72499999999999998</v>
          </cell>
          <cell r="E12">
            <v>0.68100000000000005</v>
          </cell>
        </row>
        <row r="13">
          <cell r="C13" t="str">
            <v>Operating margin</v>
          </cell>
          <cell r="D13">
            <v>0.30161955647352828</v>
          </cell>
          <cell r="E13">
            <v>0.25676950311816399</v>
          </cell>
        </row>
        <row r="14">
          <cell r="C14" t="str">
            <v>Net margin</v>
          </cell>
          <cell r="D14">
            <v>0.18869606564379282</v>
          </cell>
          <cell r="E14">
            <v>0.17772499764542135</v>
          </cell>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WACC"/>
      <sheetName val="Sheet1"/>
      <sheetName val="Fixed Line Mkt"/>
      <sheetName val="Cash Flow"/>
      <sheetName val="upside_downside"/>
      <sheetName val="Income Statement"/>
      <sheetName val="Balance Sheet"/>
      <sheetName val="Valsum"/>
      <sheetName val="Operating Leases tagged"/>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Good 12-00 (2)"/>
      <sheetName val="Good 11-36"/>
      <sheetName val="Good 11-50"/>
      <sheetName val="Sheet3 (5)"/>
      <sheetName val="Total_Production"/>
      <sheetName val="RFS"/>
      <sheetName val="Corn_Uses"/>
      <sheetName val="US_Production"/>
      <sheetName val="Risk-Reward_View_Chart"/>
      <sheetName val="variables"/>
      <sheetName val="IS Quarterly"/>
      <sheetName val="Sheet1 (2)"/>
      <sheetName val="1Q11 Preview"/>
      <sheetName val="2Q11 Preview"/>
      <sheetName val="Model"/>
      <sheetName val="Intrinsic Value"/>
      <sheetName val="Rev by Geo"/>
      <sheetName val="Report template"/>
      <sheetName val="Model (WIP)"/>
      <sheetName val="sales bkd"/>
      <sheetName val="fin"/>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sheetData sheetId="4" refreshError="1"/>
      <sheetData sheetId="5" refreshError="1"/>
      <sheetData sheetId="6" refreshError="1">
        <row r="2">
          <cell r="A2" t="str">
            <v>Table 5</v>
          </cell>
          <cell r="EM2" t="str">
            <v>Table 4 Continued</v>
          </cell>
        </row>
        <row r="3">
          <cell r="EM3" t="str">
            <v>Warner Lambert</v>
          </cell>
        </row>
        <row r="4">
          <cell r="EM4" t="str">
            <v>Quarterly/Annual Sales Analysis 1998-2005E -- Confectionery</v>
          </cell>
        </row>
        <row r="5">
          <cell r="EM5" t="str">
            <v>($ Millions)</v>
          </cell>
        </row>
        <row r="6">
          <cell r="EN6" t="str">
            <v>Bubblicious</v>
          </cell>
          <cell r="ER6" t="str">
            <v>Dentyne</v>
          </cell>
          <cell r="EV6" t="str">
            <v>Bubbaloo</v>
          </cell>
          <cell r="EZ6" t="str">
            <v>Other</v>
          </cell>
          <cell r="FD6" t="str">
            <v>Total</v>
          </cell>
          <cell r="FH6" t="str">
            <v>Total Corporate Sales</v>
          </cell>
        </row>
        <row r="7">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10">
          <cell r="EM10" t="str">
            <v xml:space="preserve">1994 </v>
          </cell>
        </row>
        <row r="11">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EM18" t="str">
            <v>1995/94 % Change</v>
          </cell>
        </row>
        <row r="19">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EM26" t="str">
            <v xml:space="preserve">1995 </v>
          </cell>
        </row>
        <row r="27">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EM34" t="str">
            <v xml:space="preserve">1996/95 </v>
          </cell>
        </row>
        <row r="35">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EM42" t="str">
            <v>1996</v>
          </cell>
        </row>
        <row r="43">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EM50" t="str">
            <v xml:space="preserve">1997/96 </v>
          </cell>
        </row>
        <row r="51">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EM58" t="str">
            <v>1997</v>
          </cell>
        </row>
        <row r="59">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EM66" t="str">
            <v>1998/97 % Change</v>
          </cell>
        </row>
        <row r="67">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EM74" t="str">
            <v>1998</v>
          </cell>
        </row>
        <row r="75">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EM82" t="str">
            <v xml:space="preserve">1999/98 </v>
          </cell>
        </row>
        <row r="83">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EM90" t="str">
            <v>1999</v>
          </cell>
          <cell r="EQ90">
            <v>0</v>
          </cell>
          <cell r="EU90">
            <v>0</v>
          </cell>
          <cell r="EY90">
            <v>0</v>
          </cell>
          <cell r="FC90">
            <v>0</v>
          </cell>
        </row>
        <row r="91">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EM98" t="str">
            <v>2000E/99</v>
          </cell>
        </row>
        <row r="99">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4">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EM106" t="str">
            <v>2000E</v>
          </cell>
        </row>
        <row r="107">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2">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4">
          <cell r="EM114" t="str">
            <v>% Change</v>
          </cell>
        </row>
        <row r="115">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9.xml.rels><?xml version="1.0" encoding="UTF-8" standalone="yes"?>
<Relationships xmlns="http://schemas.openxmlformats.org/package/2006/relationships">
<Relationship Id="rId1" Target="http://www.cdc.gov/hiv/statistics/basics/" TargetMode="External" Type="http://schemas.openxmlformats.org/officeDocument/2006/relationships/hyperlink"/>
<Relationship Id="rId2" Target="http://www.cdc.gov/hiv/statistics/basics/" TargetMode="External" Type="http://schemas.openxmlformats.org/officeDocument/2006/relationships/hyperlink"/>
<Relationship Id="rId3" Target="../printerSettings/printerSettings9.bin" Type="http://schemas.openxmlformats.org/officeDocument/2006/relationships/printerSettings"/>
<Relationship Id="rId4" Target="../drawings/vmlDrawing4.vml" Type="http://schemas.openxmlformats.org/officeDocument/2006/relationships/vmlDrawing"/>
<Relationship Id="rId5" Target="../comments4.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397"/>
  <sheetViews>
    <sheetView showGridLines="0" tabSelected="1" workbookViewId="0">
      <selection activeCell="Z1" sqref="Z1"/>
    </sheetView>
  </sheetViews>
  <sheetFormatPr defaultRowHeight="12.75"/>
  <cols>
    <col min="1" max="1" width="25.7109375" style="1018" customWidth="1"/>
    <col min="2" max="5" width="9.140625" style="1018"/>
    <col min="6" max="6" width="18.7109375" style="1018" customWidth="1"/>
    <col min="7" max="256" width="9.140625" style="1018"/>
    <col min="257" max="257" width="100.7109375" style="1018" customWidth="1"/>
    <col min="258" max="512" width="9.140625" style="1018"/>
    <col min="513" max="513" width="100.7109375" style="1018" customWidth="1"/>
    <col min="514" max="768" width="9.140625" style="1018"/>
    <col min="769" max="769" width="100.7109375" style="1018" customWidth="1"/>
    <col min="770" max="1024" width="9.140625" style="1018"/>
    <col min="1025" max="1025" width="100.7109375" style="1018" customWidth="1"/>
    <col min="1026" max="1280" width="9.140625" style="1018"/>
    <col min="1281" max="1281" width="100.7109375" style="1018" customWidth="1"/>
    <col min="1282" max="1536" width="9.140625" style="1018"/>
    <col min="1537" max="1537" width="100.7109375" style="1018" customWidth="1"/>
    <col min="1538" max="1792" width="9.140625" style="1018"/>
    <col min="1793" max="1793" width="100.7109375" style="1018" customWidth="1"/>
    <col min="1794" max="2048" width="9.140625" style="1018"/>
    <col min="2049" max="2049" width="100.7109375" style="1018" customWidth="1"/>
    <col min="2050" max="2304" width="9.140625" style="1018"/>
    <col min="2305" max="2305" width="100.7109375" style="1018" customWidth="1"/>
    <col min="2306" max="2560" width="9.140625" style="1018"/>
    <col min="2561" max="2561" width="100.7109375" style="1018" customWidth="1"/>
    <col min="2562" max="2816" width="9.140625" style="1018"/>
    <col min="2817" max="2817" width="100.7109375" style="1018" customWidth="1"/>
    <col min="2818" max="3072" width="9.140625" style="1018"/>
    <col min="3073" max="3073" width="100.7109375" style="1018" customWidth="1"/>
    <col min="3074" max="3328" width="9.140625" style="1018"/>
    <col min="3329" max="3329" width="100.7109375" style="1018" customWidth="1"/>
    <col min="3330" max="3584" width="9.140625" style="1018"/>
    <col min="3585" max="3585" width="100.7109375" style="1018" customWidth="1"/>
    <col min="3586" max="3840" width="9.140625" style="1018"/>
    <col min="3841" max="3841" width="100.7109375" style="1018" customWidth="1"/>
    <col min="3842" max="4096" width="9.140625" style="1018"/>
    <col min="4097" max="4097" width="100.7109375" style="1018" customWidth="1"/>
    <col min="4098" max="4352" width="9.140625" style="1018"/>
    <col min="4353" max="4353" width="100.7109375" style="1018" customWidth="1"/>
    <col min="4354" max="4608" width="9.140625" style="1018"/>
    <col min="4609" max="4609" width="100.7109375" style="1018" customWidth="1"/>
    <col min="4610" max="4864" width="9.140625" style="1018"/>
    <col min="4865" max="4865" width="100.7109375" style="1018" customWidth="1"/>
    <col min="4866" max="5120" width="9.140625" style="1018"/>
    <col min="5121" max="5121" width="100.7109375" style="1018" customWidth="1"/>
    <col min="5122" max="5376" width="9.140625" style="1018"/>
    <col min="5377" max="5377" width="100.7109375" style="1018" customWidth="1"/>
    <col min="5378" max="5632" width="9.140625" style="1018"/>
    <col min="5633" max="5633" width="100.7109375" style="1018" customWidth="1"/>
    <col min="5634" max="5888" width="9.140625" style="1018"/>
    <col min="5889" max="5889" width="100.7109375" style="1018" customWidth="1"/>
    <col min="5890" max="6144" width="9.140625" style="1018"/>
    <col min="6145" max="6145" width="100.7109375" style="1018" customWidth="1"/>
    <col min="6146" max="6400" width="9.140625" style="1018"/>
    <col min="6401" max="6401" width="100.7109375" style="1018" customWidth="1"/>
    <col min="6402" max="6656" width="9.140625" style="1018"/>
    <col min="6657" max="6657" width="100.7109375" style="1018" customWidth="1"/>
    <col min="6658" max="6912" width="9.140625" style="1018"/>
    <col min="6913" max="6913" width="100.7109375" style="1018" customWidth="1"/>
    <col min="6914" max="7168" width="9.140625" style="1018"/>
    <col min="7169" max="7169" width="100.7109375" style="1018" customWidth="1"/>
    <col min="7170" max="7424" width="9.140625" style="1018"/>
    <col min="7425" max="7425" width="100.7109375" style="1018" customWidth="1"/>
    <col min="7426" max="7680" width="9.140625" style="1018"/>
    <col min="7681" max="7681" width="100.7109375" style="1018" customWidth="1"/>
    <col min="7682" max="7936" width="9.140625" style="1018"/>
    <col min="7937" max="7937" width="100.7109375" style="1018" customWidth="1"/>
    <col min="7938" max="8192" width="9.140625" style="1018"/>
    <col min="8193" max="8193" width="100.7109375" style="1018" customWidth="1"/>
    <col min="8194" max="8448" width="9.140625" style="1018"/>
    <col min="8449" max="8449" width="100.7109375" style="1018" customWidth="1"/>
    <col min="8450" max="8704" width="9.140625" style="1018"/>
    <col min="8705" max="8705" width="100.7109375" style="1018" customWidth="1"/>
    <col min="8706" max="8960" width="9.140625" style="1018"/>
    <col min="8961" max="8961" width="100.7109375" style="1018" customWidth="1"/>
    <col min="8962" max="9216" width="9.140625" style="1018"/>
    <col min="9217" max="9217" width="100.7109375" style="1018" customWidth="1"/>
    <col min="9218" max="9472" width="9.140625" style="1018"/>
    <col min="9473" max="9473" width="100.7109375" style="1018" customWidth="1"/>
    <col min="9474" max="9728" width="9.140625" style="1018"/>
    <col min="9729" max="9729" width="100.7109375" style="1018" customWidth="1"/>
    <col min="9730" max="9984" width="9.140625" style="1018"/>
    <col min="9985" max="9985" width="100.7109375" style="1018" customWidth="1"/>
    <col min="9986" max="10240" width="9.140625" style="1018"/>
    <col min="10241" max="10241" width="100.7109375" style="1018" customWidth="1"/>
    <col min="10242" max="10496" width="9.140625" style="1018"/>
    <col min="10497" max="10497" width="100.7109375" style="1018" customWidth="1"/>
    <col min="10498" max="10752" width="9.140625" style="1018"/>
    <col min="10753" max="10753" width="100.7109375" style="1018" customWidth="1"/>
    <col min="10754" max="11008" width="9.140625" style="1018"/>
    <col min="11009" max="11009" width="100.7109375" style="1018" customWidth="1"/>
    <col min="11010" max="11264" width="9.140625" style="1018"/>
    <col min="11265" max="11265" width="100.7109375" style="1018" customWidth="1"/>
    <col min="11266" max="11520" width="9.140625" style="1018"/>
    <col min="11521" max="11521" width="100.7109375" style="1018" customWidth="1"/>
    <col min="11522" max="11776" width="9.140625" style="1018"/>
    <col min="11777" max="11777" width="100.7109375" style="1018" customWidth="1"/>
    <col min="11778" max="12032" width="9.140625" style="1018"/>
    <col min="12033" max="12033" width="100.7109375" style="1018" customWidth="1"/>
    <col min="12034" max="12288" width="9.140625" style="1018"/>
    <col min="12289" max="12289" width="100.7109375" style="1018" customWidth="1"/>
    <col min="12290" max="12544" width="9.140625" style="1018"/>
    <col min="12545" max="12545" width="100.7109375" style="1018" customWidth="1"/>
    <col min="12546" max="12800" width="9.140625" style="1018"/>
    <col min="12801" max="12801" width="100.7109375" style="1018" customWidth="1"/>
    <col min="12802" max="13056" width="9.140625" style="1018"/>
    <col min="13057" max="13057" width="100.7109375" style="1018" customWidth="1"/>
    <col min="13058" max="13312" width="9.140625" style="1018"/>
    <col min="13313" max="13313" width="100.7109375" style="1018" customWidth="1"/>
    <col min="13314" max="13568" width="9.140625" style="1018"/>
    <col min="13569" max="13569" width="100.7109375" style="1018" customWidth="1"/>
    <col min="13570" max="13824" width="9.140625" style="1018"/>
    <col min="13825" max="13825" width="100.7109375" style="1018" customWidth="1"/>
    <col min="13826" max="14080" width="9.140625" style="1018"/>
    <col min="14081" max="14081" width="100.7109375" style="1018" customWidth="1"/>
    <col min="14082" max="14336" width="9.140625" style="1018"/>
    <col min="14337" max="14337" width="100.7109375" style="1018" customWidth="1"/>
    <col min="14338" max="14592" width="9.140625" style="1018"/>
    <col min="14593" max="14593" width="100.7109375" style="1018" customWidth="1"/>
    <col min="14594" max="14848" width="9.140625" style="1018"/>
    <col min="14849" max="14849" width="100.7109375" style="1018" customWidth="1"/>
    <col min="14850" max="15104" width="9.140625" style="1018"/>
    <col min="15105" max="15105" width="100.7109375" style="1018" customWidth="1"/>
    <col min="15106" max="15360" width="9.140625" style="1018"/>
    <col min="15361" max="15361" width="100.7109375" style="1018" customWidth="1"/>
    <col min="15362" max="15616" width="9.140625" style="1018"/>
    <col min="15617" max="15617" width="100.7109375" style="1018" customWidth="1"/>
    <col min="15618" max="15872" width="9.140625" style="1018"/>
    <col min="15873" max="15873" width="100.7109375" style="1018" customWidth="1"/>
    <col min="15874" max="16128" width="9.140625" style="1018"/>
    <col min="16129" max="16129" width="100.7109375" style="1018" customWidth="1"/>
    <col min="16130" max="16384" width="9.140625" style="1018"/>
  </cols>
  <sheetData>
    <row r="1" spans="1:8" ht="30" customHeight="1">
      <c r="A1" s="1016"/>
      <c r="B1" s="1017"/>
      <c r="C1" s="1017"/>
      <c r="D1" s="1017"/>
      <c r="E1" s="1017"/>
      <c r="F1" s="1017"/>
      <c r="G1" s="1017"/>
      <c r="H1" s="1017"/>
    </row>
    <row r="2" spans="1:8" ht="14.25">
      <c r="A2" s="1019" t="s">
        <v>1124</v>
      </c>
      <c r="B2" s="1017"/>
      <c r="C2" s="1017"/>
      <c r="D2" s="1017"/>
      <c r="E2" s="1017"/>
      <c r="F2" s="1017"/>
      <c r="G2" s="1017"/>
      <c r="H2" s="1017"/>
    </row>
    <row r="3" spans="1:8" ht="14.25">
      <c r="A3" s="1019" t="s">
        <v>1125</v>
      </c>
      <c r="B3" s="1017"/>
      <c r="C3" s="1017"/>
      <c r="D3" s="1017"/>
      <c r="E3" s="1017"/>
      <c r="F3" s="1017"/>
      <c r="G3" s="1017"/>
      <c r="H3" s="1017"/>
    </row>
    <row r="4" spans="1:8" ht="14.25">
      <c r="A4" s="1019" t="s">
        <v>119</v>
      </c>
      <c r="B4" s="1017"/>
      <c r="C4" s="1017"/>
      <c r="D4" s="1017"/>
      <c r="E4" s="1017"/>
      <c r="F4" s="1017"/>
      <c r="G4" s="1017"/>
      <c r="H4" s="1017"/>
    </row>
    <row r="5" spans="1:8" ht="14.25">
      <c r="A5" s="1019" t="s">
        <v>1126</v>
      </c>
      <c r="B5" s="1017"/>
      <c r="C5" s="1017"/>
      <c r="D5" s="1017"/>
      <c r="E5" s="1017"/>
      <c r="F5" s="1017"/>
      <c r="G5" s="1017"/>
      <c r="H5" s="1017"/>
    </row>
    <row r="6" spans="1:8" ht="14.25">
      <c r="A6" s="1019"/>
      <c r="B6" s="1017"/>
      <c r="C6" s="1017"/>
      <c r="D6" s="1017"/>
      <c r="E6" s="1017"/>
      <c r="F6" s="1017"/>
      <c r="G6" s="1017"/>
      <c r="H6" s="1017"/>
    </row>
    <row r="7" spans="1:8">
      <c r="A7" s="1016" t="s">
        <v>1127</v>
      </c>
      <c r="B7" s="1017"/>
      <c r="C7" s="1017"/>
      <c r="D7" s="1017"/>
      <c r="E7" s="1017"/>
      <c r="F7" s="1017"/>
      <c r="G7" s="1017"/>
      <c r="H7" s="1017"/>
    </row>
    <row r="8" spans="1:8">
      <c r="A8" s="1016" t="s">
        <v>1128</v>
      </c>
      <c r="B8" s="1017"/>
      <c r="C8" s="1017"/>
      <c r="D8" s="1017"/>
      <c r="E8" s="1017"/>
      <c r="F8" s="1017"/>
      <c r="G8" s="1017"/>
      <c r="H8" s="1017"/>
    </row>
    <row r="9" spans="1:8">
      <c r="A9" s="1016"/>
      <c r="B9" s="1017"/>
      <c r="C9" s="1017"/>
      <c r="D9" s="1017"/>
      <c r="E9" s="1017"/>
      <c r="F9" s="1017"/>
      <c r="G9" s="1017"/>
      <c r="H9" s="1017"/>
    </row>
    <row r="10" spans="1:8">
      <c r="A10" s="1020" t="s">
        <v>1129</v>
      </c>
      <c r="B10" s="1017"/>
      <c r="C10" s="1017"/>
      <c r="D10" s="1017"/>
      <c r="E10" s="1017"/>
      <c r="F10" s="1017"/>
      <c r="G10" s="1017"/>
      <c r="H10" s="1017"/>
    </row>
    <row r="11" spans="1:8">
      <c r="A11" s="1020" t="s">
        <v>1130</v>
      </c>
      <c r="B11" s="1017"/>
      <c r="C11" s="1017"/>
      <c r="D11" s="1017"/>
      <c r="E11" s="1017"/>
      <c r="F11" s="1017"/>
      <c r="G11" s="1017"/>
      <c r="H11" s="1017"/>
    </row>
    <row r="12" spans="1:8">
      <c r="A12" s="1020" t="s">
        <v>1131</v>
      </c>
      <c r="B12" s="1017"/>
      <c r="C12" s="1017"/>
      <c r="D12" s="1017"/>
      <c r="E12" s="1017"/>
      <c r="F12" s="1017"/>
      <c r="G12" s="1017"/>
      <c r="H12" s="1017"/>
    </row>
    <row r="13" spans="1:8">
      <c r="A13" s="1020" t="s">
        <v>1132</v>
      </c>
      <c r="B13" s="1017"/>
      <c r="C13" s="1017"/>
      <c r="D13" s="1017"/>
      <c r="E13" s="1017"/>
      <c r="F13" s="1017"/>
      <c r="G13" s="1017"/>
      <c r="H13" s="1017"/>
    </row>
    <row r="14" spans="1:8">
      <c r="A14" s="1020" t="s">
        <v>1133</v>
      </c>
      <c r="B14" s="1017"/>
      <c r="C14" s="1017"/>
      <c r="D14" s="1017"/>
      <c r="E14" s="1017"/>
      <c r="F14" s="1017"/>
      <c r="G14" s="1017"/>
      <c r="H14" s="1017"/>
    </row>
    <row r="15" spans="1:8">
      <c r="A15" s="1020" t="s">
        <v>1134</v>
      </c>
      <c r="B15" s="1017"/>
      <c r="C15" s="1017"/>
      <c r="D15" s="1017"/>
      <c r="E15" s="1017"/>
      <c r="F15" s="1017"/>
      <c r="G15" s="1017"/>
      <c r="H15" s="1017"/>
    </row>
    <row r="16" spans="1:8">
      <c r="A16" s="1020"/>
      <c r="B16" s="1017"/>
      <c r="C16" s="1017"/>
      <c r="D16" s="1017"/>
      <c r="E16" s="1017"/>
      <c r="F16" s="1017"/>
      <c r="G16" s="1017"/>
      <c r="H16" s="1017"/>
    </row>
    <row r="17" spans="1:8">
      <c r="A17" s="1020" t="s">
        <v>1121</v>
      </c>
      <c r="B17" s="1017"/>
      <c r="C17" s="1017"/>
      <c r="D17" s="1017"/>
      <c r="E17" s="1017"/>
      <c r="F17" s="1017"/>
      <c r="G17" s="1017"/>
      <c r="H17" s="1017"/>
    </row>
    <row r="18" spans="1:8">
      <c r="A18" s="1020"/>
      <c r="B18" s="1017"/>
      <c r="C18" s="1017"/>
      <c r="D18" s="1017"/>
      <c r="E18" s="1017"/>
      <c r="F18" s="1017"/>
      <c r="G18" s="1017"/>
      <c r="H18" s="1017"/>
    </row>
    <row r="19" spans="1:8">
      <c r="A19" s="1020" t="s">
        <v>1122</v>
      </c>
      <c r="B19" s="1017"/>
      <c r="C19" s="1017"/>
      <c r="D19" s="1017"/>
      <c r="E19" s="1017"/>
      <c r="F19" s="1017"/>
      <c r="G19" s="1017"/>
      <c r="H19" s="1017"/>
    </row>
    <row r="20" spans="1:8">
      <c r="A20" s="1016"/>
      <c r="B20" s="1017"/>
      <c r="C20" s="1017"/>
      <c r="D20" s="1017"/>
      <c r="E20" s="1017"/>
      <c r="F20" s="1017"/>
      <c r="G20" s="1017"/>
      <c r="H20" s="1017"/>
    </row>
    <row r="21" spans="1:8">
      <c r="A21" s="1021" t="s">
        <v>1123</v>
      </c>
      <c r="B21" s="1017"/>
      <c r="C21" s="1017"/>
      <c r="D21" s="1017"/>
      <c r="E21" s="1017"/>
      <c r="F21" s="1017"/>
      <c r="G21" s="1017"/>
      <c r="H21" s="1017"/>
    </row>
    <row r="22" spans="1:8" ht="15">
      <c r="A22" s="1022"/>
      <c r="B22" s="1022"/>
      <c r="C22" s="1022"/>
      <c r="D22" s="1022"/>
      <c r="E22" s="1022"/>
      <c r="F22" s="1022"/>
      <c r="G22" s="1022"/>
      <c r="H22" s="1022"/>
    </row>
    <row r="23" spans="1:8" ht="15">
      <c r="A23" s="1023" t="s">
        <v>1417</v>
      </c>
      <c r="B23" s="1022"/>
      <c r="C23" s="1022"/>
      <c r="D23" s="1022"/>
      <c r="E23" s="1022"/>
      <c r="F23" s="1022"/>
      <c r="G23" s="1022"/>
      <c r="H23" s="1022"/>
    </row>
    <row r="24" spans="1:8" ht="15">
      <c r="A24" s="1023" t="s">
        <v>1418</v>
      </c>
      <c r="B24" s="1022"/>
      <c r="C24" s="1022"/>
      <c r="D24" s="1022"/>
      <c r="E24" s="1022"/>
      <c r="F24" s="1022"/>
      <c r="G24" s="1022"/>
      <c r="H24" s="1022"/>
    </row>
    <row r="25" spans="1:8" ht="15">
      <c r="A25" s="1023" t="s">
        <v>1419</v>
      </c>
      <c r="B25" s="1022"/>
      <c r="C25" s="1022"/>
      <c r="D25" s="1022"/>
      <c r="E25" s="1022"/>
      <c r="F25" s="1022"/>
      <c r="G25" s="1022"/>
      <c r="H25" s="1022"/>
    </row>
    <row r="26" spans="1:8" ht="15">
      <c r="A26" s="1023" t="s">
        <v>1420</v>
      </c>
      <c r="B26" s="1022"/>
      <c r="C26" s="1022"/>
      <c r="D26" s="1022"/>
      <c r="E26" s="1022"/>
      <c r="F26" s="1022"/>
      <c r="G26" s="1022"/>
      <c r="H26" s="1022"/>
    </row>
    <row r="27" spans="1:8" ht="15">
      <c r="A27" s="1022"/>
      <c r="B27" s="1022"/>
      <c r="C27" s="1022"/>
      <c r="D27" s="1022"/>
      <c r="E27" s="1022"/>
      <c r="F27" s="1022"/>
      <c r="G27" s="1022"/>
      <c r="H27" s="1022"/>
    </row>
    <row r="28" spans="1:8" ht="15">
      <c r="A28" s="1022"/>
      <c r="B28" s="1022"/>
      <c r="C28" s="1022"/>
      <c r="D28" s="1022"/>
      <c r="E28" s="1022"/>
      <c r="F28" s="1022"/>
      <c r="G28" s="1022"/>
      <c r="H28" s="1022"/>
    </row>
    <row r="29" spans="1:8" ht="15">
      <c r="A29" s="1023" t="s">
        <v>1412</v>
      </c>
      <c r="B29" s="1022"/>
      <c r="C29" s="1022"/>
      <c r="D29" s="1022"/>
      <c r="E29" s="1022"/>
      <c r="F29" s="1022"/>
      <c r="G29" s="1022"/>
      <c r="H29" s="1022"/>
    </row>
    <row r="30" spans="1:8" ht="15">
      <c r="A30" s="1023" t="s">
        <v>1413</v>
      </c>
      <c r="B30" s="1022"/>
      <c r="C30" s="1022"/>
      <c r="D30" s="1022"/>
      <c r="E30" s="1022"/>
      <c r="F30" s="1022"/>
      <c r="G30" s="1022"/>
      <c r="H30" s="1022"/>
    </row>
    <row r="31" spans="1:8" ht="15">
      <c r="A31" s="1023" t="s">
        <v>1414</v>
      </c>
      <c r="B31" s="1022"/>
      <c r="C31" s="1022"/>
      <c r="D31" s="1022"/>
      <c r="E31" s="1022"/>
      <c r="F31" s="1022"/>
      <c r="G31" s="1022"/>
      <c r="H31" s="1022"/>
    </row>
    <row r="32" spans="1:8" ht="15">
      <c r="A32" s="1023" t="s">
        <v>1415</v>
      </c>
      <c r="B32" s="1022"/>
      <c r="C32" s="1022"/>
      <c r="D32" s="1022"/>
      <c r="E32" s="1022"/>
      <c r="F32" s="1022"/>
      <c r="G32" s="1022"/>
      <c r="H32" s="1022"/>
    </row>
    <row r="33" spans="1:8" ht="15">
      <c r="A33" s="1023" t="s">
        <v>1416</v>
      </c>
      <c r="B33" s="1022"/>
      <c r="C33" s="1022"/>
      <c r="D33" s="1022"/>
      <c r="E33" s="1022"/>
      <c r="F33" s="1022"/>
      <c r="G33" s="1022"/>
      <c r="H33" s="1022"/>
    </row>
    <row r="34" spans="1:8" ht="15">
      <c r="A34" s="1022"/>
      <c r="B34" s="1022"/>
      <c r="C34" s="1022"/>
      <c r="D34" s="1022"/>
      <c r="E34" s="1022"/>
      <c r="F34" s="1022"/>
      <c r="G34" s="1022"/>
      <c r="H34" s="1022"/>
    </row>
    <row r="35" spans="1:8" ht="15">
      <c r="A35" s="1023" t="s">
        <v>1408</v>
      </c>
      <c r="B35" s="1022"/>
      <c r="C35" s="1022"/>
      <c r="D35" s="1022"/>
      <c r="E35" s="1022"/>
      <c r="F35" s="1022"/>
      <c r="G35" s="1022"/>
      <c r="H35" s="1022"/>
    </row>
    <row r="36" spans="1:8" ht="15">
      <c r="A36" s="1023" t="s">
        <v>1409</v>
      </c>
      <c r="B36" s="1022"/>
      <c r="C36" s="1022"/>
      <c r="D36" s="1022"/>
      <c r="E36" s="1022"/>
      <c r="F36" s="1022"/>
      <c r="G36" s="1022"/>
      <c r="H36" s="1022"/>
    </row>
    <row r="37" spans="1:8" ht="15">
      <c r="A37" s="1023" t="s">
        <v>1410</v>
      </c>
      <c r="B37" s="1022"/>
      <c r="C37" s="1022"/>
      <c r="D37" s="1022"/>
      <c r="E37" s="1022"/>
      <c r="F37" s="1022"/>
      <c r="G37" s="1022"/>
      <c r="H37" s="1022"/>
    </row>
    <row r="38" spans="1:8" ht="15">
      <c r="A38" s="1023" t="s">
        <v>1411</v>
      </c>
      <c r="B38" s="1022"/>
      <c r="C38" s="1022"/>
      <c r="D38" s="1022"/>
      <c r="E38" s="1022"/>
      <c r="F38" s="1022"/>
      <c r="G38" s="1022"/>
      <c r="H38" s="1022"/>
    </row>
    <row r="39" spans="1:8" ht="15">
      <c r="A39" s="1022"/>
      <c r="B39" s="1022"/>
      <c r="C39" s="1022"/>
      <c r="D39" s="1022"/>
      <c r="E39" s="1022"/>
      <c r="F39" s="1022"/>
      <c r="G39" s="1022"/>
      <c r="H39" s="1022"/>
    </row>
    <row r="40" spans="1:8" ht="15">
      <c r="A40" s="1023" t="s">
        <v>1402</v>
      </c>
      <c r="B40" s="1022"/>
      <c r="C40" s="1022"/>
      <c r="D40" s="1022"/>
      <c r="E40" s="1022"/>
      <c r="F40" s="1022"/>
      <c r="G40" s="1022"/>
      <c r="H40" s="1022"/>
    </row>
    <row r="41" spans="1:8" ht="15">
      <c r="A41" s="1023" t="s">
        <v>1403</v>
      </c>
      <c r="B41" s="1022"/>
      <c r="C41" s="1022"/>
      <c r="D41" s="1022"/>
      <c r="E41" s="1022"/>
      <c r="F41" s="1022"/>
      <c r="G41" s="1022"/>
      <c r="H41" s="1022"/>
    </row>
    <row r="42" spans="1:8" ht="15">
      <c r="A42" s="1023" t="s">
        <v>1404</v>
      </c>
      <c r="B42" s="1022"/>
      <c r="C42" s="1022"/>
      <c r="D42" s="1022"/>
      <c r="E42" s="1022"/>
      <c r="F42" s="1022"/>
      <c r="G42" s="1022"/>
      <c r="H42" s="1022"/>
    </row>
    <row r="43" spans="1:8" ht="15">
      <c r="A43" s="1023" t="s">
        <v>1405</v>
      </c>
      <c r="B43" s="1022"/>
      <c r="C43" s="1022"/>
      <c r="D43" s="1022"/>
      <c r="E43" s="1022"/>
      <c r="F43" s="1022"/>
      <c r="G43" s="1022"/>
      <c r="H43" s="1022"/>
    </row>
    <row r="44" spans="1:8" ht="15">
      <c r="A44" s="1023" t="s">
        <v>1406</v>
      </c>
      <c r="B44" s="1022"/>
      <c r="C44" s="1022"/>
      <c r="D44" s="1022"/>
      <c r="E44" s="1022"/>
      <c r="F44" s="1022"/>
      <c r="G44" s="1022"/>
      <c r="H44" s="1022"/>
    </row>
    <row r="45" spans="1:8" ht="15">
      <c r="A45" s="1023" t="s">
        <v>1407</v>
      </c>
      <c r="B45" s="1022"/>
      <c r="C45" s="1022"/>
      <c r="D45" s="1022"/>
      <c r="E45" s="1022"/>
      <c r="F45" s="1022"/>
      <c r="G45" s="1022"/>
      <c r="H45" s="1022"/>
    </row>
    <row r="46" spans="1:8" ht="15">
      <c r="A46" s="1022"/>
      <c r="B46" s="1022"/>
      <c r="C46" s="1022"/>
      <c r="D46" s="1022"/>
      <c r="E46" s="1022"/>
      <c r="F46" s="1022"/>
      <c r="G46" s="1022"/>
      <c r="H46" s="1022"/>
    </row>
    <row r="47" spans="1:8" ht="15.75">
      <c r="A47" s="1024" t="s">
        <v>1135</v>
      </c>
      <c r="B47" s="1022"/>
      <c r="C47" s="1022"/>
      <c r="D47" s="1022"/>
      <c r="E47" s="1022"/>
      <c r="F47" s="1022"/>
      <c r="G47" s="1022"/>
      <c r="H47" s="1022"/>
    </row>
    <row r="48" spans="1:8" ht="15">
      <c r="A48" s="1022"/>
      <c r="B48" s="1022"/>
      <c r="C48" s="1022"/>
      <c r="D48" s="1022"/>
      <c r="E48" s="1022"/>
      <c r="F48" s="1022"/>
      <c r="G48" s="1022"/>
      <c r="H48" s="1022"/>
    </row>
    <row r="49" spans="1:8" ht="15">
      <c r="A49" s="1023" t="s">
        <v>1398</v>
      </c>
      <c r="B49" s="1022"/>
      <c r="C49" s="1022"/>
      <c r="D49" s="1022"/>
      <c r="E49" s="1022"/>
      <c r="F49" s="1022"/>
      <c r="G49" s="1022"/>
      <c r="H49" s="1022"/>
    </row>
    <row r="50" spans="1:8" ht="15">
      <c r="A50" s="1023" t="s">
        <v>1399</v>
      </c>
      <c r="B50" s="1022"/>
      <c r="C50" s="1022"/>
      <c r="D50" s="1022"/>
      <c r="E50" s="1022"/>
      <c r="F50" s="1022"/>
      <c r="G50" s="1022"/>
      <c r="H50" s="1022"/>
    </row>
    <row r="51" spans="1:8" ht="15">
      <c r="A51" s="1023" t="s">
        <v>1400</v>
      </c>
      <c r="B51" s="1022"/>
      <c r="C51" s="1022"/>
      <c r="D51" s="1022"/>
      <c r="E51" s="1022"/>
      <c r="F51" s="1022"/>
      <c r="G51" s="1022"/>
      <c r="H51" s="1022"/>
    </row>
    <row r="52" spans="1:8" ht="15">
      <c r="A52" s="1023" t="s">
        <v>1401</v>
      </c>
      <c r="B52" s="1022"/>
      <c r="C52" s="1022"/>
      <c r="D52" s="1022"/>
      <c r="E52" s="1022"/>
      <c r="F52" s="1022"/>
      <c r="G52" s="1022"/>
      <c r="H52" s="1022"/>
    </row>
    <row r="53" spans="1:8" ht="15">
      <c r="A53" s="1022"/>
      <c r="B53" s="1022"/>
      <c r="C53" s="1022"/>
      <c r="D53" s="1022"/>
      <c r="E53" s="1022"/>
      <c r="F53" s="1022"/>
      <c r="G53" s="1022"/>
      <c r="H53" s="1022"/>
    </row>
    <row r="54" spans="1:8" ht="15">
      <c r="A54" s="1023" t="s">
        <v>1136</v>
      </c>
      <c r="B54" s="1022"/>
      <c r="C54" s="1022"/>
      <c r="D54" s="1022"/>
      <c r="E54" s="1022"/>
      <c r="F54" s="1022"/>
      <c r="G54" s="1022"/>
      <c r="H54" s="1022"/>
    </row>
    <row r="55" spans="1:8" ht="15">
      <c r="A55" s="1022"/>
      <c r="B55" s="1022"/>
      <c r="C55" s="1022"/>
      <c r="D55" s="1022"/>
      <c r="E55" s="1022"/>
      <c r="F55" s="1022"/>
      <c r="G55" s="1022"/>
      <c r="H55" s="1022"/>
    </row>
    <row r="56" spans="1:8" ht="15.75">
      <c r="A56" s="1024" t="s">
        <v>1137</v>
      </c>
      <c r="B56" s="1022"/>
      <c r="C56" s="1022"/>
      <c r="D56" s="1022"/>
      <c r="E56" s="1022"/>
      <c r="F56" s="1022"/>
      <c r="G56" s="1022"/>
      <c r="H56" s="1022"/>
    </row>
    <row r="57" spans="1:8" ht="15">
      <c r="A57" s="1022"/>
      <c r="B57" s="1022"/>
      <c r="C57" s="1022"/>
      <c r="D57" s="1022"/>
      <c r="E57" s="1022"/>
      <c r="F57" s="1022"/>
      <c r="G57" s="1022"/>
      <c r="H57" s="1022"/>
    </row>
    <row r="58" spans="1:8" ht="15">
      <c r="A58" s="1023" t="s">
        <v>1396</v>
      </c>
      <c r="B58" s="1022"/>
      <c r="C58" s="1022"/>
      <c r="D58" s="1022"/>
      <c r="E58" s="1022"/>
      <c r="F58" s="1022"/>
      <c r="G58" s="1022"/>
      <c r="H58" s="1022"/>
    </row>
    <row r="59" spans="1:8" ht="15">
      <c r="A59" s="1023" t="s">
        <v>1397</v>
      </c>
      <c r="B59" s="1022"/>
      <c r="C59" s="1022"/>
      <c r="D59" s="1022"/>
      <c r="E59" s="1022"/>
      <c r="F59" s="1022"/>
      <c r="G59" s="1022"/>
      <c r="H59" s="1022"/>
    </row>
    <row r="60" spans="1:8" ht="15">
      <c r="A60" s="1022"/>
      <c r="B60" s="1022"/>
      <c r="C60" s="1022"/>
      <c r="D60" s="1022"/>
      <c r="E60" s="1022"/>
      <c r="F60" s="1022"/>
      <c r="G60" s="1022"/>
      <c r="H60" s="1022"/>
    </row>
    <row r="61" spans="1:8" ht="15.75">
      <c r="A61" s="1024" t="s">
        <v>1138</v>
      </c>
      <c r="B61" s="1022"/>
      <c r="C61" s="1022"/>
      <c r="D61" s="1022"/>
      <c r="E61" s="1022"/>
      <c r="F61" s="1022"/>
      <c r="G61" s="1022"/>
      <c r="H61" s="1022"/>
    </row>
    <row r="62" spans="1:8" ht="15">
      <c r="A62" s="1022"/>
      <c r="B62" s="1022"/>
      <c r="C62" s="1022"/>
      <c r="D62" s="1022"/>
      <c r="E62" s="1022"/>
      <c r="F62" s="1022"/>
      <c r="G62" s="1022"/>
      <c r="H62" s="1022"/>
    </row>
    <row r="63" spans="1:8" ht="15">
      <c r="A63" s="1023" t="s">
        <v>1394</v>
      </c>
      <c r="B63" s="1022"/>
      <c r="C63" s="1022"/>
      <c r="D63" s="1022"/>
      <c r="E63" s="1022"/>
      <c r="F63" s="1022"/>
      <c r="G63" s="1022"/>
      <c r="H63" s="1022"/>
    </row>
    <row r="64" spans="1:8" ht="15">
      <c r="A64" s="1023" t="s">
        <v>1395</v>
      </c>
      <c r="B64" s="1022"/>
      <c r="C64" s="1022"/>
      <c r="D64" s="1022"/>
      <c r="E64" s="1022"/>
      <c r="F64" s="1022"/>
      <c r="G64" s="1022"/>
      <c r="H64" s="1022"/>
    </row>
    <row r="65" spans="1:8" ht="15">
      <c r="A65" s="1022"/>
      <c r="B65" s="1022"/>
      <c r="C65" s="1022"/>
      <c r="D65" s="1022"/>
      <c r="E65" s="1022"/>
      <c r="F65" s="1022"/>
      <c r="G65" s="1022"/>
      <c r="H65" s="1022"/>
    </row>
    <row r="66" spans="1:8" ht="15">
      <c r="A66" s="1023" t="s">
        <v>1392</v>
      </c>
      <c r="B66" s="1022"/>
      <c r="C66" s="1022"/>
      <c r="D66" s="1022"/>
      <c r="E66" s="1022"/>
      <c r="F66" s="1022"/>
      <c r="G66" s="1022"/>
      <c r="H66" s="1022"/>
    </row>
    <row r="67" spans="1:8" ht="15">
      <c r="A67" s="1023" t="s">
        <v>1393</v>
      </c>
      <c r="B67" s="1022"/>
      <c r="C67" s="1022"/>
      <c r="D67" s="1022"/>
      <c r="E67" s="1022"/>
      <c r="F67" s="1022"/>
      <c r="G67" s="1022"/>
      <c r="H67" s="1022"/>
    </row>
    <row r="68" spans="1:8" ht="15">
      <c r="A68" s="1022"/>
      <c r="B68" s="1022"/>
      <c r="C68" s="1022"/>
      <c r="D68" s="1022"/>
      <c r="E68" s="1022"/>
      <c r="F68" s="1022"/>
      <c r="G68" s="1022"/>
      <c r="H68" s="1022"/>
    </row>
    <row r="69" spans="1:8" ht="15">
      <c r="A69" s="1023" t="s">
        <v>1390</v>
      </c>
      <c r="B69" s="1022"/>
      <c r="C69" s="1022"/>
      <c r="D69" s="1022"/>
      <c r="E69" s="1022"/>
      <c r="F69" s="1022"/>
      <c r="G69" s="1022"/>
      <c r="H69" s="1022"/>
    </row>
    <row r="70" spans="1:8" ht="15">
      <c r="A70" s="1023" t="s">
        <v>1391</v>
      </c>
      <c r="B70" s="1022"/>
      <c r="C70" s="1022"/>
      <c r="D70" s="1022"/>
      <c r="E70" s="1022"/>
      <c r="F70" s="1022"/>
      <c r="G70" s="1022"/>
      <c r="H70" s="1022"/>
    </row>
    <row r="71" spans="1:8" ht="15">
      <c r="A71" s="1022"/>
      <c r="B71" s="1022"/>
      <c r="C71" s="1022"/>
      <c r="D71" s="1022"/>
      <c r="E71" s="1022"/>
      <c r="F71" s="1022"/>
      <c r="G71" s="1022"/>
      <c r="H71" s="1022"/>
    </row>
    <row r="72" spans="1:8" ht="15">
      <c r="A72" s="1023" t="s">
        <v>1388</v>
      </c>
      <c r="B72" s="1022"/>
      <c r="C72" s="1022"/>
      <c r="D72" s="1022"/>
      <c r="E72" s="1022"/>
      <c r="F72" s="1022"/>
      <c r="G72" s="1022"/>
      <c r="H72" s="1022"/>
    </row>
    <row r="73" spans="1:8" ht="15">
      <c r="A73" s="1023" t="s">
        <v>1389</v>
      </c>
      <c r="B73" s="1022"/>
      <c r="C73" s="1022"/>
      <c r="D73" s="1022"/>
      <c r="E73" s="1022"/>
      <c r="F73" s="1022"/>
      <c r="G73" s="1022"/>
      <c r="H73" s="1022"/>
    </row>
    <row r="74" spans="1:8" ht="15">
      <c r="A74" s="1022"/>
      <c r="B74" s="1022"/>
      <c r="C74" s="1022"/>
      <c r="D74" s="1022"/>
      <c r="E74" s="1022"/>
      <c r="F74" s="1022"/>
      <c r="G74" s="1022"/>
      <c r="H74" s="1022"/>
    </row>
    <row r="75" spans="1:8" ht="15">
      <c r="A75" s="1023" t="s">
        <v>1386</v>
      </c>
      <c r="B75" s="1022"/>
      <c r="C75" s="1022"/>
      <c r="D75" s="1022"/>
      <c r="E75" s="1022"/>
      <c r="F75" s="1022"/>
      <c r="G75" s="1022"/>
      <c r="H75" s="1022"/>
    </row>
    <row r="76" spans="1:8" ht="15">
      <c r="A76" s="1023" t="s">
        <v>1387</v>
      </c>
      <c r="B76" s="1022"/>
      <c r="C76" s="1022"/>
      <c r="D76" s="1022"/>
      <c r="E76" s="1022"/>
      <c r="F76" s="1022"/>
      <c r="G76" s="1022"/>
      <c r="H76" s="1022"/>
    </row>
    <row r="77" spans="1:8" ht="15">
      <c r="A77" s="1022"/>
      <c r="B77" s="1022"/>
      <c r="C77" s="1022"/>
      <c r="D77" s="1022"/>
      <c r="E77" s="1022"/>
      <c r="F77" s="1022"/>
      <c r="G77" s="1022"/>
      <c r="H77" s="1022"/>
    </row>
    <row r="78" spans="1:8" ht="15">
      <c r="A78" s="1023" t="s">
        <v>1383</v>
      </c>
      <c r="B78" s="1022"/>
      <c r="C78" s="1022"/>
      <c r="D78" s="1022"/>
      <c r="E78" s="1022"/>
      <c r="F78" s="1022"/>
      <c r="G78" s="1022"/>
      <c r="H78" s="1022"/>
    </row>
    <row r="79" spans="1:8" ht="15">
      <c r="A79" s="1023" t="s">
        <v>1384</v>
      </c>
      <c r="B79" s="1022"/>
      <c r="C79" s="1022"/>
      <c r="D79" s="1022"/>
      <c r="E79" s="1022"/>
      <c r="F79" s="1022"/>
      <c r="G79" s="1022"/>
      <c r="H79" s="1022"/>
    </row>
    <row r="80" spans="1:8" ht="15">
      <c r="A80" s="1023" t="s">
        <v>1385</v>
      </c>
      <c r="B80" s="1022"/>
      <c r="C80" s="1022"/>
      <c r="D80" s="1022"/>
      <c r="E80" s="1022"/>
      <c r="F80" s="1022"/>
      <c r="G80" s="1022"/>
      <c r="H80" s="1022"/>
    </row>
    <row r="81" spans="1:8" ht="15">
      <c r="A81" s="1022"/>
      <c r="B81" s="1022"/>
      <c r="C81" s="1022"/>
      <c r="D81" s="1022"/>
      <c r="E81" s="1022"/>
      <c r="F81" s="1022"/>
      <c r="G81" s="1022"/>
      <c r="H81" s="1022"/>
    </row>
    <row r="82" spans="1:8" ht="15">
      <c r="A82" s="1023" t="s">
        <v>1139</v>
      </c>
      <c r="B82" s="1022"/>
      <c r="C82" s="1022"/>
      <c r="D82" s="1022"/>
      <c r="E82" s="1022"/>
      <c r="F82" s="1022"/>
      <c r="G82" s="1022"/>
      <c r="H82" s="1022"/>
    </row>
    <row r="83" spans="1:8" ht="15">
      <c r="A83" s="1022"/>
      <c r="B83" s="1022"/>
      <c r="C83" s="1022"/>
      <c r="D83" s="1022"/>
      <c r="E83" s="1022"/>
      <c r="F83" s="1022"/>
      <c r="G83" s="1022"/>
      <c r="H83" s="1022"/>
    </row>
    <row r="84" spans="1:8" ht="15">
      <c r="A84" s="1023" t="s">
        <v>1378</v>
      </c>
      <c r="B84" s="1022"/>
      <c r="C84" s="1022"/>
      <c r="D84" s="1022"/>
      <c r="E84" s="1022"/>
      <c r="F84" s="1022"/>
      <c r="G84" s="1022"/>
      <c r="H84" s="1022"/>
    </row>
    <row r="85" spans="1:8" ht="15">
      <c r="A85" s="1023" t="s">
        <v>1379</v>
      </c>
      <c r="B85" s="1022"/>
      <c r="C85" s="1022"/>
      <c r="D85" s="1022"/>
      <c r="E85" s="1022"/>
      <c r="F85" s="1022"/>
      <c r="G85" s="1022"/>
      <c r="H85" s="1022"/>
    </row>
    <row r="86" spans="1:8" ht="15">
      <c r="A86" s="1023" t="s">
        <v>1380</v>
      </c>
      <c r="B86" s="1022"/>
      <c r="C86" s="1022"/>
      <c r="D86" s="1022"/>
      <c r="E86" s="1022"/>
      <c r="F86" s="1022"/>
      <c r="G86" s="1022"/>
      <c r="H86" s="1022"/>
    </row>
    <row r="87" spans="1:8" ht="15">
      <c r="A87" s="1023" t="s">
        <v>1381</v>
      </c>
      <c r="B87" s="1022"/>
      <c r="C87" s="1022"/>
      <c r="D87" s="1022"/>
      <c r="E87" s="1022"/>
      <c r="F87" s="1022"/>
      <c r="G87" s="1022"/>
      <c r="H87" s="1022"/>
    </row>
    <row r="88" spans="1:8" ht="15">
      <c r="A88" s="1023" t="s">
        <v>1382</v>
      </c>
      <c r="B88" s="1022"/>
      <c r="C88" s="1022"/>
      <c r="D88" s="1022"/>
      <c r="E88" s="1022"/>
      <c r="F88" s="1022"/>
      <c r="G88" s="1022"/>
      <c r="H88" s="1022"/>
    </row>
    <row r="89" spans="1:8" ht="15">
      <c r="A89" s="1023" t="s">
        <v>1265</v>
      </c>
      <c r="B89" s="1022"/>
      <c r="C89" s="1022"/>
      <c r="D89" s="1022"/>
      <c r="E89" s="1022"/>
      <c r="F89" s="1022"/>
      <c r="G89" s="1022"/>
      <c r="H89" s="1022"/>
    </row>
    <row r="90" spans="1:8" ht="15">
      <c r="A90" s="1022"/>
      <c r="B90" s="1022"/>
      <c r="C90" s="1022"/>
      <c r="D90" s="1022"/>
      <c r="E90" s="1022"/>
      <c r="F90" s="1022"/>
      <c r="G90" s="1022"/>
      <c r="H90" s="1022"/>
    </row>
    <row r="91" spans="1:8" ht="15">
      <c r="A91" s="1023" t="s">
        <v>1371</v>
      </c>
      <c r="B91" s="1022"/>
      <c r="C91" s="1022"/>
      <c r="D91" s="1022"/>
      <c r="E91" s="1022"/>
      <c r="F91" s="1022"/>
      <c r="G91" s="1022"/>
      <c r="H91" s="1022"/>
    </row>
    <row r="92" spans="1:8" ht="15">
      <c r="A92" s="1023" t="s">
        <v>1372</v>
      </c>
      <c r="B92" s="1022"/>
      <c r="C92" s="1022"/>
      <c r="D92" s="1022"/>
      <c r="E92" s="1022"/>
      <c r="F92" s="1022"/>
      <c r="G92" s="1022"/>
      <c r="H92" s="1022"/>
    </row>
    <row r="93" spans="1:8" ht="15">
      <c r="A93" s="1023" t="s">
        <v>1373</v>
      </c>
      <c r="B93" s="1022"/>
      <c r="C93" s="1022"/>
      <c r="D93" s="1022"/>
      <c r="E93" s="1022"/>
      <c r="F93" s="1022"/>
      <c r="G93" s="1022"/>
      <c r="H93" s="1022"/>
    </row>
    <row r="94" spans="1:8" ht="15">
      <c r="A94" s="1023" t="s">
        <v>1374</v>
      </c>
      <c r="B94" s="1022"/>
      <c r="C94" s="1022"/>
      <c r="D94" s="1022"/>
      <c r="E94" s="1022"/>
      <c r="F94" s="1022"/>
      <c r="G94" s="1022"/>
      <c r="H94" s="1022"/>
    </row>
    <row r="95" spans="1:8" ht="15">
      <c r="A95" s="1023" t="s">
        <v>1375</v>
      </c>
      <c r="B95" s="1022"/>
      <c r="C95" s="1022"/>
      <c r="D95" s="1022"/>
      <c r="E95" s="1022"/>
      <c r="F95" s="1022"/>
      <c r="G95" s="1022"/>
      <c r="H95" s="1022"/>
    </row>
    <row r="96" spans="1:8" ht="15">
      <c r="A96" s="1023" t="s">
        <v>1376</v>
      </c>
      <c r="B96" s="1022"/>
      <c r="C96" s="1022"/>
      <c r="D96" s="1022"/>
      <c r="E96" s="1022"/>
      <c r="F96" s="1022"/>
      <c r="G96" s="1022"/>
      <c r="H96" s="1022"/>
    </row>
    <row r="97" spans="1:8" ht="15">
      <c r="A97" s="1023" t="s">
        <v>1377</v>
      </c>
      <c r="B97" s="1022"/>
      <c r="C97" s="1022"/>
      <c r="D97" s="1022"/>
      <c r="E97" s="1022"/>
      <c r="F97" s="1022"/>
      <c r="G97" s="1022"/>
      <c r="H97" s="1022"/>
    </row>
    <row r="98" spans="1:8" ht="15">
      <c r="A98" s="1022"/>
      <c r="B98" s="1022"/>
      <c r="C98" s="1022"/>
      <c r="D98" s="1022"/>
      <c r="E98" s="1022"/>
      <c r="F98" s="1022"/>
      <c r="G98" s="1022"/>
      <c r="H98" s="1022"/>
    </row>
    <row r="99" spans="1:8" ht="15">
      <c r="A99" s="1023" t="s">
        <v>1369</v>
      </c>
      <c r="B99" s="1022"/>
      <c r="C99" s="1022"/>
      <c r="D99" s="1022"/>
      <c r="E99" s="1022"/>
      <c r="F99" s="1022"/>
      <c r="G99" s="1022"/>
      <c r="H99" s="1022"/>
    </row>
    <row r="100" spans="1:8" ht="15">
      <c r="A100" s="1023" t="s">
        <v>1370</v>
      </c>
      <c r="B100" s="1022"/>
      <c r="C100" s="1022"/>
      <c r="D100" s="1022"/>
      <c r="E100" s="1022"/>
      <c r="F100" s="1022"/>
      <c r="G100" s="1022"/>
      <c r="H100" s="1022"/>
    </row>
    <row r="101" spans="1:8" ht="15">
      <c r="A101" s="1022"/>
      <c r="B101" s="1022"/>
      <c r="C101" s="1022"/>
      <c r="D101" s="1022"/>
      <c r="E101" s="1022"/>
      <c r="F101" s="1022"/>
      <c r="G101" s="1022"/>
      <c r="H101" s="1022"/>
    </row>
    <row r="102" spans="1:8" ht="15.75">
      <c r="A102" s="1024" t="s">
        <v>1140</v>
      </c>
      <c r="B102" s="1022"/>
      <c r="C102" s="1022"/>
      <c r="D102" s="1022"/>
      <c r="E102" s="1022"/>
      <c r="F102" s="1022"/>
      <c r="G102" s="1022"/>
      <c r="H102" s="1022"/>
    </row>
    <row r="103" spans="1:8" ht="15">
      <c r="A103" s="1022"/>
      <c r="B103" s="1022"/>
      <c r="C103" s="1022"/>
      <c r="D103" s="1022"/>
      <c r="E103" s="1022"/>
      <c r="F103" s="1022"/>
      <c r="G103" s="1022"/>
      <c r="H103" s="1022"/>
    </row>
    <row r="104" spans="1:8" ht="15">
      <c r="A104" s="1023" t="s">
        <v>1360</v>
      </c>
      <c r="B104" s="1022"/>
      <c r="C104" s="1022"/>
      <c r="D104" s="1022"/>
      <c r="E104" s="1022"/>
      <c r="F104" s="1022"/>
      <c r="G104" s="1022"/>
      <c r="H104" s="1022"/>
    </row>
    <row r="105" spans="1:8" ht="15">
      <c r="A105" s="1023" t="s">
        <v>1361</v>
      </c>
      <c r="B105" s="1022"/>
      <c r="C105" s="1022"/>
      <c r="D105" s="1022"/>
      <c r="E105" s="1022"/>
      <c r="F105" s="1022"/>
      <c r="G105" s="1022"/>
      <c r="H105" s="1022"/>
    </row>
    <row r="106" spans="1:8" ht="15">
      <c r="A106" s="1023" t="s">
        <v>1362</v>
      </c>
      <c r="B106" s="1022"/>
      <c r="C106" s="1022"/>
      <c r="D106" s="1022"/>
      <c r="E106" s="1022"/>
      <c r="F106" s="1022"/>
      <c r="G106" s="1022"/>
      <c r="H106" s="1022"/>
    </row>
    <row r="107" spans="1:8" ht="15">
      <c r="A107" s="1023" t="s">
        <v>1363</v>
      </c>
      <c r="B107" s="1022"/>
      <c r="C107" s="1022"/>
      <c r="D107" s="1022"/>
      <c r="E107" s="1022"/>
      <c r="F107" s="1022"/>
      <c r="G107" s="1022"/>
      <c r="H107" s="1022"/>
    </row>
    <row r="108" spans="1:8" ht="15">
      <c r="A108" s="1023" t="s">
        <v>1364</v>
      </c>
      <c r="B108" s="1022"/>
      <c r="C108" s="1022"/>
      <c r="D108" s="1022"/>
      <c r="E108" s="1022"/>
      <c r="F108" s="1022"/>
      <c r="G108" s="1022"/>
      <c r="H108" s="1022"/>
    </row>
    <row r="109" spans="1:8" ht="15">
      <c r="A109" s="1023" t="s">
        <v>1365</v>
      </c>
      <c r="B109" s="1022"/>
      <c r="C109" s="1022"/>
      <c r="D109" s="1022"/>
      <c r="E109" s="1022"/>
      <c r="F109" s="1022"/>
      <c r="G109" s="1022"/>
      <c r="H109" s="1022"/>
    </row>
    <row r="110" spans="1:8" ht="15">
      <c r="A110" s="1023" t="s">
        <v>1366</v>
      </c>
      <c r="B110" s="1022"/>
      <c r="C110" s="1022"/>
      <c r="D110" s="1022"/>
      <c r="E110" s="1022"/>
      <c r="F110" s="1022"/>
      <c r="G110" s="1022"/>
      <c r="H110" s="1022"/>
    </row>
    <row r="111" spans="1:8" ht="15">
      <c r="A111" s="1023" t="s">
        <v>1367</v>
      </c>
      <c r="B111" s="1022"/>
      <c r="C111" s="1022"/>
      <c r="D111" s="1022"/>
      <c r="E111" s="1022"/>
      <c r="F111" s="1022"/>
      <c r="G111" s="1022"/>
      <c r="H111" s="1022"/>
    </row>
    <row r="112" spans="1:8" ht="15">
      <c r="A112" s="1023" t="s">
        <v>1368</v>
      </c>
      <c r="B112" s="1022"/>
      <c r="C112" s="1022"/>
      <c r="D112" s="1022"/>
      <c r="E112" s="1022"/>
      <c r="F112" s="1022"/>
      <c r="G112" s="1022"/>
      <c r="H112" s="1022"/>
    </row>
    <row r="113" spans="1:8" ht="15">
      <c r="A113" s="1022"/>
      <c r="B113" s="1022"/>
      <c r="C113" s="1022"/>
      <c r="D113" s="1022"/>
      <c r="E113" s="1022"/>
      <c r="F113" s="1022"/>
      <c r="G113" s="1022"/>
      <c r="H113" s="1022"/>
    </row>
    <row r="114" spans="1:8" ht="15.75">
      <c r="A114" s="1025" t="s">
        <v>1141</v>
      </c>
      <c r="B114" s="1025"/>
      <c r="C114" s="1025"/>
      <c r="D114" s="1025"/>
      <c r="E114" s="1025"/>
      <c r="F114" s="1025"/>
      <c r="G114" s="1025"/>
      <c r="H114" s="1025"/>
    </row>
    <row r="115" spans="1:8">
      <c r="A115" s="1026" t="s">
        <v>1142</v>
      </c>
      <c r="B115" s="1026"/>
      <c r="C115" s="1026"/>
      <c r="D115" s="1026"/>
      <c r="E115" s="1026"/>
      <c r="F115" s="1026"/>
      <c r="G115" s="1026"/>
      <c r="H115" s="1026"/>
    </row>
    <row r="116" spans="1:8" ht="15">
      <c r="A116" s="1027"/>
      <c r="B116" s="1027"/>
      <c r="C116" s="1027"/>
      <c r="D116" s="1027"/>
      <c r="E116" s="1027"/>
      <c r="F116" s="1027"/>
      <c r="G116" s="1027"/>
      <c r="H116" s="1027"/>
    </row>
    <row r="117" spans="1:8">
      <c r="A117" s="1026" t="s">
        <v>1358</v>
      </c>
      <c r="B117" s="1026"/>
      <c r="C117" s="1026"/>
      <c r="D117" s="1026"/>
      <c r="E117" s="1026"/>
      <c r="F117" s="1026"/>
      <c r="G117" s="1026"/>
      <c r="H117" s="1026"/>
    </row>
    <row r="118" spans="1:8">
      <c r="A118" s="1023" t="s">
        <v>1359</v>
      </c>
      <c r="B118" s="1023"/>
      <c r="C118" s="1023"/>
      <c r="D118" s="1023"/>
      <c r="E118" s="1023"/>
      <c r="F118" s="1023"/>
      <c r="G118" s="1023"/>
      <c r="H118" s="1023"/>
    </row>
    <row r="119" spans="1:8" ht="15">
      <c r="A119" s="1027"/>
      <c r="B119" s="1027"/>
      <c r="C119" s="1027"/>
      <c r="D119" s="1027"/>
      <c r="E119" s="1027"/>
      <c r="F119" s="1027"/>
      <c r="G119" s="1027"/>
      <c r="H119" s="1027"/>
    </row>
    <row r="120" spans="1:8">
      <c r="A120" s="1026" t="s">
        <v>1351</v>
      </c>
      <c r="B120" s="1026"/>
      <c r="C120" s="1026"/>
      <c r="D120" s="1026"/>
      <c r="E120" s="1026"/>
      <c r="F120" s="1026"/>
      <c r="G120" s="1026"/>
      <c r="H120" s="1026"/>
    </row>
    <row r="121" spans="1:8">
      <c r="A121" s="1023" t="s">
        <v>1352</v>
      </c>
      <c r="B121" s="1023"/>
      <c r="C121" s="1023"/>
      <c r="D121" s="1023"/>
      <c r="E121" s="1023"/>
      <c r="F121" s="1023"/>
      <c r="G121" s="1023"/>
      <c r="H121" s="1023"/>
    </row>
    <row r="122" spans="1:8">
      <c r="A122" s="1023" t="s">
        <v>1353</v>
      </c>
      <c r="B122" s="1023"/>
      <c r="C122" s="1023"/>
      <c r="D122" s="1023"/>
      <c r="E122" s="1023"/>
      <c r="F122" s="1023"/>
      <c r="G122" s="1023"/>
      <c r="H122" s="1023"/>
    </row>
    <row r="123" spans="1:8">
      <c r="A123" s="1023" t="s">
        <v>1354</v>
      </c>
      <c r="B123" s="1023"/>
      <c r="C123" s="1023"/>
      <c r="D123" s="1023"/>
      <c r="E123" s="1023"/>
      <c r="F123" s="1023"/>
      <c r="G123" s="1023"/>
      <c r="H123" s="1023"/>
    </row>
    <row r="124" spans="1:8">
      <c r="A124" s="1023" t="s">
        <v>1355</v>
      </c>
      <c r="B124" s="1023"/>
      <c r="C124" s="1023"/>
      <c r="D124" s="1023"/>
      <c r="E124" s="1023"/>
      <c r="F124" s="1023"/>
      <c r="G124" s="1023"/>
      <c r="H124" s="1023"/>
    </row>
    <row r="125" spans="1:8">
      <c r="A125" s="1023" t="s">
        <v>1356</v>
      </c>
      <c r="B125" s="1023"/>
      <c r="C125" s="1023"/>
      <c r="D125" s="1023"/>
      <c r="E125" s="1023"/>
      <c r="F125" s="1023"/>
      <c r="G125" s="1023"/>
      <c r="H125" s="1023"/>
    </row>
    <row r="126" spans="1:8">
      <c r="A126" s="1023" t="s">
        <v>1357</v>
      </c>
      <c r="B126" s="1023"/>
      <c r="C126" s="1023"/>
      <c r="D126" s="1023"/>
      <c r="E126" s="1023"/>
      <c r="F126" s="1023"/>
      <c r="G126" s="1023"/>
      <c r="H126" s="1023"/>
    </row>
    <row r="127" spans="1:8" ht="15">
      <c r="A127" s="1028"/>
      <c r="B127" s="1028"/>
      <c r="C127" s="1028"/>
      <c r="D127" s="1028"/>
      <c r="E127" s="1028"/>
      <c r="F127" s="1028"/>
      <c r="G127" s="1028"/>
      <c r="H127" s="1028"/>
    </row>
    <row r="128" spans="1:8">
      <c r="A128" s="1029"/>
      <c r="B128" s="1030" t="s">
        <v>1143</v>
      </c>
      <c r="C128" s="1031"/>
      <c r="D128" s="1030" t="s">
        <v>1144</v>
      </c>
      <c r="E128" s="1032"/>
      <c r="F128" s="1031"/>
      <c r="G128" s="1030" t="s">
        <v>1145</v>
      </c>
      <c r="H128" s="1031"/>
    </row>
    <row r="129" spans="1:8">
      <c r="A129" s="1029" t="s">
        <v>1146</v>
      </c>
      <c r="B129" s="1029" t="s">
        <v>690</v>
      </c>
      <c r="C129" s="1029" t="s">
        <v>1147</v>
      </c>
      <c r="D129" s="1029" t="s">
        <v>690</v>
      </c>
      <c r="E129" s="1029" t="s">
        <v>1148</v>
      </c>
      <c r="F129" s="1029" t="s">
        <v>1149</v>
      </c>
      <c r="G129" s="1029" t="s">
        <v>690</v>
      </c>
      <c r="H129" s="1029" t="s">
        <v>1150</v>
      </c>
    </row>
    <row r="130" spans="1:8">
      <c r="A130" s="1029" t="s">
        <v>1151</v>
      </c>
      <c r="B130" s="1029">
        <v>1189</v>
      </c>
      <c r="C130" s="1033">
        <v>0.38</v>
      </c>
      <c r="D130" s="1029">
        <v>315</v>
      </c>
      <c r="E130" s="1033">
        <v>0.41</v>
      </c>
      <c r="F130" s="1033">
        <v>0.26</v>
      </c>
      <c r="G130" s="1029">
        <v>555</v>
      </c>
      <c r="H130" s="1033">
        <v>0.39</v>
      </c>
    </row>
    <row r="131" spans="1:8">
      <c r="A131" s="1029" t="s">
        <v>1152</v>
      </c>
      <c r="B131" s="1029">
        <v>1355</v>
      </c>
      <c r="C131" s="1033">
        <v>0.43</v>
      </c>
      <c r="D131" s="1029">
        <v>364</v>
      </c>
      <c r="E131" s="1033">
        <v>0.47</v>
      </c>
      <c r="F131" s="1033">
        <v>0.27</v>
      </c>
      <c r="G131" s="1029">
        <v>644</v>
      </c>
      <c r="H131" s="1033">
        <v>0.45</v>
      </c>
    </row>
    <row r="132" spans="1:8">
      <c r="A132" s="1029" t="s">
        <v>1153</v>
      </c>
      <c r="B132" s="1029">
        <v>53</v>
      </c>
      <c r="C132" s="1033">
        <v>0.02</v>
      </c>
      <c r="D132" s="1029">
        <v>4</v>
      </c>
      <c r="E132" s="1033">
        <v>0.01</v>
      </c>
      <c r="F132" s="1033">
        <v>0.08</v>
      </c>
      <c r="G132" s="1029">
        <v>7</v>
      </c>
      <c r="H132" s="1033">
        <v>0</v>
      </c>
    </row>
    <row r="133" spans="1:8">
      <c r="A133" s="1029" t="s">
        <v>1154</v>
      </c>
      <c r="B133" s="1029">
        <v>545</v>
      </c>
      <c r="C133" s="1033">
        <v>0.17</v>
      </c>
      <c r="D133" s="1029">
        <v>84</v>
      </c>
      <c r="E133" s="1033">
        <v>0.11</v>
      </c>
      <c r="F133" s="1033">
        <v>0.15</v>
      </c>
      <c r="G133" s="1029">
        <v>214</v>
      </c>
      <c r="H133" s="1033">
        <v>0.15</v>
      </c>
    </row>
    <row r="134" spans="1:8">
      <c r="A134" s="1029" t="s">
        <v>570</v>
      </c>
      <c r="B134" s="1034">
        <v>3142</v>
      </c>
      <c r="C134" s="1029"/>
      <c r="D134" s="1029">
        <v>767</v>
      </c>
      <c r="E134" s="1029"/>
      <c r="F134" s="1029"/>
      <c r="G134" s="1029">
        <v>1420</v>
      </c>
      <c r="H134" s="1029"/>
    </row>
    <row r="135" spans="1:8" ht="15">
      <c r="A135" s="1035"/>
      <c r="B135" s="1035"/>
      <c r="C135" s="1035"/>
      <c r="D135" s="1035"/>
      <c r="E135" s="1035"/>
      <c r="F135" s="1035"/>
      <c r="G135" s="1035"/>
      <c r="H135" s="1035"/>
    </row>
    <row r="136" spans="1:8">
      <c r="A136" s="1026" t="s">
        <v>1347</v>
      </c>
      <c r="B136" s="1026"/>
      <c r="C136" s="1026"/>
      <c r="D136" s="1026"/>
      <c r="E136" s="1026"/>
      <c r="F136" s="1026"/>
      <c r="G136" s="1026"/>
      <c r="H136" s="1026"/>
    </row>
    <row r="137" spans="1:8">
      <c r="A137" s="1023" t="s">
        <v>1348</v>
      </c>
      <c r="B137" s="1023"/>
      <c r="C137" s="1023"/>
      <c r="D137" s="1023"/>
      <c r="E137" s="1023"/>
      <c r="F137" s="1023"/>
      <c r="G137" s="1023"/>
      <c r="H137" s="1023"/>
    </row>
    <row r="138" spans="1:8">
      <c r="A138" s="1023" t="s">
        <v>1349</v>
      </c>
      <c r="B138" s="1023"/>
      <c r="C138" s="1023"/>
      <c r="D138" s="1023"/>
      <c r="E138" s="1023"/>
      <c r="F138" s="1023"/>
      <c r="G138" s="1023"/>
      <c r="H138" s="1023"/>
    </row>
    <row r="139" spans="1:8">
      <c r="A139" s="1023" t="s">
        <v>1350</v>
      </c>
      <c r="B139" s="1023"/>
      <c r="C139" s="1023"/>
      <c r="D139" s="1023"/>
      <c r="E139" s="1023"/>
      <c r="F139" s="1023"/>
      <c r="G139" s="1023"/>
      <c r="H139" s="1023"/>
    </row>
    <row r="140" spans="1:8" ht="15">
      <c r="A140" s="1022"/>
      <c r="B140" s="1022"/>
      <c r="C140" s="1022"/>
      <c r="D140" s="1022"/>
      <c r="E140" s="1022"/>
      <c r="F140" s="1022"/>
      <c r="G140" s="1022"/>
      <c r="H140" s="1022"/>
    </row>
    <row r="141" spans="1:8" ht="15.75">
      <c r="A141" s="1024" t="s">
        <v>1155</v>
      </c>
      <c r="B141" s="1022"/>
      <c r="C141" s="1022"/>
      <c r="D141" s="1022"/>
      <c r="E141" s="1022"/>
      <c r="F141" s="1022"/>
      <c r="G141" s="1022"/>
      <c r="H141" s="1022"/>
    </row>
    <row r="142" spans="1:8" ht="15">
      <c r="A142" s="1022"/>
      <c r="B142" s="1022"/>
      <c r="C142" s="1022"/>
      <c r="D142" s="1022"/>
      <c r="E142" s="1022"/>
      <c r="F142" s="1022"/>
      <c r="G142" s="1022"/>
      <c r="H142" s="1022"/>
    </row>
    <row r="143" spans="1:8" ht="15">
      <c r="A143" s="1023" t="s">
        <v>1345</v>
      </c>
      <c r="B143" s="1022"/>
      <c r="C143" s="1022"/>
      <c r="D143" s="1022"/>
      <c r="E143" s="1022"/>
      <c r="F143" s="1022"/>
      <c r="G143" s="1022"/>
      <c r="H143" s="1022"/>
    </row>
    <row r="144" spans="1:8" ht="15">
      <c r="A144" s="1023" t="s">
        <v>1346</v>
      </c>
      <c r="B144" s="1022"/>
      <c r="C144" s="1022"/>
      <c r="D144" s="1022"/>
      <c r="E144" s="1022"/>
      <c r="F144" s="1022"/>
      <c r="G144" s="1022"/>
      <c r="H144" s="1022"/>
    </row>
    <row r="145" spans="1:8" ht="15">
      <c r="A145" s="1022"/>
      <c r="B145" s="1022"/>
      <c r="C145" s="1022"/>
      <c r="D145" s="1022"/>
      <c r="E145" s="1022"/>
      <c r="F145" s="1022"/>
      <c r="G145" s="1022"/>
      <c r="H145" s="1022"/>
    </row>
    <row r="146" spans="1:8" ht="15">
      <c r="A146" s="1023" t="s">
        <v>1342</v>
      </c>
      <c r="B146" s="1022"/>
      <c r="C146" s="1022"/>
      <c r="D146" s="1022"/>
      <c r="E146" s="1022"/>
      <c r="F146" s="1022"/>
      <c r="G146" s="1022"/>
      <c r="H146" s="1022"/>
    </row>
    <row r="147" spans="1:8" ht="15">
      <c r="A147" s="1023" t="s">
        <v>1343</v>
      </c>
      <c r="B147" s="1022"/>
      <c r="C147" s="1022"/>
      <c r="D147" s="1022"/>
      <c r="E147" s="1022"/>
      <c r="F147" s="1022"/>
      <c r="G147" s="1022"/>
      <c r="H147" s="1022"/>
    </row>
    <row r="148" spans="1:8" ht="15">
      <c r="A148" s="1023" t="s">
        <v>1344</v>
      </c>
      <c r="B148" s="1022"/>
      <c r="C148" s="1022"/>
      <c r="D148" s="1022"/>
      <c r="E148" s="1022"/>
      <c r="F148" s="1022"/>
      <c r="G148" s="1022"/>
      <c r="H148" s="1022"/>
    </row>
    <row r="149" spans="1:8" ht="15">
      <c r="A149" s="1022"/>
      <c r="B149" s="1022"/>
      <c r="C149" s="1022"/>
      <c r="D149" s="1022"/>
      <c r="E149" s="1022"/>
      <c r="F149" s="1022"/>
      <c r="G149" s="1022"/>
      <c r="H149" s="1022"/>
    </row>
    <row r="150" spans="1:8" ht="15">
      <c r="A150" s="1023" t="s">
        <v>1339</v>
      </c>
      <c r="B150" s="1022"/>
      <c r="C150" s="1022"/>
      <c r="D150" s="1022"/>
      <c r="E150" s="1022"/>
      <c r="F150" s="1022"/>
      <c r="G150" s="1022"/>
      <c r="H150" s="1022"/>
    </row>
    <row r="151" spans="1:8" ht="15">
      <c r="A151" s="1023" t="s">
        <v>1340</v>
      </c>
      <c r="B151" s="1022"/>
      <c r="C151" s="1022"/>
      <c r="D151" s="1022"/>
      <c r="E151" s="1022"/>
      <c r="F151" s="1022"/>
      <c r="G151" s="1022"/>
      <c r="H151" s="1022"/>
    </row>
    <row r="152" spans="1:8" ht="15">
      <c r="A152" s="1023" t="s">
        <v>1341</v>
      </c>
      <c r="B152" s="1022"/>
      <c r="C152" s="1022"/>
      <c r="D152" s="1022"/>
      <c r="E152" s="1022"/>
      <c r="F152" s="1022"/>
      <c r="G152" s="1022"/>
      <c r="H152" s="1022"/>
    </row>
    <row r="153" spans="1:8" ht="15">
      <c r="A153" s="1022"/>
      <c r="B153" s="1022"/>
      <c r="C153" s="1022"/>
      <c r="D153" s="1022"/>
      <c r="E153" s="1022"/>
      <c r="F153" s="1022"/>
      <c r="G153" s="1022"/>
      <c r="H153" s="1022"/>
    </row>
    <row r="154" spans="1:8" ht="15">
      <c r="A154" s="1023" t="s">
        <v>1336</v>
      </c>
      <c r="B154" s="1022"/>
      <c r="C154" s="1022"/>
      <c r="D154" s="1022"/>
      <c r="E154" s="1022"/>
      <c r="F154" s="1022"/>
      <c r="G154" s="1022"/>
      <c r="H154" s="1022"/>
    </row>
    <row r="155" spans="1:8" ht="15">
      <c r="A155" s="1023" t="s">
        <v>1337</v>
      </c>
      <c r="B155" s="1022"/>
      <c r="C155" s="1022"/>
      <c r="D155" s="1022"/>
      <c r="E155" s="1022"/>
      <c r="F155" s="1022"/>
      <c r="G155" s="1022"/>
      <c r="H155" s="1022"/>
    </row>
    <row r="156" spans="1:8" ht="15">
      <c r="A156" s="1023" t="s">
        <v>1338</v>
      </c>
      <c r="B156" s="1022"/>
      <c r="C156" s="1022"/>
      <c r="D156" s="1022"/>
      <c r="E156" s="1022"/>
      <c r="F156" s="1022"/>
      <c r="G156" s="1022"/>
      <c r="H156" s="1022"/>
    </row>
    <row r="157" spans="1:8" ht="15">
      <c r="A157" s="1022"/>
      <c r="B157" s="1022"/>
      <c r="C157" s="1022"/>
      <c r="D157" s="1022"/>
      <c r="E157" s="1022"/>
      <c r="F157" s="1022"/>
      <c r="G157" s="1022"/>
      <c r="H157" s="1022"/>
    </row>
    <row r="158" spans="1:8" ht="15">
      <c r="A158" s="1023" t="s">
        <v>1334</v>
      </c>
      <c r="B158" s="1022"/>
      <c r="C158" s="1022"/>
      <c r="D158" s="1022"/>
      <c r="E158" s="1022"/>
      <c r="F158" s="1022"/>
      <c r="G158" s="1022"/>
      <c r="H158" s="1022"/>
    </row>
    <row r="159" spans="1:8" ht="15">
      <c r="A159" s="1023" t="s">
        <v>1335</v>
      </c>
      <c r="B159" s="1022"/>
      <c r="C159" s="1022"/>
      <c r="D159" s="1022"/>
      <c r="E159" s="1022"/>
      <c r="F159" s="1022"/>
      <c r="G159" s="1022"/>
      <c r="H159" s="1022"/>
    </row>
    <row r="160" spans="1:8" ht="15">
      <c r="A160" s="1022"/>
      <c r="B160" s="1022"/>
      <c r="C160" s="1022"/>
      <c r="D160" s="1022"/>
      <c r="E160" s="1022"/>
      <c r="F160" s="1022"/>
      <c r="G160" s="1022"/>
      <c r="H160" s="1022"/>
    </row>
    <row r="161" spans="1:8" ht="15.75">
      <c r="A161" s="1024" t="s">
        <v>1156</v>
      </c>
      <c r="B161" s="1022"/>
      <c r="C161" s="1022"/>
      <c r="D161" s="1022"/>
      <c r="E161" s="1022"/>
      <c r="F161" s="1022"/>
      <c r="G161" s="1022"/>
      <c r="H161" s="1022"/>
    </row>
    <row r="162" spans="1:8" ht="15">
      <c r="A162" s="1022"/>
      <c r="B162" s="1022"/>
      <c r="C162" s="1022"/>
      <c r="D162" s="1022"/>
      <c r="E162" s="1022"/>
      <c r="F162" s="1022"/>
      <c r="G162" s="1022"/>
      <c r="H162" s="1022"/>
    </row>
    <row r="163" spans="1:8" ht="15">
      <c r="A163" s="1023" t="s">
        <v>1332</v>
      </c>
      <c r="B163" s="1022"/>
      <c r="C163" s="1022"/>
      <c r="D163" s="1022"/>
      <c r="E163" s="1022"/>
      <c r="F163" s="1022"/>
      <c r="G163" s="1022"/>
      <c r="H163" s="1022"/>
    </row>
    <row r="164" spans="1:8" ht="15">
      <c r="A164" s="1023" t="s">
        <v>1333</v>
      </c>
      <c r="B164" s="1022"/>
      <c r="C164" s="1022"/>
      <c r="D164" s="1022"/>
      <c r="E164" s="1022"/>
      <c r="F164" s="1022"/>
      <c r="G164" s="1022"/>
      <c r="H164" s="1022"/>
    </row>
    <row r="165" spans="1:8" ht="15">
      <c r="A165" s="1022"/>
      <c r="B165" s="1022"/>
      <c r="C165" s="1022"/>
      <c r="D165" s="1022"/>
      <c r="E165" s="1022"/>
      <c r="F165" s="1022"/>
      <c r="G165" s="1022"/>
      <c r="H165" s="1022"/>
    </row>
    <row r="166" spans="1:8" ht="15">
      <c r="A166" s="1023" t="s">
        <v>1330</v>
      </c>
      <c r="B166" s="1022"/>
      <c r="C166" s="1022"/>
      <c r="D166" s="1022"/>
      <c r="E166" s="1022"/>
      <c r="F166" s="1022"/>
      <c r="G166" s="1022"/>
      <c r="H166" s="1022"/>
    </row>
    <row r="167" spans="1:8" ht="15">
      <c r="A167" s="1023" t="s">
        <v>1331</v>
      </c>
      <c r="B167" s="1022"/>
      <c r="C167" s="1022"/>
      <c r="D167" s="1022"/>
      <c r="E167" s="1022"/>
      <c r="F167" s="1022"/>
      <c r="G167" s="1022"/>
      <c r="H167" s="1022"/>
    </row>
    <row r="168" spans="1:8" ht="15">
      <c r="A168" s="1022"/>
      <c r="B168" s="1022"/>
      <c r="C168" s="1022"/>
      <c r="D168" s="1022"/>
      <c r="E168" s="1022"/>
      <c r="F168" s="1022"/>
      <c r="G168" s="1022"/>
      <c r="H168" s="1022"/>
    </row>
    <row r="169" spans="1:8" ht="15">
      <c r="A169" s="1023" t="s">
        <v>1328</v>
      </c>
      <c r="B169" s="1022"/>
      <c r="C169" s="1022"/>
      <c r="D169" s="1022"/>
      <c r="E169" s="1022"/>
      <c r="F169" s="1022"/>
      <c r="G169" s="1022"/>
      <c r="H169" s="1022"/>
    </row>
    <row r="170" spans="1:8" ht="15">
      <c r="A170" s="1023" t="s">
        <v>1329</v>
      </c>
      <c r="B170" s="1022"/>
      <c r="C170" s="1022"/>
      <c r="D170" s="1022"/>
      <c r="E170" s="1022"/>
      <c r="F170" s="1022"/>
      <c r="G170" s="1022"/>
      <c r="H170" s="1022"/>
    </row>
    <row r="171" spans="1:8" ht="15">
      <c r="A171" s="1022"/>
      <c r="B171" s="1022"/>
      <c r="C171" s="1022"/>
      <c r="D171" s="1022"/>
      <c r="E171" s="1022"/>
      <c r="F171" s="1022"/>
      <c r="G171" s="1022"/>
      <c r="H171" s="1022"/>
    </row>
    <row r="172" spans="1:8" ht="15">
      <c r="A172" s="1023" t="s">
        <v>1325</v>
      </c>
      <c r="B172" s="1022"/>
      <c r="C172" s="1022"/>
      <c r="D172" s="1022"/>
      <c r="E172" s="1022"/>
      <c r="F172" s="1022"/>
      <c r="G172" s="1022"/>
      <c r="H172" s="1022"/>
    </row>
    <row r="173" spans="1:8" ht="15">
      <c r="A173" s="1023" t="s">
        <v>1326</v>
      </c>
      <c r="B173" s="1022"/>
      <c r="C173" s="1022"/>
      <c r="D173" s="1022"/>
      <c r="E173" s="1022"/>
      <c r="F173" s="1022"/>
      <c r="G173" s="1022"/>
      <c r="H173" s="1022"/>
    </row>
    <row r="174" spans="1:8" ht="15">
      <c r="A174" s="1023" t="s">
        <v>1327</v>
      </c>
      <c r="B174" s="1022"/>
      <c r="C174" s="1022"/>
      <c r="D174" s="1022"/>
      <c r="E174" s="1022"/>
      <c r="F174" s="1022"/>
      <c r="G174" s="1022"/>
      <c r="H174" s="1022"/>
    </row>
    <row r="175" spans="1:8" ht="15">
      <c r="A175" s="1022"/>
      <c r="B175" s="1022"/>
      <c r="C175" s="1022"/>
      <c r="D175" s="1022"/>
      <c r="E175" s="1022"/>
      <c r="F175" s="1022"/>
      <c r="G175" s="1022"/>
      <c r="H175" s="1022"/>
    </row>
    <row r="176" spans="1:8" ht="15">
      <c r="A176" s="1022"/>
      <c r="B176" s="1022"/>
      <c r="C176" s="1022"/>
      <c r="D176" s="1022"/>
      <c r="E176" s="1022"/>
      <c r="F176" s="1022"/>
      <c r="G176" s="1022"/>
      <c r="H176" s="1022"/>
    </row>
    <row r="177" spans="1:8" ht="15">
      <c r="A177" s="1023" t="s">
        <v>1157</v>
      </c>
      <c r="B177" s="1022"/>
      <c r="C177" s="1022"/>
      <c r="D177" s="1022"/>
      <c r="E177" s="1022"/>
      <c r="F177" s="1022"/>
      <c r="G177" s="1022"/>
      <c r="H177" s="1022"/>
    </row>
    <row r="178" spans="1:8" ht="15">
      <c r="A178" s="1022"/>
      <c r="B178" s="1022"/>
      <c r="C178" s="1022"/>
      <c r="D178" s="1022"/>
      <c r="E178" s="1022"/>
      <c r="F178" s="1022"/>
      <c r="G178" s="1022"/>
      <c r="H178" s="1022"/>
    </row>
    <row r="179" spans="1:8" ht="15.75">
      <c r="A179" s="1024" t="s">
        <v>1158</v>
      </c>
      <c r="B179" s="1022"/>
      <c r="C179" s="1022"/>
      <c r="D179" s="1022"/>
      <c r="E179" s="1022"/>
      <c r="F179" s="1022"/>
      <c r="G179" s="1022"/>
      <c r="H179" s="1022"/>
    </row>
    <row r="180" spans="1:8" ht="15">
      <c r="A180" s="1022"/>
      <c r="B180" s="1022"/>
      <c r="C180" s="1022"/>
      <c r="D180" s="1022"/>
      <c r="E180" s="1022"/>
      <c r="F180" s="1022"/>
      <c r="G180" s="1022"/>
      <c r="H180" s="1022"/>
    </row>
    <row r="181" spans="1:8" ht="15">
      <c r="A181" s="1022"/>
      <c r="B181" s="1022"/>
      <c r="C181" s="1022"/>
      <c r="D181" s="1022"/>
      <c r="E181" s="1022"/>
      <c r="F181" s="1022"/>
      <c r="G181" s="1022"/>
      <c r="H181" s="1022"/>
    </row>
    <row r="182" spans="1:8" ht="15">
      <c r="A182" s="1022"/>
      <c r="B182" s="1022"/>
      <c r="C182" s="1022"/>
      <c r="D182" s="1022"/>
      <c r="E182" s="1022"/>
      <c r="F182" s="1022"/>
      <c r="G182" s="1022"/>
      <c r="H182" s="1022"/>
    </row>
    <row r="183" spans="1:8" ht="15">
      <c r="A183" s="1022"/>
      <c r="B183" s="1022"/>
      <c r="C183" s="1022"/>
      <c r="D183" s="1022"/>
      <c r="E183" s="1022"/>
      <c r="F183" s="1022"/>
      <c r="G183" s="1022"/>
      <c r="H183" s="1022"/>
    </row>
    <row r="184" spans="1:8" ht="15">
      <c r="A184" s="1022"/>
      <c r="B184" s="1022"/>
      <c r="C184" s="1022"/>
      <c r="D184" s="1022"/>
      <c r="E184" s="1022"/>
      <c r="F184" s="1022"/>
      <c r="G184" s="1022"/>
      <c r="H184" s="1022"/>
    </row>
    <row r="185" spans="1:8" ht="15">
      <c r="A185" s="1022"/>
      <c r="B185" s="1022"/>
      <c r="C185" s="1022"/>
      <c r="D185" s="1022"/>
      <c r="E185" s="1022"/>
      <c r="F185" s="1022"/>
      <c r="G185" s="1022"/>
      <c r="H185" s="1022"/>
    </row>
    <row r="186" spans="1:8" ht="15">
      <c r="A186" s="1022"/>
      <c r="B186" s="1022"/>
      <c r="C186" s="1022"/>
      <c r="D186" s="1022"/>
      <c r="E186" s="1022"/>
      <c r="F186" s="1022"/>
      <c r="G186" s="1022"/>
      <c r="H186" s="1022"/>
    </row>
    <row r="187" spans="1:8" ht="15">
      <c r="A187" s="1022"/>
      <c r="B187" s="1022"/>
      <c r="C187" s="1022"/>
      <c r="D187" s="1022"/>
      <c r="E187" s="1022"/>
      <c r="F187" s="1022"/>
      <c r="G187" s="1022"/>
      <c r="H187" s="1022"/>
    </row>
    <row r="188" spans="1:8" ht="15">
      <c r="A188" s="1022"/>
      <c r="B188" s="1022"/>
      <c r="C188" s="1022"/>
      <c r="D188" s="1022"/>
      <c r="E188" s="1022"/>
      <c r="F188" s="1022"/>
      <c r="G188" s="1022"/>
      <c r="H188" s="1022"/>
    </row>
    <row r="189" spans="1:8" ht="15">
      <c r="A189" s="1022"/>
      <c r="B189" s="1022"/>
      <c r="C189" s="1022"/>
      <c r="D189" s="1022"/>
      <c r="E189" s="1022"/>
      <c r="F189" s="1022"/>
      <c r="G189" s="1022"/>
      <c r="H189" s="1022"/>
    </row>
    <row r="190" spans="1:8" ht="15">
      <c r="A190" s="1022"/>
      <c r="B190" s="1022"/>
      <c r="C190" s="1022"/>
      <c r="D190" s="1022"/>
      <c r="E190" s="1022"/>
      <c r="F190" s="1022"/>
      <c r="G190" s="1022"/>
      <c r="H190" s="1022"/>
    </row>
    <row r="191" spans="1:8" ht="15">
      <c r="A191" s="1022"/>
      <c r="B191" s="1022"/>
      <c r="C191" s="1022"/>
      <c r="D191" s="1022"/>
      <c r="E191" s="1022"/>
      <c r="F191" s="1022"/>
      <c r="G191" s="1022"/>
      <c r="H191" s="1022"/>
    </row>
    <row r="192" spans="1:8" ht="15">
      <c r="A192" s="1022"/>
      <c r="B192" s="1022"/>
      <c r="C192" s="1022"/>
      <c r="D192" s="1022"/>
      <c r="E192" s="1022"/>
      <c r="F192" s="1022"/>
      <c r="G192" s="1022"/>
      <c r="H192" s="1022"/>
    </row>
    <row r="193" spans="1:8" ht="15">
      <c r="A193" s="1022"/>
      <c r="B193" s="1022"/>
      <c r="C193" s="1022"/>
      <c r="D193" s="1022"/>
      <c r="E193" s="1022"/>
      <c r="F193" s="1022"/>
      <c r="G193" s="1022"/>
      <c r="H193" s="1022"/>
    </row>
    <row r="194" spans="1:8" ht="15">
      <c r="A194" s="1022"/>
      <c r="B194" s="1022"/>
      <c r="C194" s="1022"/>
      <c r="D194" s="1022"/>
      <c r="E194" s="1022"/>
      <c r="F194" s="1022"/>
      <c r="G194" s="1022"/>
      <c r="H194" s="1022"/>
    </row>
    <row r="195" spans="1:8" ht="15">
      <c r="A195" s="1022"/>
      <c r="B195" s="1022"/>
      <c r="C195" s="1022"/>
      <c r="D195" s="1022"/>
      <c r="E195" s="1022"/>
      <c r="F195" s="1022"/>
      <c r="G195" s="1022"/>
      <c r="H195" s="1022"/>
    </row>
    <row r="196" spans="1:8" ht="15">
      <c r="A196" s="1022"/>
      <c r="B196" s="1022"/>
      <c r="C196" s="1022"/>
      <c r="D196" s="1022"/>
      <c r="E196" s="1022"/>
      <c r="F196" s="1022"/>
      <c r="G196" s="1022"/>
      <c r="H196" s="1022"/>
    </row>
    <row r="197" spans="1:8" ht="15">
      <c r="A197" s="1022"/>
      <c r="B197" s="1022"/>
      <c r="C197" s="1022"/>
      <c r="D197" s="1022"/>
      <c r="E197" s="1022"/>
      <c r="F197" s="1022"/>
      <c r="G197" s="1022"/>
      <c r="H197" s="1022"/>
    </row>
    <row r="198" spans="1:8" ht="15">
      <c r="A198" s="1022"/>
      <c r="B198" s="1022"/>
      <c r="C198" s="1022"/>
      <c r="D198" s="1022"/>
      <c r="E198" s="1022"/>
      <c r="F198" s="1022"/>
      <c r="G198" s="1022"/>
      <c r="H198" s="1022"/>
    </row>
    <row r="199" spans="1:8" ht="15">
      <c r="A199" s="1022"/>
      <c r="B199" s="1022"/>
      <c r="C199" s="1022"/>
      <c r="D199" s="1022"/>
      <c r="E199" s="1022"/>
      <c r="F199" s="1022"/>
      <c r="G199" s="1022"/>
      <c r="H199" s="1022"/>
    </row>
    <row r="200" spans="1:8" ht="15">
      <c r="A200" s="1022"/>
      <c r="B200" s="1022"/>
      <c r="C200" s="1022"/>
      <c r="D200" s="1022"/>
      <c r="E200" s="1022"/>
      <c r="F200" s="1022"/>
      <c r="G200" s="1022"/>
      <c r="H200" s="1022"/>
    </row>
    <row r="201" spans="1:8" ht="15">
      <c r="A201" s="1022"/>
      <c r="B201" s="1022"/>
      <c r="C201" s="1022"/>
      <c r="D201" s="1022"/>
      <c r="E201" s="1022"/>
      <c r="F201" s="1022"/>
      <c r="G201" s="1022"/>
      <c r="H201" s="1022"/>
    </row>
    <row r="202" spans="1:8" ht="15">
      <c r="A202" s="1022"/>
      <c r="B202" s="1022"/>
      <c r="C202" s="1022"/>
      <c r="D202" s="1022"/>
      <c r="E202" s="1022"/>
      <c r="F202" s="1022"/>
      <c r="G202" s="1022"/>
      <c r="H202" s="1022"/>
    </row>
    <row r="203" spans="1:8" ht="15">
      <c r="A203" s="1022"/>
      <c r="B203" s="1022"/>
      <c r="C203" s="1022"/>
      <c r="D203" s="1022"/>
      <c r="E203" s="1022"/>
      <c r="F203" s="1022"/>
      <c r="G203" s="1022"/>
      <c r="H203" s="1022"/>
    </row>
    <row r="204" spans="1:8" ht="15">
      <c r="A204" s="1022"/>
      <c r="B204" s="1022"/>
      <c r="C204" s="1022"/>
      <c r="D204" s="1022"/>
      <c r="E204" s="1022"/>
      <c r="F204" s="1022"/>
      <c r="G204" s="1022"/>
      <c r="H204" s="1022"/>
    </row>
    <row r="205" spans="1:8" ht="15">
      <c r="A205" s="1022"/>
      <c r="B205" s="1022"/>
      <c r="C205" s="1022"/>
      <c r="D205" s="1022"/>
      <c r="E205" s="1022"/>
      <c r="F205" s="1022"/>
      <c r="G205" s="1022"/>
      <c r="H205" s="1022"/>
    </row>
    <row r="206" spans="1:8" ht="15.75">
      <c r="A206" s="1024" t="s">
        <v>1159</v>
      </c>
      <c r="B206" s="1022"/>
      <c r="C206" s="1022"/>
      <c r="D206" s="1022"/>
      <c r="E206" s="1022"/>
      <c r="F206" s="1022"/>
      <c r="G206" s="1022"/>
      <c r="H206" s="1022"/>
    </row>
    <row r="207" spans="1:8" ht="15">
      <c r="A207" s="1022"/>
      <c r="B207" s="1022"/>
      <c r="C207" s="1022"/>
      <c r="D207" s="1022"/>
      <c r="E207" s="1022"/>
      <c r="F207" s="1022"/>
      <c r="G207" s="1022"/>
      <c r="H207" s="1022"/>
    </row>
    <row r="208" spans="1:8" ht="15">
      <c r="A208" s="1023" t="s">
        <v>1320</v>
      </c>
      <c r="B208" s="1022"/>
      <c r="C208" s="1022"/>
      <c r="D208" s="1022"/>
      <c r="E208" s="1022"/>
      <c r="F208" s="1022"/>
      <c r="G208" s="1022"/>
      <c r="H208" s="1022"/>
    </row>
    <row r="209" spans="1:8" ht="15">
      <c r="A209" s="1023" t="s">
        <v>1321</v>
      </c>
      <c r="B209" s="1022"/>
      <c r="C209" s="1022"/>
      <c r="D209" s="1022"/>
      <c r="E209" s="1022"/>
      <c r="F209" s="1022"/>
      <c r="G209" s="1022"/>
      <c r="H209" s="1022"/>
    </row>
    <row r="210" spans="1:8" ht="15">
      <c r="A210" s="1023" t="s">
        <v>1322</v>
      </c>
      <c r="B210" s="1022"/>
      <c r="C210" s="1022"/>
      <c r="D210" s="1022"/>
      <c r="E210" s="1022"/>
      <c r="F210" s="1022"/>
      <c r="G210" s="1022"/>
      <c r="H210" s="1022"/>
    </row>
    <row r="211" spans="1:8" ht="15">
      <c r="A211" s="1023" t="s">
        <v>1323</v>
      </c>
      <c r="B211" s="1022"/>
      <c r="C211" s="1022"/>
      <c r="D211" s="1022"/>
      <c r="E211" s="1022"/>
      <c r="F211" s="1022"/>
      <c r="G211" s="1022"/>
      <c r="H211" s="1022"/>
    </row>
    <row r="212" spans="1:8" ht="15">
      <c r="A212" s="1023" t="s">
        <v>1324</v>
      </c>
      <c r="B212" s="1022"/>
      <c r="C212" s="1022"/>
      <c r="D212" s="1022"/>
      <c r="E212" s="1022"/>
      <c r="F212" s="1022"/>
      <c r="G212" s="1022"/>
      <c r="H212" s="1022"/>
    </row>
    <row r="213" spans="1:8" ht="15">
      <c r="A213" s="1022"/>
      <c r="B213" s="1022"/>
      <c r="C213" s="1022"/>
      <c r="D213" s="1022"/>
      <c r="E213" s="1022"/>
      <c r="F213" s="1022"/>
      <c r="G213" s="1022"/>
      <c r="H213" s="1022"/>
    </row>
    <row r="214" spans="1:8" ht="15">
      <c r="A214" s="1023" t="s">
        <v>1317</v>
      </c>
      <c r="B214" s="1022"/>
      <c r="C214" s="1022"/>
      <c r="D214" s="1022"/>
      <c r="E214" s="1022"/>
      <c r="F214" s="1022"/>
      <c r="G214" s="1022"/>
      <c r="H214" s="1022"/>
    </row>
    <row r="215" spans="1:8" ht="15">
      <c r="A215" s="1023" t="s">
        <v>1318</v>
      </c>
      <c r="B215" s="1022"/>
      <c r="C215" s="1022"/>
      <c r="D215" s="1022"/>
      <c r="E215" s="1022"/>
      <c r="F215" s="1022"/>
      <c r="G215" s="1022"/>
      <c r="H215" s="1022"/>
    </row>
    <row r="216" spans="1:8" ht="15">
      <c r="A216" s="1023" t="s">
        <v>1319</v>
      </c>
      <c r="B216" s="1022"/>
      <c r="C216" s="1022"/>
      <c r="D216" s="1022"/>
      <c r="E216" s="1022"/>
      <c r="F216" s="1022"/>
      <c r="G216" s="1022"/>
      <c r="H216" s="1022"/>
    </row>
    <row r="217" spans="1:8" ht="15.75">
      <c r="A217" s="1024" t="s">
        <v>1160</v>
      </c>
      <c r="B217" s="1022"/>
      <c r="C217" s="1022"/>
      <c r="D217" s="1022"/>
      <c r="E217" s="1022"/>
      <c r="F217" s="1022"/>
      <c r="G217" s="1022"/>
      <c r="H217" s="1022"/>
    </row>
    <row r="218" spans="1:8" ht="15">
      <c r="A218" s="1022"/>
      <c r="B218" s="1022"/>
      <c r="C218" s="1022"/>
      <c r="D218" s="1022"/>
      <c r="E218" s="1022"/>
      <c r="F218" s="1022"/>
      <c r="G218" s="1022"/>
      <c r="H218" s="1022"/>
    </row>
    <row r="219" spans="1:8" ht="15">
      <c r="A219" s="1023" t="s">
        <v>1315</v>
      </c>
      <c r="B219" s="1022"/>
      <c r="C219" s="1022"/>
      <c r="D219" s="1022"/>
      <c r="E219" s="1022"/>
      <c r="F219" s="1022"/>
      <c r="G219" s="1022"/>
      <c r="H219" s="1022"/>
    </row>
    <row r="220" spans="1:8" ht="15">
      <c r="A220" s="1023" t="s">
        <v>1316</v>
      </c>
      <c r="B220" s="1022"/>
      <c r="C220" s="1022"/>
      <c r="D220" s="1022"/>
      <c r="E220" s="1022"/>
      <c r="F220" s="1022"/>
      <c r="G220" s="1022"/>
      <c r="H220" s="1022"/>
    </row>
    <row r="221" spans="1:8" ht="15">
      <c r="A221" s="1022"/>
      <c r="B221" s="1022"/>
      <c r="C221" s="1022"/>
      <c r="D221" s="1022"/>
      <c r="E221" s="1022"/>
      <c r="F221" s="1022"/>
      <c r="G221" s="1022"/>
      <c r="H221" s="1022"/>
    </row>
    <row r="222" spans="1:8" ht="15">
      <c r="A222" s="1023" t="s">
        <v>1308</v>
      </c>
      <c r="B222" s="1022"/>
      <c r="C222" s="1022"/>
      <c r="D222" s="1022"/>
      <c r="E222" s="1022"/>
      <c r="F222" s="1022"/>
      <c r="G222" s="1022"/>
      <c r="H222" s="1022"/>
    </row>
    <row r="223" spans="1:8" ht="15">
      <c r="A223" s="1023" t="s">
        <v>1309</v>
      </c>
      <c r="B223" s="1022"/>
      <c r="C223" s="1022"/>
      <c r="D223" s="1022"/>
      <c r="E223" s="1022"/>
      <c r="F223" s="1022"/>
      <c r="G223" s="1022"/>
      <c r="H223" s="1022"/>
    </row>
    <row r="224" spans="1:8" ht="15">
      <c r="A224" s="1023" t="s">
        <v>1310</v>
      </c>
      <c r="B224" s="1022"/>
      <c r="C224" s="1022"/>
      <c r="D224" s="1022"/>
      <c r="E224" s="1022"/>
      <c r="F224" s="1022"/>
      <c r="G224" s="1022"/>
      <c r="H224" s="1022"/>
    </row>
    <row r="225" spans="1:8" ht="15">
      <c r="A225" s="1023" t="s">
        <v>1311</v>
      </c>
      <c r="B225" s="1022"/>
      <c r="C225" s="1022"/>
      <c r="D225" s="1022"/>
      <c r="E225" s="1022"/>
      <c r="F225" s="1022"/>
      <c r="G225" s="1022"/>
      <c r="H225" s="1022"/>
    </row>
    <row r="226" spans="1:8" ht="15">
      <c r="A226" s="1023" t="s">
        <v>1312</v>
      </c>
      <c r="B226" s="1022"/>
      <c r="C226" s="1022"/>
      <c r="D226" s="1022"/>
      <c r="E226" s="1022"/>
      <c r="F226" s="1022"/>
      <c r="G226" s="1022"/>
      <c r="H226" s="1022"/>
    </row>
    <row r="227" spans="1:8" ht="15">
      <c r="A227" s="1023" t="s">
        <v>1313</v>
      </c>
      <c r="B227" s="1022"/>
      <c r="C227" s="1022"/>
      <c r="D227" s="1022"/>
      <c r="E227" s="1022"/>
      <c r="F227" s="1022"/>
      <c r="G227" s="1022"/>
      <c r="H227" s="1022"/>
    </row>
    <row r="228" spans="1:8" ht="15">
      <c r="A228" s="1023" t="s">
        <v>1314</v>
      </c>
      <c r="B228" s="1022"/>
      <c r="C228" s="1022"/>
      <c r="D228" s="1022"/>
      <c r="E228" s="1022"/>
      <c r="F228" s="1022"/>
      <c r="G228" s="1022"/>
      <c r="H228" s="1022"/>
    </row>
    <row r="229" spans="1:8" ht="15">
      <c r="A229" s="1022"/>
      <c r="B229" s="1022"/>
      <c r="C229" s="1022"/>
      <c r="D229" s="1022"/>
      <c r="E229" s="1022"/>
      <c r="F229" s="1022"/>
      <c r="G229" s="1022"/>
      <c r="H229" s="1022"/>
    </row>
    <row r="230" spans="1:8" ht="15">
      <c r="A230" s="1023" t="s">
        <v>1305</v>
      </c>
      <c r="B230" s="1022"/>
      <c r="C230" s="1022"/>
      <c r="D230" s="1022"/>
      <c r="E230" s="1022"/>
      <c r="F230" s="1022"/>
      <c r="G230" s="1022"/>
      <c r="H230" s="1022"/>
    </row>
    <row r="231" spans="1:8" ht="15">
      <c r="A231" s="1023" t="s">
        <v>1306</v>
      </c>
      <c r="B231" s="1022"/>
      <c r="C231" s="1022"/>
      <c r="D231" s="1022"/>
      <c r="E231" s="1022"/>
      <c r="F231" s="1022"/>
      <c r="G231" s="1022"/>
      <c r="H231" s="1022"/>
    </row>
    <row r="232" spans="1:8" ht="15">
      <c r="A232" s="1023" t="s">
        <v>1307</v>
      </c>
      <c r="B232" s="1022"/>
      <c r="C232" s="1022"/>
      <c r="D232" s="1022"/>
      <c r="E232" s="1022"/>
      <c r="F232" s="1022"/>
      <c r="G232" s="1022"/>
      <c r="H232" s="1022"/>
    </row>
    <row r="233" spans="1:8" ht="15">
      <c r="A233" s="1022"/>
      <c r="B233" s="1022"/>
      <c r="C233" s="1022"/>
      <c r="D233" s="1022"/>
      <c r="E233" s="1022"/>
      <c r="F233" s="1022"/>
      <c r="G233" s="1022"/>
      <c r="H233" s="1022"/>
    </row>
    <row r="234" spans="1:8" ht="15">
      <c r="A234" s="1023" t="s">
        <v>1300</v>
      </c>
      <c r="B234" s="1022"/>
      <c r="C234" s="1022"/>
      <c r="D234" s="1022"/>
      <c r="E234" s="1022"/>
      <c r="F234" s="1022"/>
      <c r="G234" s="1022"/>
      <c r="H234" s="1022"/>
    </row>
    <row r="235" spans="1:8" ht="15">
      <c r="A235" s="1023" t="s">
        <v>1301</v>
      </c>
      <c r="B235" s="1022"/>
      <c r="C235" s="1022"/>
      <c r="D235" s="1022"/>
      <c r="E235" s="1022"/>
      <c r="F235" s="1022"/>
      <c r="G235" s="1022"/>
      <c r="H235" s="1022"/>
    </row>
    <row r="236" spans="1:8" ht="15">
      <c r="A236" s="1023" t="s">
        <v>1302</v>
      </c>
      <c r="B236" s="1022"/>
      <c r="C236" s="1022"/>
      <c r="D236" s="1022"/>
      <c r="E236" s="1022"/>
      <c r="F236" s="1022"/>
      <c r="G236" s="1022"/>
      <c r="H236" s="1022"/>
    </row>
    <row r="237" spans="1:8" ht="15">
      <c r="A237" s="1023" t="s">
        <v>1303</v>
      </c>
      <c r="B237" s="1022"/>
      <c r="C237" s="1022"/>
      <c r="D237" s="1022"/>
      <c r="E237" s="1022"/>
      <c r="F237" s="1022"/>
      <c r="G237" s="1022"/>
      <c r="H237" s="1022"/>
    </row>
    <row r="238" spans="1:8" ht="15">
      <c r="A238" s="1023" t="s">
        <v>1304</v>
      </c>
      <c r="B238" s="1022"/>
      <c r="C238" s="1022"/>
      <c r="D238" s="1022"/>
      <c r="E238" s="1022"/>
      <c r="F238" s="1022"/>
      <c r="G238" s="1022"/>
      <c r="H238" s="1022"/>
    </row>
    <row r="239" spans="1:8" ht="15">
      <c r="A239" s="1022"/>
      <c r="B239" s="1022"/>
      <c r="C239" s="1022"/>
      <c r="D239" s="1022"/>
      <c r="E239" s="1022"/>
      <c r="F239" s="1022"/>
      <c r="G239" s="1022"/>
      <c r="H239" s="1022"/>
    </row>
    <row r="240" spans="1:8" ht="15">
      <c r="A240" s="1023" t="s">
        <v>1294</v>
      </c>
      <c r="B240" s="1022"/>
      <c r="C240" s="1022"/>
      <c r="D240" s="1022"/>
      <c r="E240" s="1022"/>
      <c r="F240" s="1022"/>
      <c r="G240" s="1022"/>
      <c r="H240" s="1022"/>
    </row>
    <row r="241" spans="1:8" ht="15">
      <c r="A241" s="1023" t="s">
        <v>1295</v>
      </c>
      <c r="B241" s="1022"/>
      <c r="C241" s="1022"/>
      <c r="D241" s="1022"/>
      <c r="E241" s="1022"/>
      <c r="F241" s="1022"/>
      <c r="G241" s="1022"/>
      <c r="H241" s="1022"/>
    </row>
    <row r="242" spans="1:8" ht="15">
      <c r="A242" s="1023" t="s">
        <v>1296</v>
      </c>
      <c r="B242" s="1022"/>
      <c r="C242" s="1022"/>
      <c r="D242" s="1022"/>
      <c r="E242" s="1022"/>
      <c r="F242" s="1022"/>
      <c r="G242" s="1022"/>
      <c r="H242" s="1022"/>
    </row>
    <row r="243" spans="1:8" ht="15">
      <c r="A243" s="1023" t="s">
        <v>1297</v>
      </c>
      <c r="B243" s="1022"/>
      <c r="C243" s="1022"/>
      <c r="D243" s="1022"/>
      <c r="E243" s="1022"/>
      <c r="F243" s="1022"/>
      <c r="G243" s="1022"/>
      <c r="H243" s="1022"/>
    </row>
    <row r="244" spans="1:8" ht="15">
      <c r="A244" s="1023" t="s">
        <v>1298</v>
      </c>
      <c r="B244" s="1022"/>
      <c r="C244" s="1022"/>
      <c r="D244" s="1022"/>
      <c r="E244" s="1022"/>
      <c r="F244" s="1022"/>
      <c r="G244" s="1022"/>
      <c r="H244" s="1022"/>
    </row>
    <row r="245" spans="1:8" ht="15">
      <c r="A245" s="1023" t="s">
        <v>1299</v>
      </c>
      <c r="B245" s="1022"/>
      <c r="C245" s="1022"/>
      <c r="D245" s="1022"/>
      <c r="E245" s="1022"/>
      <c r="F245" s="1022"/>
      <c r="G245" s="1022"/>
      <c r="H245" s="1022"/>
    </row>
    <row r="246" spans="1:8" ht="15">
      <c r="A246" s="1022"/>
      <c r="B246" s="1022"/>
      <c r="C246" s="1022"/>
      <c r="D246" s="1022"/>
      <c r="E246" s="1022"/>
      <c r="F246" s="1022"/>
      <c r="G246" s="1022"/>
      <c r="H246" s="1022"/>
    </row>
    <row r="247" spans="1:8" ht="15">
      <c r="A247" s="1023" t="s">
        <v>1284</v>
      </c>
      <c r="B247" s="1022"/>
      <c r="C247" s="1022"/>
      <c r="D247" s="1022"/>
      <c r="E247" s="1022"/>
      <c r="F247" s="1022"/>
      <c r="G247" s="1022"/>
      <c r="H247" s="1022"/>
    </row>
    <row r="248" spans="1:8" ht="15">
      <c r="A248" s="1023" t="s">
        <v>1285</v>
      </c>
      <c r="B248" s="1022"/>
      <c r="C248" s="1022"/>
      <c r="D248" s="1022"/>
      <c r="E248" s="1022"/>
      <c r="F248" s="1022"/>
      <c r="G248" s="1022"/>
      <c r="H248" s="1022"/>
    </row>
    <row r="249" spans="1:8" ht="15">
      <c r="A249" s="1023" t="s">
        <v>1286</v>
      </c>
      <c r="B249" s="1022"/>
      <c r="C249" s="1022"/>
      <c r="D249" s="1022"/>
      <c r="E249" s="1022"/>
      <c r="F249" s="1022"/>
      <c r="G249" s="1022"/>
      <c r="H249" s="1022"/>
    </row>
    <row r="250" spans="1:8" ht="15">
      <c r="A250" s="1023" t="s">
        <v>1287</v>
      </c>
      <c r="B250" s="1022"/>
      <c r="C250" s="1022"/>
      <c r="D250" s="1022"/>
      <c r="E250" s="1022"/>
      <c r="F250" s="1022"/>
      <c r="G250" s="1022"/>
      <c r="H250" s="1022"/>
    </row>
    <row r="251" spans="1:8" ht="15">
      <c r="A251" s="1023" t="s">
        <v>1288</v>
      </c>
      <c r="B251" s="1022"/>
      <c r="C251" s="1022"/>
      <c r="D251" s="1022"/>
      <c r="E251" s="1022"/>
      <c r="F251" s="1022"/>
      <c r="G251" s="1022"/>
      <c r="H251" s="1022"/>
    </row>
    <row r="252" spans="1:8" ht="15">
      <c r="A252" s="1023" t="s">
        <v>1289</v>
      </c>
      <c r="B252" s="1022"/>
      <c r="C252" s="1022"/>
      <c r="D252" s="1022"/>
      <c r="E252" s="1022"/>
      <c r="F252" s="1022"/>
      <c r="G252" s="1022"/>
      <c r="H252" s="1022"/>
    </row>
    <row r="253" spans="1:8" ht="15">
      <c r="A253" s="1023" t="s">
        <v>1290</v>
      </c>
      <c r="B253" s="1022"/>
      <c r="C253" s="1022"/>
      <c r="D253" s="1022"/>
      <c r="E253" s="1022"/>
      <c r="F253" s="1022"/>
      <c r="G253" s="1022"/>
      <c r="H253" s="1022"/>
    </row>
    <row r="254" spans="1:8" ht="15">
      <c r="A254" s="1023" t="s">
        <v>1291</v>
      </c>
      <c r="B254" s="1022"/>
      <c r="C254" s="1022"/>
      <c r="D254" s="1022"/>
      <c r="E254" s="1022"/>
      <c r="F254" s="1022"/>
      <c r="G254" s="1022"/>
      <c r="H254" s="1022"/>
    </row>
    <row r="255" spans="1:8" ht="15">
      <c r="A255" s="1023" t="s">
        <v>1292</v>
      </c>
      <c r="B255" s="1022"/>
      <c r="C255" s="1022"/>
      <c r="D255" s="1022"/>
      <c r="E255" s="1022"/>
      <c r="F255" s="1022"/>
      <c r="G255" s="1022"/>
      <c r="H255" s="1022"/>
    </row>
    <row r="256" spans="1:8" ht="15">
      <c r="A256" s="1023" t="s">
        <v>1293</v>
      </c>
      <c r="B256" s="1022"/>
      <c r="C256" s="1022"/>
      <c r="D256" s="1022"/>
      <c r="E256" s="1022"/>
      <c r="F256" s="1022"/>
      <c r="G256" s="1022"/>
      <c r="H256" s="1022"/>
    </row>
    <row r="257" spans="1:8" ht="15">
      <c r="A257" s="1022"/>
      <c r="B257" s="1022"/>
      <c r="C257" s="1022"/>
      <c r="D257" s="1022"/>
      <c r="E257" s="1022"/>
      <c r="F257" s="1022"/>
      <c r="G257" s="1022"/>
      <c r="H257" s="1022"/>
    </row>
    <row r="258" spans="1:8" ht="15">
      <c r="A258" s="1023" t="s">
        <v>1282</v>
      </c>
      <c r="B258" s="1022"/>
      <c r="C258" s="1022"/>
      <c r="D258" s="1022"/>
      <c r="E258" s="1022"/>
      <c r="F258" s="1022"/>
      <c r="G258" s="1022"/>
      <c r="H258" s="1022"/>
    </row>
    <row r="259" spans="1:8" ht="15">
      <c r="A259" s="1023" t="s">
        <v>1283</v>
      </c>
      <c r="B259" s="1022"/>
      <c r="C259" s="1022"/>
      <c r="D259" s="1022"/>
      <c r="E259" s="1022"/>
      <c r="F259" s="1022"/>
      <c r="G259" s="1022"/>
      <c r="H259" s="1022"/>
    </row>
    <row r="260" spans="1:8" ht="15">
      <c r="A260" s="1022"/>
      <c r="B260" s="1022"/>
      <c r="C260" s="1022"/>
      <c r="D260" s="1022"/>
      <c r="E260" s="1022"/>
      <c r="F260" s="1022"/>
      <c r="G260" s="1022"/>
      <c r="H260" s="1022"/>
    </row>
    <row r="261" spans="1:8" ht="15">
      <c r="A261" s="1023" t="s">
        <v>1266</v>
      </c>
      <c r="B261" s="1022"/>
      <c r="C261" s="1022"/>
      <c r="D261" s="1022"/>
      <c r="E261" s="1022"/>
      <c r="F261" s="1022"/>
      <c r="G261" s="1022"/>
      <c r="H261" s="1022"/>
    </row>
    <row r="262" spans="1:8" ht="15">
      <c r="A262" s="1023" t="s">
        <v>1267</v>
      </c>
      <c r="B262" s="1022"/>
      <c r="C262" s="1022"/>
      <c r="D262" s="1022"/>
      <c r="E262" s="1022"/>
      <c r="F262" s="1022"/>
      <c r="G262" s="1022"/>
      <c r="H262" s="1022"/>
    </row>
    <row r="263" spans="1:8" ht="15">
      <c r="A263" s="1023" t="s">
        <v>1268</v>
      </c>
      <c r="B263" s="1022"/>
      <c r="C263" s="1022"/>
      <c r="D263" s="1022"/>
      <c r="E263" s="1022"/>
      <c r="F263" s="1022"/>
      <c r="G263" s="1022"/>
      <c r="H263" s="1022"/>
    </row>
    <row r="264" spans="1:8" ht="15">
      <c r="A264" s="1023" t="s">
        <v>1269</v>
      </c>
      <c r="B264" s="1022"/>
      <c r="C264" s="1022"/>
      <c r="D264" s="1022"/>
      <c r="E264" s="1022"/>
      <c r="F264" s="1022"/>
      <c r="G264" s="1022"/>
      <c r="H264" s="1022"/>
    </row>
    <row r="265" spans="1:8" ht="15">
      <c r="A265" s="1023" t="s">
        <v>1270</v>
      </c>
      <c r="B265" s="1022"/>
      <c r="C265" s="1022"/>
      <c r="D265" s="1022"/>
      <c r="E265" s="1022"/>
      <c r="F265" s="1022"/>
      <c r="G265" s="1022"/>
      <c r="H265" s="1022"/>
    </row>
    <row r="266" spans="1:8" ht="15">
      <c r="A266" s="1023" t="s">
        <v>1271</v>
      </c>
      <c r="B266" s="1022"/>
      <c r="C266" s="1022"/>
      <c r="D266" s="1022"/>
      <c r="E266" s="1022"/>
      <c r="F266" s="1022"/>
      <c r="G266" s="1022"/>
      <c r="H266" s="1022"/>
    </row>
    <row r="267" spans="1:8" ht="15">
      <c r="A267" s="1023" t="s">
        <v>1272</v>
      </c>
      <c r="B267" s="1022"/>
      <c r="C267" s="1022"/>
      <c r="D267" s="1022"/>
      <c r="E267" s="1022"/>
      <c r="F267" s="1022"/>
      <c r="G267" s="1022"/>
      <c r="H267" s="1022"/>
    </row>
    <row r="268" spans="1:8" ht="15">
      <c r="A268" s="1023" t="s">
        <v>1273</v>
      </c>
      <c r="B268" s="1022"/>
      <c r="C268" s="1022"/>
      <c r="D268" s="1022"/>
      <c r="E268" s="1022"/>
      <c r="F268" s="1022"/>
      <c r="G268" s="1022"/>
      <c r="H268" s="1022"/>
    </row>
    <row r="269" spans="1:8" ht="15">
      <c r="A269" s="1023" t="s">
        <v>1274</v>
      </c>
      <c r="B269" s="1022"/>
      <c r="C269" s="1022"/>
      <c r="D269" s="1022"/>
      <c r="E269" s="1022"/>
      <c r="F269" s="1022"/>
      <c r="G269" s="1022"/>
      <c r="H269" s="1022"/>
    </row>
    <row r="270" spans="1:8" ht="15">
      <c r="A270" s="1023" t="s">
        <v>1275</v>
      </c>
      <c r="B270" s="1022"/>
      <c r="C270" s="1022"/>
      <c r="D270" s="1022"/>
      <c r="E270" s="1022"/>
      <c r="F270" s="1022"/>
      <c r="G270" s="1022"/>
      <c r="H270" s="1022"/>
    </row>
    <row r="271" spans="1:8" ht="15">
      <c r="A271" s="1023" t="s">
        <v>1276</v>
      </c>
      <c r="B271" s="1022"/>
      <c r="C271" s="1022"/>
      <c r="D271" s="1022"/>
      <c r="E271" s="1022"/>
      <c r="F271" s="1022"/>
      <c r="G271" s="1022"/>
      <c r="H271" s="1022"/>
    </row>
    <row r="272" spans="1:8" ht="15">
      <c r="A272" s="1023" t="s">
        <v>1277</v>
      </c>
      <c r="B272" s="1022"/>
      <c r="C272" s="1022"/>
      <c r="D272" s="1022"/>
      <c r="E272" s="1022"/>
      <c r="F272" s="1022"/>
      <c r="G272" s="1022"/>
      <c r="H272" s="1022"/>
    </row>
    <row r="273" spans="1:8" ht="15">
      <c r="A273" s="1023" t="s">
        <v>1278</v>
      </c>
      <c r="B273" s="1022"/>
      <c r="C273" s="1022"/>
      <c r="D273" s="1022"/>
      <c r="E273" s="1022"/>
      <c r="F273" s="1022"/>
      <c r="G273" s="1022"/>
      <c r="H273" s="1022"/>
    </row>
    <row r="274" spans="1:8" ht="15">
      <c r="A274" s="1023" t="s">
        <v>1279</v>
      </c>
      <c r="B274" s="1022"/>
      <c r="C274" s="1022"/>
      <c r="D274" s="1022"/>
      <c r="E274" s="1022"/>
      <c r="F274" s="1022"/>
      <c r="G274" s="1022"/>
      <c r="H274" s="1022"/>
    </row>
    <row r="275" spans="1:8" ht="15">
      <c r="A275" s="1023" t="s">
        <v>1280</v>
      </c>
      <c r="B275" s="1022"/>
      <c r="C275" s="1022"/>
      <c r="D275" s="1022"/>
      <c r="E275" s="1022"/>
      <c r="F275" s="1022"/>
      <c r="G275" s="1022"/>
      <c r="H275" s="1022"/>
    </row>
    <row r="276" spans="1:8" ht="15">
      <c r="A276" s="1023" t="s">
        <v>1281</v>
      </c>
      <c r="B276" s="1022"/>
      <c r="C276" s="1022"/>
      <c r="D276" s="1022"/>
      <c r="E276" s="1022"/>
      <c r="F276" s="1022"/>
      <c r="G276" s="1022"/>
      <c r="H276" s="1022"/>
    </row>
    <row r="277" spans="1:8" ht="15">
      <c r="A277" s="1022"/>
      <c r="B277" s="1022"/>
      <c r="C277" s="1022"/>
      <c r="D277" s="1022"/>
      <c r="E277" s="1022"/>
      <c r="F277" s="1022"/>
      <c r="G277" s="1022"/>
      <c r="H277" s="1022"/>
    </row>
    <row r="278" spans="1:8" ht="15">
      <c r="A278" s="1023" t="s">
        <v>1259</v>
      </c>
      <c r="B278" s="1022"/>
      <c r="C278" s="1022"/>
      <c r="D278" s="1022"/>
      <c r="E278" s="1022"/>
      <c r="F278" s="1022"/>
      <c r="G278" s="1022"/>
      <c r="H278" s="1022"/>
    </row>
    <row r="279" spans="1:8" ht="15">
      <c r="A279" s="1023" t="s">
        <v>1260</v>
      </c>
      <c r="B279" s="1022"/>
      <c r="C279" s="1022"/>
      <c r="D279" s="1022"/>
      <c r="E279" s="1022"/>
      <c r="F279" s="1022"/>
      <c r="G279" s="1022"/>
      <c r="H279" s="1022"/>
    </row>
    <row r="280" spans="1:8" ht="15">
      <c r="A280" s="1023" t="s">
        <v>1261</v>
      </c>
      <c r="B280" s="1022"/>
      <c r="C280" s="1022"/>
      <c r="D280" s="1022"/>
      <c r="E280" s="1022"/>
      <c r="F280" s="1022"/>
      <c r="G280" s="1022"/>
      <c r="H280" s="1022"/>
    </row>
    <row r="281" spans="1:8" ht="15">
      <c r="A281" s="1023" t="s">
        <v>1262</v>
      </c>
      <c r="B281" s="1022"/>
      <c r="C281" s="1022"/>
      <c r="D281" s="1022"/>
      <c r="E281" s="1022"/>
      <c r="F281" s="1022"/>
      <c r="G281" s="1022"/>
      <c r="H281" s="1022"/>
    </row>
    <row r="282" spans="1:8" ht="15">
      <c r="A282" s="1023" t="s">
        <v>1263</v>
      </c>
      <c r="B282" s="1022"/>
      <c r="C282" s="1022"/>
      <c r="D282" s="1022"/>
      <c r="E282" s="1022"/>
      <c r="F282" s="1022"/>
      <c r="G282" s="1022"/>
      <c r="H282" s="1022"/>
    </row>
    <row r="283" spans="1:8" ht="15">
      <c r="A283" s="1023" t="s">
        <v>1264</v>
      </c>
      <c r="B283" s="1022"/>
      <c r="C283" s="1022"/>
      <c r="D283" s="1022"/>
      <c r="E283" s="1022"/>
      <c r="F283" s="1022"/>
      <c r="G283" s="1022"/>
      <c r="H283" s="1022"/>
    </row>
    <row r="284" spans="1:8" ht="15">
      <c r="A284" s="1023" t="s">
        <v>1265</v>
      </c>
      <c r="B284" s="1022"/>
      <c r="C284" s="1022"/>
      <c r="D284" s="1022"/>
      <c r="E284" s="1022"/>
      <c r="F284" s="1022"/>
      <c r="G284" s="1022"/>
      <c r="H284" s="1022"/>
    </row>
    <row r="285" spans="1:8" ht="15">
      <c r="A285" s="1022"/>
      <c r="B285" s="1022"/>
      <c r="C285" s="1022"/>
      <c r="D285" s="1022"/>
      <c r="E285" s="1022"/>
      <c r="F285" s="1022"/>
      <c r="G285" s="1022"/>
      <c r="H285" s="1022"/>
    </row>
    <row r="286" spans="1:8" ht="15">
      <c r="A286" s="1023" t="s">
        <v>1250</v>
      </c>
      <c r="B286" s="1022"/>
      <c r="C286" s="1022"/>
      <c r="D286" s="1022"/>
      <c r="E286" s="1022"/>
      <c r="F286" s="1022"/>
      <c r="G286" s="1022"/>
      <c r="H286" s="1022"/>
    </row>
    <row r="287" spans="1:8" ht="15">
      <c r="A287" s="1023" t="s">
        <v>1251</v>
      </c>
      <c r="B287" s="1022"/>
      <c r="C287" s="1022"/>
      <c r="D287" s="1022"/>
      <c r="E287" s="1022"/>
      <c r="F287" s="1022"/>
      <c r="G287" s="1022"/>
      <c r="H287" s="1022"/>
    </row>
    <row r="288" spans="1:8" ht="15">
      <c r="A288" s="1023" t="s">
        <v>1252</v>
      </c>
      <c r="B288" s="1022"/>
      <c r="C288" s="1022"/>
      <c r="D288" s="1022"/>
      <c r="E288" s="1022"/>
      <c r="F288" s="1022"/>
      <c r="G288" s="1022"/>
      <c r="H288" s="1022"/>
    </row>
    <row r="289" spans="1:8" ht="15">
      <c r="A289" s="1023" t="s">
        <v>1253</v>
      </c>
      <c r="B289" s="1022"/>
      <c r="C289" s="1022"/>
      <c r="D289" s="1022"/>
      <c r="E289" s="1022"/>
      <c r="F289" s="1022"/>
      <c r="G289" s="1022"/>
      <c r="H289" s="1022"/>
    </row>
    <row r="290" spans="1:8" ht="15">
      <c r="A290" s="1023" t="s">
        <v>1254</v>
      </c>
      <c r="B290" s="1022"/>
      <c r="C290" s="1022"/>
      <c r="D290" s="1022"/>
      <c r="E290" s="1022"/>
      <c r="F290" s="1022"/>
      <c r="G290" s="1022"/>
      <c r="H290" s="1022"/>
    </row>
    <row r="291" spans="1:8" ht="15">
      <c r="A291" s="1023" t="s">
        <v>1255</v>
      </c>
      <c r="B291" s="1022"/>
      <c r="C291" s="1022"/>
      <c r="D291" s="1022"/>
      <c r="E291" s="1022"/>
      <c r="F291" s="1022"/>
      <c r="G291" s="1022"/>
      <c r="H291" s="1022"/>
    </row>
    <row r="292" spans="1:8" ht="15">
      <c r="A292" s="1023" t="s">
        <v>1256</v>
      </c>
      <c r="B292" s="1022"/>
      <c r="C292" s="1022"/>
      <c r="D292" s="1022"/>
      <c r="E292" s="1022"/>
      <c r="F292" s="1022"/>
      <c r="G292" s="1022"/>
      <c r="H292" s="1022"/>
    </row>
    <row r="293" spans="1:8" ht="15">
      <c r="A293" s="1023" t="s">
        <v>1257</v>
      </c>
      <c r="B293" s="1022"/>
      <c r="C293" s="1022"/>
      <c r="D293" s="1022"/>
      <c r="E293" s="1022"/>
      <c r="F293" s="1022"/>
      <c r="G293" s="1022"/>
      <c r="H293" s="1022"/>
    </row>
    <row r="294" spans="1:8" ht="15">
      <c r="A294" s="1023" t="s">
        <v>1258</v>
      </c>
      <c r="B294" s="1022"/>
      <c r="C294" s="1022"/>
      <c r="D294" s="1022"/>
      <c r="E294" s="1022"/>
      <c r="F294" s="1022"/>
      <c r="G294" s="1022"/>
      <c r="H294" s="1022"/>
    </row>
    <row r="295" spans="1:8" ht="15">
      <c r="A295" s="1022"/>
      <c r="B295" s="1022"/>
      <c r="C295" s="1022"/>
      <c r="D295" s="1022"/>
      <c r="E295" s="1022"/>
      <c r="F295" s="1022"/>
      <c r="G295" s="1022"/>
      <c r="H295" s="1022"/>
    </row>
    <row r="296" spans="1:8" ht="15">
      <c r="A296" s="1023" t="s">
        <v>1243</v>
      </c>
      <c r="B296" s="1022"/>
      <c r="C296" s="1022"/>
      <c r="D296" s="1022"/>
      <c r="E296" s="1022"/>
      <c r="F296" s="1022"/>
      <c r="G296" s="1022"/>
      <c r="H296" s="1022"/>
    </row>
    <row r="297" spans="1:8" ht="15">
      <c r="A297" s="1023" t="s">
        <v>1244</v>
      </c>
      <c r="B297" s="1022"/>
      <c r="C297" s="1022"/>
      <c r="D297" s="1022"/>
      <c r="E297" s="1022"/>
      <c r="F297" s="1022"/>
      <c r="G297" s="1022"/>
      <c r="H297" s="1022"/>
    </row>
    <row r="298" spans="1:8" ht="15">
      <c r="A298" s="1023" t="s">
        <v>1245</v>
      </c>
      <c r="B298" s="1022"/>
      <c r="C298" s="1022"/>
      <c r="D298" s="1022"/>
      <c r="E298" s="1022"/>
      <c r="F298" s="1022"/>
      <c r="G298" s="1022"/>
      <c r="H298" s="1022"/>
    </row>
    <row r="299" spans="1:8" ht="15">
      <c r="A299" s="1023" t="s">
        <v>1246</v>
      </c>
      <c r="B299" s="1022"/>
      <c r="C299" s="1022"/>
      <c r="D299" s="1022"/>
      <c r="E299" s="1022"/>
      <c r="F299" s="1022"/>
      <c r="G299" s="1022"/>
      <c r="H299" s="1022"/>
    </row>
    <row r="300" spans="1:8" ht="15">
      <c r="A300" s="1023" t="s">
        <v>1247</v>
      </c>
      <c r="B300" s="1022"/>
      <c r="C300" s="1022"/>
      <c r="D300" s="1022"/>
      <c r="E300" s="1022"/>
      <c r="F300" s="1022"/>
      <c r="G300" s="1022"/>
      <c r="H300" s="1022"/>
    </row>
    <row r="301" spans="1:8" ht="15">
      <c r="A301" s="1023" t="s">
        <v>1248</v>
      </c>
      <c r="B301" s="1022"/>
      <c r="C301" s="1022"/>
      <c r="D301" s="1022"/>
      <c r="E301" s="1022"/>
      <c r="F301" s="1022"/>
      <c r="G301" s="1022"/>
      <c r="H301" s="1022"/>
    </row>
    <row r="302" spans="1:8" ht="15">
      <c r="A302" s="1023" t="s">
        <v>1249</v>
      </c>
      <c r="B302" s="1022"/>
      <c r="C302" s="1022"/>
      <c r="D302" s="1022"/>
      <c r="E302" s="1022"/>
      <c r="F302" s="1022"/>
      <c r="G302" s="1022"/>
      <c r="H302" s="1022"/>
    </row>
    <row r="303" spans="1:8" ht="15">
      <c r="A303" s="1022"/>
      <c r="B303" s="1022"/>
      <c r="C303" s="1022"/>
      <c r="D303" s="1022"/>
      <c r="E303" s="1022"/>
      <c r="F303" s="1022"/>
      <c r="G303" s="1022"/>
      <c r="H303" s="1022"/>
    </row>
    <row r="304" spans="1:8" ht="15">
      <c r="A304" s="1023" t="s">
        <v>1240</v>
      </c>
      <c r="B304" s="1022"/>
      <c r="C304" s="1022"/>
      <c r="D304" s="1022"/>
      <c r="E304" s="1022"/>
      <c r="F304" s="1022"/>
      <c r="G304" s="1022"/>
      <c r="H304" s="1022"/>
    </row>
    <row r="305" spans="1:8" ht="15">
      <c r="A305" s="1023" t="s">
        <v>1241</v>
      </c>
      <c r="B305" s="1022"/>
      <c r="C305" s="1022"/>
      <c r="D305" s="1022"/>
      <c r="E305" s="1022"/>
      <c r="F305" s="1022"/>
      <c r="G305" s="1022"/>
      <c r="H305" s="1022"/>
    </row>
    <row r="306" spans="1:8" ht="15">
      <c r="A306" s="1023" t="s">
        <v>1242</v>
      </c>
      <c r="B306" s="1022"/>
      <c r="C306" s="1022"/>
      <c r="D306" s="1022"/>
      <c r="E306" s="1022"/>
      <c r="F306" s="1022"/>
      <c r="G306" s="1022"/>
      <c r="H306" s="1022"/>
    </row>
    <row r="307" spans="1:8" ht="15">
      <c r="A307" s="1022"/>
      <c r="B307" s="1022"/>
      <c r="C307" s="1022"/>
      <c r="D307" s="1022"/>
      <c r="E307" s="1022"/>
      <c r="F307" s="1022"/>
      <c r="G307" s="1022"/>
      <c r="H307" s="1022"/>
    </row>
    <row r="308" spans="1:8" ht="15">
      <c r="A308" s="1023" t="s">
        <v>1238</v>
      </c>
      <c r="B308" s="1022"/>
      <c r="C308" s="1022"/>
      <c r="D308" s="1022"/>
      <c r="E308" s="1022"/>
      <c r="F308" s="1022"/>
      <c r="G308" s="1022"/>
      <c r="H308" s="1022"/>
    </row>
    <row r="309" spans="1:8" ht="15">
      <c r="A309" s="1023" t="s">
        <v>1239</v>
      </c>
      <c r="B309" s="1022"/>
      <c r="C309" s="1022"/>
      <c r="D309" s="1022"/>
      <c r="E309" s="1022"/>
      <c r="F309" s="1022"/>
      <c r="G309" s="1022"/>
      <c r="H309" s="1022"/>
    </row>
    <row r="310" spans="1:8" ht="15">
      <c r="A310" s="1022"/>
      <c r="B310" s="1022"/>
      <c r="C310" s="1022"/>
      <c r="D310" s="1022"/>
      <c r="E310" s="1022"/>
      <c r="F310" s="1022"/>
      <c r="G310" s="1022"/>
      <c r="H310" s="1022"/>
    </row>
    <row r="311" spans="1:8" ht="15">
      <c r="A311" s="1023" t="s">
        <v>1225</v>
      </c>
      <c r="B311" s="1022"/>
      <c r="C311" s="1022"/>
      <c r="D311" s="1022"/>
      <c r="E311" s="1022"/>
      <c r="F311" s="1022"/>
      <c r="G311" s="1022"/>
      <c r="H311" s="1022"/>
    </row>
    <row r="312" spans="1:8" ht="15">
      <c r="A312" s="1023" t="s">
        <v>1226</v>
      </c>
      <c r="B312" s="1022"/>
      <c r="C312" s="1022"/>
      <c r="D312" s="1022"/>
      <c r="E312" s="1022"/>
      <c r="F312" s="1022"/>
      <c r="G312" s="1022"/>
      <c r="H312" s="1022"/>
    </row>
    <row r="313" spans="1:8" ht="15">
      <c r="A313" s="1023" t="s">
        <v>1227</v>
      </c>
      <c r="B313" s="1022"/>
      <c r="C313" s="1022"/>
      <c r="D313" s="1022"/>
      <c r="E313" s="1022"/>
      <c r="F313" s="1022"/>
      <c r="G313" s="1022"/>
      <c r="H313" s="1022"/>
    </row>
    <row r="314" spans="1:8" ht="15">
      <c r="A314" s="1023" t="s">
        <v>1228</v>
      </c>
      <c r="B314" s="1022"/>
      <c r="C314" s="1022"/>
      <c r="D314" s="1022"/>
      <c r="E314" s="1022"/>
      <c r="F314" s="1022"/>
      <c r="G314" s="1022"/>
      <c r="H314" s="1022"/>
    </row>
    <row r="315" spans="1:8" ht="15">
      <c r="A315" s="1023" t="s">
        <v>1229</v>
      </c>
      <c r="B315" s="1022"/>
      <c r="C315" s="1022"/>
      <c r="D315" s="1022"/>
      <c r="E315" s="1022"/>
      <c r="F315" s="1022"/>
      <c r="G315" s="1022"/>
      <c r="H315" s="1022"/>
    </row>
    <row r="316" spans="1:8" ht="15">
      <c r="A316" s="1023" t="s">
        <v>1230</v>
      </c>
      <c r="B316" s="1022"/>
      <c r="C316" s="1022"/>
      <c r="D316" s="1022"/>
      <c r="E316" s="1022"/>
      <c r="F316" s="1022"/>
      <c r="G316" s="1022"/>
      <c r="H316" s="1022"/>
    </row>
    <row r="317" spans="1:8" ht="15">
      <c r="A317" s="1023" t="s">
        <v>1231</v>
      </c>
      <c r="B317" s="1022"/>
      <c r="C317" s="1022"/>
      <c r="D317" s="1022"/>
      <c r="E317" s="1022"/>
      <c r="F317" s="1022"/>
      <c r="G317" s="1022"/>
      <c r="H317" s="1022"/>
    </row>
    <row r="318" spans="1:8" ht="15">
      <c r="A318" s="1023" t="s">
        <v>1232</v>
      </c>
      <c r="B318" s="1022"/>
      <c r="C318" s="1022"/>
      <c r="D318" s="1022"/>
      <c r="E318" s="1022"/>
      <c r="F318" s="1022"/>
      <c r="G318" s="1022"/>
      <c r="H318" s="1022"/>
    </row>
    <row r="319" spans="1:8" ht="15">
      <c r="A319" s="1023" t="s">
        <v>1233</v>
      </c>
      <c r="B319" s="1022"/>
      <c r="C319" s="1022"/>
      <c r="D319" s="1022"/>
      <c r="E319" s="1022"/>
      <c r="F319" s="1022"/>
      <c r="G319" s="1022"/>
      <c r="H319" s="1022"/>
    </row>
    <row r="320" spans="1:8" ht="15">
      <c r="A320" s="1023" t="s">
        <v>1234</v>
      </c>
      <c r="B320" s="1022"/>
      <c r="C320" s="1022"/>
      <c r="D320" s="1022"/>
      <c r="E320" s="1022"/>
      <c r="F320" s="1022"/>
      <c r="G320" s="1022"/>
      <c r="H320" s="1022"/>
    </row>
    <row r="321" spans="1:8" ht="15">
      <c r="A321" s="1023" t="s">
        <v>1235</v>
      </c>
      <c r="B321" s="1022"/>
      <c r="C321" s="1022"/>
      <c r="D321" s="1022"/>
      <c r="E321" s="1022"/>
      <c r="F321" s="1022"/>
      <c r="G321" s="1022"/>
      <c r="H321" s="1022"/>
    </row>
    <row r="322" spans="1:8" ht="15">
      <c r="A322" s="1023" t="s">
        <v>1236</v>
      </c>
      <c r="B322" s="1022"/>
      <c r="C322" s="1022"/>
      <c r="D322" s="1022"/>
      <c r="E322" s="1022"/>
      <c r="F322" s="1022"/>
      <c r="G322" s="1022"/>
      <c r="H322" s="1022"/>
    </row>
    <row r="323" spans="1:8" ht="15">
      <c r="A323" s="1023" t="s">
        <v>1237</v>
      </c>
      <c r="B323" s="1022"/>
      <c r="C323" s="1022"/>
      <c r="D323" s="1022"/>
      <c r="E323" s="1022"/>
      <c r="F323" s="1022"/>
      <c r="G323" s="1022"/>
      <c r="H323" s="1022"/>
    </row>
    <row r="324" spans="1:8" ht="15">
      <c r="A324" s="1022"/>
      <c r="B324" s="1022"/>
      <c r="C324" s="1022"/>
      <c r="D324" s="1022"/>
      <c r="E324" s="1022"/>
      <c r="F324" s="1022"/>
      <c r="G324" s="1022"/>
      <c r="H324" s="1022"/>
    </row>
    <row r="325" spans="1:8" ht="15">
      <c r="A325" s="1023" t="s">
        <v>1217</v>
      </c>
      <c r="B325" s="1022"/>
      <c r="C325" s="1022"/>
      <c r="D325" s="1022"/>
      <c r="E325" s="1022"/>
      <c r="F325" s="1022"/>
      <c r="G325" s="1022"/>
      <c r="H325" s="1022"/>
    </row>
    <row r="326" spans="1:8" ht="15">
      <c r="A326" s="1023" t="s">
        <v>1218</v>
      </c>
      <c r="B326" s="1022"/>
      <c r="C326" s="1022"/>
      <c r="D326" s="1022"/>
      <c r="E326" s="1022"/>
      <c r="F326" s="1022"/>
      <c r="G326" s="1022"/>
      <c r="H326" s="1022"/>
    </row>
    <row r="327" spans="1:8" ht="15">
      <c r="A327" s="1023" t="s">
        <v>1219</v>
      </c>
      <c r="B327" s="1022"/>
      <c r="C327" s="1022"/>
      <c r="D327" s="1022"/>
      <c r="E327" s="1022"/>
      <c r="F327" s="1022"/>
      <c r="G327" s="1022"/>
      <c r="H327" s="1022"/>
    </row>
    <row r="328" spans="1:8" ht="15">
      <c r="A328" s="1023" t="s">
        <v>1220</v>
      </c>
      <c r="B328" s="1022"/>
      <c r="C328" s="1022"/>
      <c r="D328" s="1022"/>
      <c r="E328" s="1022"/>
      <c r="F328" s="1022"/>
      <c r="G328" s="1022"/>
      <c r="H328" s="1022"/>
    </row>
    <row r="329" spans="1:8" ht="15">
      <c r="A329" s="1023" t="s">
        <v>1221</v>
      </c>
      <c r="B329" s="1022"/>
      <c r="C329" s="1022"/>
      <c r="D329" s="1022"/>
      <c r="E329" s="1022"/>
      <c r="F329" s="1022"/>
      <c r="G329" s="1022"/>
      <c r="H329" s="1022"/>
    </row>
    <row r="330" spans="1:8" ht="15">
      <c r="A330" s="1023" t="s">
        <v>1222</v>
      </c>
      <c r="B330" s="1022"/>
      <c r="C330" s="1022"/>
      <c r="D330" s="1022"/>
      <c r="E330" s="1022"/>
      <c r="F330" s="1022"/>
      <c r="G330" s="1022"/>
      <c r="H330" s="1022"/>
    </row>
    <row r="331" spans="1:8" ht="15">
      <c r="A331" s="1023" t="s">
        <v>1223</v>
      </c>
      <c r="B331" s="1022"/>
      <c r="C331" s="1022"/>
      <c r="D331" s="1022"/>
      <c r="E331" s="1022"/>
      <c r="F331" s="1022"/>
      <c r="G331" s="1022"/>
      <c r="H331" s="1022"/>
    </row>
    <row r="332" spans="1:8" ht="15">
      <c r="A332" s="1023" t="s">
        <v>1224</v>
      </c>
      <c r="B332" s="1022"/>
      <c r="C332" s="1022"/>
      <c r="D332" s="1022"/>
      <c r="E332" s="1022"/>
      <c r="F332" s="1022"/>
      <c r="G332" s="1022"/>
      <c r="H332" s="1022"/>
    </row>
    <row r="333" spans="1:8" ht="15">
      <c r="A333" s="1022"/>
      <c r="B333" s="1022"/>
      <c r="C333" s="1022"/>
      <c r="D333" s="1022"/>
      <c r="E333" s="1022"/>
      <c r="F333" s="1022"/>
      <c r="G333" s="1022"/>
      <c r="H333" s="1022"/>
    </row>
    <row r="334" spans="1:8" ht="15">
      <c r="A334" s="1023" t="s">
        <v>1182</v>
      </c>
      <c r="B334" s="1022"/>
      <c r="C334" s="1022"/>
      <c r="D334" s="1022"/>
      <c r="E334" s="1022"/>
      <c r="F334" s="1022"/>
      <c r="G334" s="1022"/>
      <c r="H334" s="1022"/>
    </row>
    <row r="335" spans="1:8" ht="15">
      <c r="A335" s="1023" t="s">
        <v>1183</v>
      </c>
      <c r="B335" s="1022"/>
      <c r="C335" s="1022"/>
      <c r="D335" s="1022"/>
      <c r="E335" s="1022"/>
      <c r="F335" s="1022"/>
      <c r="G335" s="1022"/>
      <c r="H335" s="1022"/>
    </row>
    <row r="336" spans="1:8" ht="15">
      <c r="A336" s="1023" t="s">
        <v>1184</v>
      </c>
      <c r="B336" s="1022"/>
      <c r="C336" s="1022"/>
      <c r="D336" s="1022"/>
      <c r="E336" s="1022"/>
      <c r="F336" s="1022"/>
      <c r="G336" s="1022"/>
      <c r="H336" s="1022"/>
    </row>
    <row r="337" spans="1:8" ht="15">
      <c r="A337" s="1023" t="s">
        <v>1185</v>
      </c>
      <c r="B337" s="1022"/>
      <c r="C337" s="1022"/>
      <c r="D337" s="1022"/>
      <c r="E337" s="1022"/>
      <c r="F337" s="1022"/>
      <c r="G337" s="1022"/>
      <c r="H337" s="1022"/>
    </row>
    <row r="338" spans="1:8" ht="15">
      <c r="A338" s="1023" t="s">
        <v>1186</v>
      </c>
      <c r="B338" s="1022"/>
      <c r="C338" s="1022"/>
      <c r="D338" s="1022"/>
      <c r="E338" s="1022"/>
      <c r="F338" s="1022"/>
      <c r="G338" s="1022"/>
      <c r="H338" s="1022"/>
    </row>
    <row r="339" spans="1:8" ht="15">
      <c r="A339" s="1023" t="s">
        <v>1187</v>
      </c>
      <c r="B339" s="1022"/>
      <c r="C339" s="1022"/>
      <c r="D339" s="1022"/>
      <c r="E339" s="1022"/>
      <c r="F339" s="1022"/>
      <c r="G339" s="1022"/>
      <c r="H339" s="1022"/>
    </row>
    <row r="340" spans="1:8" ht="15">
      <c r="A340" s="1023" t="s">
        <v>1188</v>
      </c>
      <c r="B340" s="1022"/>
      <c r="C340" s="1022"/>
      <c r="D340" s="1022"/>
      <c r="E340" s="1022"/>
      <c r="F340" s="1022"/>
      <c r="G340" s="1022"/>
      <c r="H340" s="1022"/>
    </row>
    <row r="341" spans="1:8" ht="15">
      <c r="A341" s="1023" t="s">
        <v>1189</v>
      </c>
      <c r="B341" s="1022"/>
      <c r="C341" s="1022"/>
      <c r="D341" s="1022"/>
      <c r="E341" s="1022"/>
      <c r="F341" s="1022"/>
      <c r="G341" s="1022"/>
      <c r="H341" s="1022"/>
    </row>
    <row r="342" spans="1:8" ht="15">
      <c r="A342" s="1023" t="s">
        <v>1190</v>
      </c>
      <c r="B342" s="1022"/>
      <c r="C342" s="1022"/>
      <c r="D342" s="1022"/>
      <c r="E342" s="1022"/>
      <c r="F342" s="1022"/>
      <c r="G342" s="1022"/>
      <c r="H342" s="1022"/>
    </row>
    <row r="343" spans="1:8" ht="15">
      <c r="A343" s="1023" t="s">
        <v>1191</v>
      </c>
      <c r="B343" s="1022"/>
      <c r="C343" s="1022"/>
      <c r="D343" s="1022"/>
      <c r="E343" s="1022"/>
      <c r="F343" s="1022"/>
      <c r="G343" s="1022"/>
      <c r="H343" s="1022"/>
    </row>
    <row r="344" spans="1:8" ht="15">
      <c r="A344" s="1023" t="s">
        <v>1192</v>
      </c>
      <c r="B344" s="1022"/>
      <c r="C344" s="1022"/>
      <c r="D344" s="1022"/>
      <c r="E344" s="1022"/>
      <c r="F344" s="1022"/>
      <c r="G344" s="1022"/>
      <c r="H344" s="1022"/>
    </row>
    <row r="345" spans="1:8" ht="15">
      <c r="A345" s="1023" t="s">
        <v>1193</v>
      </c>
      <c r="B345" s="1022"/>
      <c r="C345" s="1022"/>
      <c r="D345" s="1022"/>
      <c r="E345" s="1022"/>
      <c r="F345" s="1022"/>
      <c r="G345" s="1022"/>
      <c r="H345" s="1022"/>
    </row>
    <row r="346" spans="1:8" ht="15">
      <c r="A346" s="1023" t="s">
        <v>1194</v>
      </c>
      <c r="B346" s="1022"/>
      <c r="C346" s="1022"/>
      <c r="D346" s="1022"/>
      <c r="E346" s="1022"/>
      <c r="F346" s="1022"/>
      <c r="G346" s="1022"/>
      <c r="H346" s="1022"/>
    </row>
    <row r="347" spans="1:8" ht="15">
      <c r="A347" s="1023" t="s">
        <v>1195</v>
      </c>
      <c r="B347" s="1022"/>
      <c r="C347" s="1022"/>
      <c r="D347" s="1022"/>
      <c r="E347" s="1022"/>
      <c r="F347" s="1022"/>
      <c r="G347" s="1022"/>
      <c r="H347" s="1022"/>
    </row>
    <row r="348" spans="1:8" ht="15">
      <c r="A348" s="1023" t="s">
        <v>1196</v>
      </c>
      <c r="B348" s="1022"/>
      <c r="C348" s="1022"/>
      <c r="D348" s="1022"/>
      <c r="E348" s="1022"/>
      <c r="F348" s="1022"/>
      <c r="G348" s="1022"/>
      <c r="H348" s="1022"/>
    </row>
    <row r="349" spans="1:8" ht="15">
      <c r="A349" s="1023" t="s">
        <v>1197</v>
      </c>
      <c r="B349" s="1022"/>
      <c r="C349" s="1022"/>
      <c r="D349" s="1022"/>
      <c r="E349" s="1022"/>
      <c r="F349" s="1022"/>
      <c r="G349" s="1022"/>
      <c r="H349" s="1022"/>
    </row>
    <row r="350" spans="1:8" ht="15">
      <c r="A350" s="1023" t="s">
        <v>1198</v>
      </c>
      <c r="B350" s="1022"/>
      <c r="C350" s="1022"/>
      <c r="D350" s="1022"/>
      <c r="E350" s="1022"/>
      <c r="F350" s="1022"/>
      <c r="G350" s="1022"/>
      <c r="H350" s="1022"/>
    </row>
    <row r="351" spans="1:8" ht="15">
      <c r="A351" s="1023" t="s">
        <v>1199</v>
      </c>
      <c r="B351" s="1022"/>
      <c r="C351" s="1022"/>
      <c r="D351" s="1022"/>
      <c r="E351" s="1022"/>
      <c r="F351" s="1022"/>
      <c r="G351" s="1022"/>
      <c r="H351" s="1022"/>
    </row>
    <row r="352" spans="1:8" ht="15">
      <c r="A352" s="1023" t="s">
        <v>1200</v>
      </c>
      <c r="B352" s="1022"/>
      <c r="C352" s="1022"/>
      <c r="D352" s="1022"/>
      <c r="E352" s="1022"/>
      <c r="F352" s="1022"/>
      <c r="G352" s="1022"/>
      <c r="H352" s="1022"/>
    </row>
    <row r="353" spans="1:8" ht="15">
      <c r="A353" s="1023" t="s">
        <v>1201</v>
      </c>
      <c r="B353" s="1022"/>
      <c r="C353" s="1022"/>
      <c r="D353" s="1022"/>
      <c r="E353" s="1022"/>
      <c r="F353" s="1022"/>
      <c r="G353" s="1022"/>
      <c r="H353" s="1022"/>
    </row>
    <row r="354" spans="1:8" ht="15">
      <c r="A354" s="1023" t="s">
        <v>1202</v>
      </c>
      <c r="B354" s="1022"/>
      <c r="C354" s="1022"/>
      <c r="D354" s="1022"/>
      <c r="E354" s="1022"/>
      <c r="F354" s="1022"/>
      <c r="G354" s="1022"/>
      <c r="H354" s="1022"/>
    </row>
    <row r="355" spans="1:8" ht="15">
      <c r="A355" s="1023" t="s">
        <v>1203</v>
      </c>
      <c r="B355" s="1022"/>
      <c r="C355" s="1022"/>
      <c r="D355" s="1022"/>
      <c r="E355" s="1022"/>
      <c r="F355" s="1022"/>
      <c r="G355" s="1022"/>
      <c r="H355" s="1022"/>
    </row>
    <row r="356" spans="1:8" ht="15">
      <c r="A356" s="1023" t="s">
        <v>1204</v>
      </c>
      <c r="B356" s="1022"/>
      <c r="C356" s="1022"/>
      <c r="D356" s="1022"/>
      <c r="E356" s="1022"/>
      <c r="F356" s="1022"/>
      <c r="G356" s="1022"/>
      <c r="H356" s="1022"/>
    </row>
    <row r="357" spans="1:8" ht="15">
      <c r="A357" s="1023" t="s">
        <v>1205</v>
      </c>
      <c r="B357" s="1022"/>
      <c r="C357" s="1022"/>
      <c r="D357" s="1022"/>
      <c r="E357" s="1022"/>
      <c r="F357" s="1022"/>
      <c r="G357" s="1022"/>
      <c r="H357" s="1022"/>
    </row>
    <row r="358" spans="1:8" ht="15">
      <c r="A358" s="1023" t="s">
        <v>1206</v>
      </c>
      <c r="B358" s="1022"/>
      <c r="C358" s="1022"/>
      <c r="D358" s="1022"/>
      <c r="E358" s="1022"/>
      <c r="F358" s="1022"/>
      <c r="G358" s="1022"/>
      <c r="H358" s="1022"/>
    </row>
    <row r="359" spans="1:8" ht="15">
      <c r="A359" s="1023" t="s">
        <v>1207</v>
      </c>
      <c r="B359" s="1022"/>
      <c r="C359" s="1022"/>
      <c r="D359" s="1022"/>
      <c r="E359" s="1022"/>
      <c r="F359" s="1022"/>
      <c r="G359" s="1022"/>
      <c r="H359" s="1022"/>
    </row>
    <row r="360" spans="1:8" ht="15">
      <c r="A360" s="1023" t="s">
        <v>1208</v>
      </c>
      <c r="B360" s="1022"/>
      <c r="C360" s="1022"/>
      <c r="D360" s="1022"/>
      <c r="E360" s="1022"/>
      <c r="F360" s="1022"/>
      <c r="G360" s="1022"/>
      <c r="H360" s="1022"/>
    </row>
    <row r="361" spans="1:8" ht="15">
      <c r="A361" s="1023" t="s">
        <v>1209</v>
      </c>
      <c r="B361" s="1022"/>
      <c r="C361" s="1022"/>
      <c r="D361" s="1022"/>
      <c r="E361" s="1022"/>
      <c r="F361" s="1022"/>
      <c r="G361" s="1022"/>
      <c r="H361" s="1022"/>
    </row>
    <row r="362" spans="1:8" ht="15">
      <c r="A362" s="1023" t="s">
        <v>1210</v>
      </c>
      <c r="B362" s="1022"/>
      <c r="C362" s="1022"/>
      <c r="D362" s="1022"/>
      <c r="E362" s="1022"/>
      <c r="F362" s="1022"/>
      <c r="G362" s="1022"/>
      <c r="H362" s="1022"/>
    </row>
    <row r="363" spans="1:8" ht="15">
      <c r="A363" s="1023" t="s">
        <v>1211</v>
      </c>
      <c r="B363" s="1022"/>
      <c r="C363" s="1022"/>
      <c r="D363" s="1022"/>
      <c r="E363" s="1022"/>
      <c r="F363" s="1022"/>
      <c r="G363" s="1022"/>
      <c r="H363" s="1022"/>
    </row>
    <row r="364" spans="1:8" ht="15">
      <c r="A364" s="1023" t="s">
        <v>1212</v>
      </c>
      <c r="B364" s="1022"/>
      <c r="C364" s="1022"/>
      <c r="D364" s="1022"/>
      <c r="E364" s="1022"/>
      <c r="F364" s="1022"/>
      <c r="G364" s="1022"/>
      <c r="H364" s="1022"/>
    </row>
    <row r="365" spans="1:8" ht="15">
      <c r="A365" s="1023" t="s">
        <v>1213</v>
      </c>
      <c r="B365" s="1022"/>
      <c r="C365" s="1022"/>
      <c r="D365" s="1022"/>
      <c r="E365" s="1022"/>
      <c r="F365" s="1022"/>
      <c r="G365" s="1022"/>
      <c r="H365" s="1022"/>
    </row>
    <row r="366" spans="1:8" ht="15">
      <c r="A366" s="1023" t="s">
        <v>1214</v>
      </c>
      <c r="B366" s="1022"/>
      <c r="C366" s="1022"/>
      <c r="D366" s="1022"/>
      <c r="E366" s="1022"/>
      <c r="F366" s="1022"/>
      <c r="G366" s="1022"/>
      <c r="H366" s="1022"/>
    </row>
    <row r="367" spans="1:8" ht="15">
      <c r="A367" s="1023" t="s">
        <v>1215</v>
      </c>
      <c r="B367" s="1022"/>
      <c r="C367" s="1022"/>
      <c r="D367" s="1022"/>
      <c r="E367" s="1022"/>
      <c r="F367" s="1022"/>
      <c r="G367" s="1022"/>
      <c r="H367" s="1022"/>
    </row>
    <row r="368" spans="1:8" ht="15">
      <c r="A368" s="1023" t="s">
        <v>1216</v>
      </c>
      <c r="B368" s="1022"/>
      <c r="C368" s="1022"/>
      <c r="D368" s="1022"/>
      <c r="E368" s="1022"/>
      <c r="F368" s="1022"/>
      <c r="G368" s="1022"/>
      <c r="H368" s="1022"/>
    </row>
    <row r="369" spans="1:8" ht="15">
      <c r="A369" s="1022"/>
      <c r="B369" s="1022"/>
      <c r="C369" s="1022"/>
      <c r="D369" s="1022"/>
      <c r="E369" s="1022"/>
      <c r="F369" s="1022"/>
      <c r="G369" s="1022"/>
      <c r="H369" s="1022"/>
    </row>
    <row r="370" spans="1:8" ht="15">
      <c r="A370" s="1023" t="s">
        <v>1174</v>
      </c>
      <c r="B370" s="1022"/>
      <c r="C370" s="1022"/>
      <c r="D370" s="1022"/>
      <c r="E370" s="1022"/>
      <c r="F370" s="1022"/>
      <c r="G370" s="1022"/>
      <c r="H370" s="1022"/>
    </row>
    <row r="371" spans="1:8" ht="15">
      <c r="A371" s="1023" t="s">
        <v>1178</v>
      </c>
      <c r="B371" s="1022"/>
      <c r="C371" s="1022"/>
      <c r="D371" s="1022"/>
      <c r="E371" s="1022"/>
      <c r="F371" s="1022"/>
      <c r="G371" s="1022"/>
      <c r="H371" s="1022"/>
    </row>
    <row r="372" spans="1:8" ht="15">
      <c r="A372" s="1023" t="s">
        <v>1179</v>
      </c>
      <c r="B372" s="1022"/>
      <c r="C372" s="1022"/>
      <c r="D372" s="1022"/>
      <c r="E372" s="1022"/>
      <c r="F372" s="1022"/>
      <c r="G372" s="1022"/>
      <c r="H372" s="1022"/>
    </row>
    <row r="373" spans="1:8" ht="15">
      <c r="A373" s="1023" t="s">
        <v>1180</v>
      </c>
      <c r="B373" s="1022"/>
      <c r="C373" s="1022"/>
      <c r="D373" s="1022"/>
      <c r="E373" s="1022"/>
      <c r="F373" s="1022"/>
      <c r="G373" s="1022"/>
      <c r="H373" s="1022"/>
    </row>
    <row r="374" spans="1:8" ht="15">
      <c r="A374" s="1023" t="s">
        <v>1181</v>
      </c>
      <c r="B374" s="1022"/>
      <c r="C374" s="1022"/>
      <c r="D374" s="1022"/>
      <c r="E374" s="1022"/>
      <c r="F374" s="1022"/>
      <c r="G374" s="1022"/>
      <c r="H374" s="1022"/>
    </row>
    <row r="375" spans="1:8" ht="15">
      <c r="A375" s="1022"/>
      <c r="B375" s="1022"/>
      <c r="C375" s="1022"/>
      <c r="D375" s="1022"/>
      <c r="E375" s="1022"/>
      <c r="F375" s="1022"/>
      <c r="G375" s="1022"/>
      <c r="H375" s="1022"/>
    </row>
    <row r="376" spans="1:8" ht="15">
      <c r="A376" s="1023" t="s">
        <v>1174</v>
      </c>
      <c r="B376" s="1022"/>
      <c r="C376" s="1022"/>
      <c r="D376" s="1022"/>
      <c r="E376" s="1022"/>
      <c r="F376" s="1022"/>
      <c r="G376" s="1022"/>
      <c r="H376" s="1022"/>
    </row>
    <row r="377" spans="1:8" ht="15">
      <c r="A377" s="1023" t="s">
        <v>1175</v>
      </c>
      <c r="B377" s="1022"/>
      <c r="C377" s="1022"/>
      <c r="D377" s="1022"/>
      <c r="E377" s="1022"/>
      <c r="F377" s="1022"/>
      <c r="G377" s="1022"/>
      <c r="H377" s="1022"/>
    </row>
    <row r="378" spans="1:8" ht="15">
      <c r="A378" s="1023" t="s">
        <v>1176</v>
      </c>
      <c r="B378" s="1022"/>
      <c r="C378" s="1022"/>
      <c r="D378" s="1022"/>
      <c r="E378" s="1022"/>
      <c r="F378" s="1022"/>
      <c r="G378" s="1022"/>
      <c r="H378" s="1022"/>
    </row>
    <row r="379" spans="1:8" ht="15">
      <c r="A379" s="1023" t="s">
        <v>1177</v>
      </c>
      <c r="B379" s="1022"/>
      <c r="C379" s="1022"/>
      <c r="D379" s="1022"/>
      <c r="E379" s="1022"/>
      <c r="F379" s="1022"/>
      <c r="G379" s="1022"/>
      <c r="H379" s="1022"/>
    </row>
    <row r="380" spans="1:8" ht="15">
      <c r="A380" s="1022"/>
      <c r="B380" s="1022"/>
      <c r="C380" s="1022"/>
      <c r="D380" s="1022"/>
      <c r="E380" s="1022"/>
      <c r="F380" s="1022"/>
      <c r="G380" s="1022"/>
      <c r="H380" s="1022"/>
    </row>
    <row r="381" spans="1:8" ht="15">
      <c r="A381" s="1023" t="s">
        <v>1168</v>
      </c>
      <c r="B381" s="1022"/>
      <c r="C381" s="1022"/>
      <c r="D381" s="1022"/>
      <c r="E381" s="1022"/>
      <c r="F381" s="1022"/>
      <c r="G381" s="1022"/>
      <c r="H381" s="1022"/>
    </row>
    <row r="382" spans="1:8" ht="15">
      <c r="A382" s="1023" t="s">
        <v>1169</v>
      </c>
      <c r="B382" s="1022"/>
      <c r="C382" s="1022"/>
      <c r="D382" s="1022"/>
      <c r="E382" s="1022"/>
      <c r="F382" s="1022"/>
      <c r="G382" s="1022"/>
      <c r="H382" s="1022"/>
    </row>
    <row r="383" spans="1:8" ht="15">
      <c r="A383" s="1023" t="s">
        <v>1170</v>
      </c>
      <c r="B383" s="1022"/>
      <c r="C383" s="1022"/>
      <c r="D383" s="1022"/>
      <c r="E383" s="1022"/>
      <c r="F383" s="1022"/>
      <c r="G383" s="1022"/>
      <c r="H383" s="1022"/>
    </row>
    <row r="384" spans="1:8" ht="15">
      <c r="A384" s="1023" t="s">
        <v>1171</v>
      </c>
      <c r="B384" s="1022"/>
      <c r="C384" s="1022"/>
      <c r="D384" s="1022"/>
      <c r="E384" s="1022"/>
      <c r="F384" s="1022"/>
      <c r="G384" s="1022"/>
      <c r="H384" s="1022"/>
    </row>
    <row r="385" spans="1:8" ht="15">
      <c r="A385" s="1023" t="s">
        <v>1172</v>
      </c>
      <c r="B385" s="1022"/>
      <c r="C385" s="1022"/>
      <c r="D385" s="1022"/>
      <c r="E385" s="1022"/>
      <c r="F385" s="1022"/>
      <c r="G385" s="1022"/>
      <c r="H385" s="1022"/>
    </row>
    <row r="386" spans="1:8" ht="15">
      <c r="A386" s="1023" t="s">
        <v>1173</v>
      </c>
      <c r="B386" s="1022"/>
      <c r="C386" s="1022"/>
      <c r="D386" s="1022"/>
      <c r="E386" s="1022"/>
      <c r="F386" s="1022"/>
      <c r="G386" s="1022"/>
      <c r="H386" s="1022"/>
    </row>
    <row r="387" spans="1:8" ht="15">
      <c r="A387" s="1022"/>
      <c r="B387" s="1022"/>
      <c r="C387" s="1022"/>
      <c r="D387" s="1022"/>
      <c r="E387" s="1022"/>
      <c r="F387" s="1022"/>
      <c r="G387" s="1022"/>
      <c r="H387" s="1022"/>
    </row>
    <row r="388" spans="1:8" ht="15">
      <c r="A388" s="1023" t="s">
        <v>1163</v>
      </c>
      <c r="B388" s="1022"/>
      <c r="C388" s="1022"/>
      <c r="D388" s="1022"/>
      <c r="E388" s="1022"/>
      <c r="F388" s="1022"/>
      <c r="G388" s="1022"/>
      <c r="H388" s="1022"/>
    </row>
    <row r="389" spans="1:8" ht="15">
      <c r="A389" s="1023" t="s">
        <v>1164</v>
      </c>
      <c r="B389" s="1022"/>
      <c r="C389" s="1022"/>
      <c r="D389" s="1022"/>
      <c r="E389" s="1022"/>
      <c r="F389" s="1022"/>
      <c r="G389" s="1022"/>
      <c r="H389" s="1022"/>
    </row>
    <row r="390" spans="1:8" ht="15">
      <c r="A390" s="1023" t="s">
        <v>1165</v>
      </c>
      <c r="B390" s="1022"/>
      <c r="C390" s="1022"/>
      <c r="D390" s="1022"/>
      <c r="E390" s="1022"/>
      <c r="F390" s="1022"/>
      <c r="G390" s="1022"/>
      <c r="H390" s="1022"/>
    </row>
    <row r="391" spans="1:8" ht="15">
      <c r="A391" s="1023" t="s">
        <v>1166</v>
      </c>
      <c r="B391" s="1022"/>
      <c r="C391" s="1022"/>
      <c r="D391" s="1022"/>
      <c r="E391" s="1022"/>
      <c r="F391" s="1022"/>
      <c r="G391" s="1022"/>
      <c r="H391" s="1022"/>
    </row>
    <row r="392" spans="1:8" ht="15">
      <c r="A392" s="1023" t="s">
        <v>1167</v>
      </c>
      <c r="B392" s="1022"/>
      <c r="C392" s="1022"/>
      <c r="D392" s="1022"/>
      <c r="E392" s="1022"/>
      <c r="F392" s="1022"/>
      <c r="G392" s="1022"/>
      <c r="H392" s="1022"/>
    </row>
    <row r="393" spans="1:8" ht="15">
      <c r="A393" s="1022"/>
      <c r="B393" s="1022"/>
      <c r="C393" s="1022"/>
      <c r="D393" s="1022"/>
      <c r="E393" s="1022"/>
      <c r="F393" s="1022"/>
      <c r="G393" s="1022"/>
      <c r="H393" s="1022"/>
    </row>
    <row r="394" spans="1:8" ht="15">
      <c r="A394" s="1023" t="s">
        <v>1161</v>
      </c>
      <c r="B394" s="1022"/>
      <c r="C394" s="1022"/>
      <c r="D394" s="1022"/>
      <c r="E394" s="1022"/>
      <c r="F394" s="1022"/>
      <c r="G394" s="1022"/>
      <c r="H394" s="1022"/>
    </row>
    <row r="395" spans="1:8" ht="15">
      <c r="A395" s="1023" t="s">
        <v>1162</v>
      </c>
      <c r="B395" s="1022"/>
      <c r="C395" s="1022"/>
      <c r="D395" s="1022"/>
      <c r="E395" s="1022"/>
      <c r="F395" s="1022"/>
      <c r="G395" s="1022"/>
      <c r="H395" s="1022"/>
    </row>
    <row r="397" spans="1:8">
      <c r="A397" s="1018" t="s">
        <v>1421</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V27"/>
  <sheetViews>
    <sheetView zoomScaleNormal="100" workbookViewId="0">
      <selection activeCell="C25" sqref="C25"/>
    </sheetView>
  </sheetViews>
  <sheetFormatPr defaultRowHeight="12.75" outlineLevelRow="1"/>
  <cols>
    <col min="1" max="1" width="2.7109375" style="329" customWidth="1"/>
    <col min="2" max="2" width="22.140625" style="329" customWidth="1"/>
    <col min="3" max="3" width="7.7109375" style="329" customWidth="1"/>
    <col min="4" max="13" width="8.140625" style="329" bestFit="1" customWidth="1"/>
    <col min="14" max="14" width="8.85546875" style="329" bestFit="1" customWidth="1"/>
    <col min="15" max="18" width="8.140625" style="329" bestFit="1" customWidth="1"/>
    <col min="19" max="19" width="8.5703125" style="329" bestFit="1" customWidth="1"/>
    <col min="20" max="20" width="7.7109375" style="329" customWidth="1"/>
    <col min="21" max="16384" width="9.140625" style="329"/>
  </cols>
  <sheetData>
    <row r="1" spans="2:22" s="328" customFormat="1"/>
    <row r="2" spans="2:22">
      <c r="C2" s="330"/>
      <c r="D2" s="330"/>
      <c r="E2" s="330"/>
      <c r="F2" s="202"/>
      <c r="G2" s="202"/>
      <c r="H2" s="202"/>
      <c r="I2" s="202"/>
      <c r="J2" s="202"/>
      <c r="K2" s="331" t="s">
        <v>61</v>
      </c>
      <c r="L2" s="203"/>
      <c r="M2" s="203"/>
      <c r="N2" s="203"/>
      <c r="O2" s="207"/>
      <c r="P2" s="203"/>
      <c r="Q2" s="203"/>
      <c r="R2" s="203"/>
      <c r="S2" s="331" t="s">
        <v>86</v>
      </c>
    </row>
    <row r="3" spans="2:22">
      <c r="C3" s="332"/>
      <c r="D3" s="202"/>
      <c r="E3" s="202"/>
      <c r="F3" s="202"/>
      <c r="G3" s="202"/>
      <c r="H3" s="331" t="s">
        <v>63</v>
      </c>
      <c r="I3" s="202"/>
      <c r="J3" s="202"/>
      <c r="K3" s="331" t="s">
        <v>62</v>
      </c>
      <c r="L3" s="202"/>
      <c r="M3" s="333"/>
      <c r="N3" s="334" t="s">
        <v>440</v>
      </c>
      <c r="O3" s="207"/>
      <c r="P3" s="202"/>
      <c r="Q3" s="202"/>
      <c r="R3" s="202"/>
      <c r="S3" s="331" t="s">
        <v>66</v>
      </c>
    </row>
    <row r="4" spans="2:22" s="335" customFormat="1">
      <c r="D4" s="204"/>
      <c r="E4" s="202"/>
      <c r="F4" s="202"/>
      <c r="G4" s="202"/>
      <c r="H4" s="202"/>
      <c r="I4" s="202"/>
      <c r="J4" s="202"/>
      <c r="K4" s="204"/>
      <c r="L4" s="204"/>
      <c r="M4" s="204"/>
      <c r="N4" s="202"/>
      <c r="O4" s="202"/>
      <c r="P4" s="202"/>
      <c r="Q4" s="204"/>
      <c r="R4" s="202"/>
      <c r="U4" s="563" t="s">
        <v>709</v>
      </c>
    </row>
    <row r="5" spans="2:22">
      <c r="B5" s="560"/>
      <c r="C5" s="560"/>
      <c r="D5" s="561">
        <v>2014</v>
      </c>
      <c r="E5" s="561">
        <f>D5+1</f>
        <v>2015</v>
      </c>
      <c r="F5" s="561">
        <f t="shared" ref="F5:S5" si="0">E5+1</f>
        <v>2016</v>
      </c>
      <c r="G5" s="561">
        <f t="shared" si="0"/>
        <v>2017</v>
      </c>
      <c r="H5" s="561">
        <f t="shared" si="0"/>
        <v>2018</v>
      </c>
      <c r="I5" s="561">
        <f t="shared" si="0"/>
        <v>2019</v>
      </c>
      <c r="J5" s="561">
        <f t="shared" si="0"/>
        <v>2020</v>
      </c>
      <c r="K5" s="561">
        <f t="shared" si="0"/>
        <v>2021</v>
      </c>
      <c r="L5" s="561">
        <f t="shared" si="0"/>
        <v>2022</v>
      </c>
      <c r="M5" s="561">
        <f t="shared" si="0"/>
        <v>2023</v>
      </c>
      <c r="N5" s="561">
        <f t="shared" si="0"/>
        <v>2024</v>
      </c>
      <c r="O5" s="561">
        <f t="shared" si="0"/>
        <v>2025</v>
      </c>
      <c r="P5" s="561">
        <f t="shared" si="0"/>
        <v>2026</v>
      </c>
      <c r="Q5" s="561">
        <f t="shared" si="0"/>
        <v>2027</v>
      </c>
      <c r="R5" s="561">
        <f t="shared" si="0"/>
        <v>2028</v>
      </c>
      <c r="S5" s="561">
        <f t="shared" si="0"/>
        <v>2029</v>
      </c>
      <c r="T5" s="562">
        <v>2030</v>
      </c>
      <c r="U5" s="561">
        <f>S5+1</f>
        <v>2030</v>
      </c>
    </row>
    <row r="6" spans="2:22">
      <c r="B6" s="337" t="s">
        <v>519</v>
      </c>
      <c r="C6" s="337"/>
      <c r="D6" s="205">
        <f>CF!P60</f>
        <v>12745</v>
      </c>
      <c r="E6" s="205">
        <f>CF!Q60</f>
        <v>20168</v>
      </c>
      <c r="F6" s="205">
        <f>CF!R60</f>
        <v>15913</v>
      </c>
      <c r="G6" s="205">
        <f>CF!S60</f>
        <v>11308</v>
      </c>
      <c r="H6" s="205">
        <f>CF!T60</f>
        <v>6321.2952457791871</v>
      </c>
      <c r="I6" s="205">
        <f>CF!U60</f>
        <v>9246.9695141510492</v>
      </c>
      <c r="J6" s="205">
        <f>CF!V60</f>
        <v>9844.9327801570762</v>
      </c>
      <c r="K6" s="648">
        <f>CF!W60</f>
        <v>9527.530215385299</v>
      </c>
      <c r="L6" s="648">
        <f>CF!X60</f>
        <v>9725.5975255587764</v>
      </c>
      <c r="M6" s="648">
        <f>CF!Y60</f>
        <v>10264.608410561357</v>
      </c>
      <c r="N6" s="648">
        <f>CF!Z60</f>
        <v>10965.295909206756</v>
      </c>
      <c r="O6" s="648">
        <f>CF!AA60</f>
        <v>9134.8794632427798</v>
      </c>
      <c r="P6" s="648">
        <f>CF!AB60</f>
        <v>7403.747396197281</v>
      </c>
      <c r="Q6" s="648">
        <f>CF!AC60</f>
        <v>6989.6287909892826</v>
      </c>
      <c r="R6" s="648">
        <f>CF!AD60</f>
        <v>7071.7417881734909</v>
      </c>
      <c r="S6" s="648">
        <f>CF!AE60</f>
        <v>7397.5948051729147</v>
      </c>
      <c r="T6" s="648">
        <f>CF!AF60</f>
        <v>9638.3845525882371</v>
      </c>
      <c r="U6" s="205">
        <f>T6*(1+C20)/(C18-C20)</f>
        <v>106869.56058858825</v>
      </c>
    </row>
    <row r="7" spans="2:22" hidden="1" outlineLevel="1">
      <c r="B7" s="337"/>
      <c r="C7" s="337"/>
      <c r="D7" s="205"/>
      <c r="E7" s="205"/>
      <c r="F7" s="205"/>
      <c r="G7" s="205"/>
      <c r="H7" s="205"/>
      <c r="I7" s="205"/>
      <c r="J7" s="205"/>
      <c r="K7" s="205"/>
      <c r="L7" s="205"/>
      <c r="M7" s="205"/>
      <c r="N7" s="205"/>
      <c r="O7" s="205"/>
      <c r="P7" s="205"/>
      <c r="Q7" s="205"/>
      <c r="R7" s="205"/>
      <c r="S7" s="205"/>
      <c r="T7" s="205"/>
    </row>
    <row r="8" spans="2:22" ht="15" customHeight="1" collapsed="1">
      <c r="B8" s="654" t="s">
        <v>520</v>
      </c>
      <c r="C8" s="338"/>
      <c r="D8" s="205"/>
      <c r="E8" s="206">
        <f t="shared" ref="E8:J8" si="1">E6/D6-1</f>
        <v>0.58242448018830917</v>
      </c>
      <c r="F8" s="206">
        <f t="shared" si="1"/>
        <v>-0.21097778659262201</v>
      </c>
      <c r="G8" s="206">
        <f t="shared" si="1"/>
        <v>-0.28938603657387041</v>
      </c>
      <c r="H8" s="206">
        <f t="shared" si="1"/>
        <v>-0.44098910100997635</v>
      </c>
      <c r="I8" s="206">
        <f t="shared" si="1"/>
        <v>0.462828289870715</v>
      </c>
      <c r="J8" s="206">
        <f t="shared" si="1"/>
        <v>6.4665863242107324E-2</v>
      </c>
      <c r="K8" s="206">
        <f t="shared" ref="K8:T8" si="2">K6/J6-1</f>
        <v>-3.2240196236943075E-2</v>
      </c>
      <c r="L8" s="206">
        <f t="shared" si="2"/>
        <v>2.0788945896349276E-2</v>
      </c>
      <c r="M8" s="206">
        <f t="shared" si="2"/>
        <v>5.5421878561812354E-2</v>
      </c>
      <c r="N8" s="206">
        <f t="shared" si="2"/>
        <v>6.8262467560326501E-2</v>
      </c>
      <c r="O8" s="206">
        <f t="shared" si="2"/>
        <v>-0.16692813957050712</v>
      </c>
      <c r="P8" s="206">
        <f t="shared" si="2"/>
        <v>-0.18950792662467886</v>
      </c>
      <c r="Q8" s="206">
        <f t="shared" si="2"/>
        <v>-5.5933648603502917E-2</v>
      </c>
      <c r="R8" s="206">
        <f t="shared" si="2"/>
        <v>1.1747833774815808E-2</v>
      </c>
      <c r="S8" s="206">
        <f t="shared" si="2"/>
        <v>4.6078183672425332E-2</v>
      </c>
      <c r="T8" s="206">
        <f t="shared" si="2"/>
        <v>0.30290787836181643</v>
      </c>
      <c r="U8" s="206"/>
    </row>
    <row r="9" spans="2:22" ht="15" hidden="1" customHeight="1" outlineLevel="1"/>
    <row r="10" spans="2:22" s="335" customFormat="1" ht="15" hidden="1" customHeight="1" outlineLevel="1">
      <c r="K10" s="339"/>
      <c r="L10" s="339"/>
      <c r="M10" s="339"/>
      <c r="N10" s="339"/>
      <c r="O10" s="339"/>
      <c r="P10" s="339"/>
      <c r="Q10" s="339"/>
      <c r="R10" s="339"/>
      <c r="S10" s="339"/>
      <c r="V10" s="329"/>
    </row>
    <row r="11" spans="2:22" ht="13.5" collapsed="1" thickBot="1">
      <c r="B11" s="655" t="s">
        <v>521</v>
      </c>
      <c r="C11" s="655"/>
      <c r="D11" s="656">
        <f t="shared" ref="D11:R11" si="3">D6/(1+$C$18)^(D5-$C$21)</f>
        <v>19570.725386052443</v>
      </c>
      <c r="E11" s="656">
        <f t="shared" si="3"/>
        <v>28153.813587211069</v>
      </c>
      <c r="F11" s="656">
        <f t="shared" si="3"/>
        <v>20194.531193127266</v>
      </c>
      <c r="G11" s="656">
        <f t="shared" si="3"/>
        <v>13045.923500618883</v>
      </c>
      <c r="H11" s="656">
        <f t="shared" si="3"/>
        <v>6629.8303856691246</v>
      </c>
      <c r="I11" s="656">
        <f t="shared" si="3"/>
        <v>8816.6394956375152</v>
      </c>
      <c r="J11" s="656">
        <f t="shared" si="3"/>
        <v>8533.4319086521555</v>
      </c>
      <c r="K11" s="656">
        <f t="shared" si="3"/>
        <v>7507.5567175841998</v>
      </c>
      <c r="L11" s="656">
        <f t="shared" si="3"/>
        <v>6966.9371890907551</v>
      </c>
      <c r="M11" s="656">
        <f t="shared" si="3"/>
        <v>6684.5981235748322</v>
      </c>
      <c r="N11" s="656">
        <f t="shared" si="3"/>
        <v>6491.7320783083442</v>
      </c>
      <c r="O11" s="656">
        <f t="shared" si="3"/>
        <v>4916.4357453510456</v>
      </c>
      <c r="P11" s="656">
        <f t="shared" si="3"/>
        <v>3622.4838189691914</v>
      </c>
      <c r="Q11" s="656">
        <f t="shared" si="3"/>
        <v>3108.968256333721</v>
      </c>
      <c r="R11" s="656">
        <f t="shared" si="3"/>
        <v>2859.5380896548259</v>
      </c>
      <c r="S11" s="656">
        <f>S6/(1+$C$18)^(S5-$C$21)</f>
        <v>2719.3640099711242</v>
      </c>
      <c r="T11" s="656">
        <f>T6/(1+$C$18)^(T5-$C$21)</f>
        <v>3220.9825388408713</v>
      </c>
      <c r="U11" s="656">
        <f>U6/(1+$C$18)^(U5-$C$21)</f>
        <v>35713.97122736746</v>
      </c>
    </row>
    <row r="13" spans="2:22">
      <c r="B13" s="336" t="s">
        <v>522</v>
      </c>
      <c r="C13" s="341">
        <f>SUM(I11:U11)+H11*0.5</f>
        <v>104477.55439217061</v>
      </c>
      <c r="E13" s="342"/>
    </row>
    <row r="14" spans="2:22">
      <c r="B14" s="329" t="s">
        <v>523</v>
      </c>
      <c r="C14" s="340">
        <f>BS!T3+BS!T4+BS!T16-BS!T26-BS!T30</f>
        <v>7912.2640033865391</v>
      </c>
    </row>
    <row r="15" spans="2:22">
      <c r="B15" s="329" t="s">
        <v>524</v>
      </c>
      <c r="C15" s="342">
        <f>C13+C14</f>
        <v>112389.81839555714</v>
      </c>
      <c r="E15" s="343"/>
      <c r="F15" s="343"/>
      <c r="G15" s="343"/>
      <c r="H15" s="343"/>
      <c r="I15" s="343"/>
      <c r="J15" s="343"/>
      <c r="K15" s="343"/>
    </row>
    <row r="16" spans="2:22">
      <c r="B16" s="336" t="s">
        <v>525</v>
      </c>
      <c r="C16" s="344">
        <f>C15/C22</f>
        <v>85.222861697865937</v>
      </c>
      <c r="E16" s="345"/>
      <c r="F16" s="345"/>
      <c r="G16" s="345"/>
      <c r="H16" s="345"/>
      <c r="I16" s="345"/>
      <c r="J16" s="345"/>
      <c r="K16" s="343"/>
    </row>
    <row r="17" spans="2:11">
      <c r="E17" s="343"/>
      <c r="F17" s="343"/>
      <c r="G17" s="343"/>
      <c r="H17" s="343"/>
      <c r="I17" s="343"/>
      <c r="J17" s="343"/>
      <c r="K17" s="343"/>
    </row>
    <row r="18" spans="2:11">
      <c r="B18" s="329" t="s">
        <v>526</v>
      </c>
      <c r="C18" s="346">
        <v>0.1</v>
      </c>
    </row>
    <row r="19" spans="2:11">
      <c r="B19" s="329" t="s">
        <v>527</v>
      </c>
      <c r="C19" s="346">
        <f>AVERAGE(K8:O8)</f>
        <v>-1.0939008757792412E-2</v>
      </c>
    </row>
    <row r="20" spans="2:11">
      <c r="B20" s="329" t="s">
        <v>528</v>
      </c>
      <c r="C20" s="346">
        <f>IF(C25=1,3%,0.9%)</f>
        <v>9.0000000000000011E-3</v>
      </c>
      <c r="E20" s="470"/>
    </row>
    <row r="21" spans="2:11">
      <c r="B21" s="329" t="s">
        <v>529</v>
      </c>
      <c r="C21" s="347">
        <v>2018.5</v>
      </c>
    </row>
    <row r="22" spans="2:11">
      <c r="B22" s="329" t="s">
        <v>317</v>
      </c>
      <c r="C22" s="342">
        <f>IS!CJ88</f>
        <v>1318.7754571537873</v>
      </c>
    </row>
    <row r="23" spans="2:11">
      <c r="C23" s="348"/>
    </row>
    <row r="24" spans="2:11" ht="13.5" thickBot="1">
      <c r="B24" s="567" t="s">
        <v>710</v>
      </c>
      <c r="C24" s="565"/>
      <c r="D24" s="565"/>
      <c r="E24" s="565"/>
    </row>
    <row r="25" spans="2:11">
      <c r="B25" s="568" t="s">
        <v>711</v>
      </c>
      <c r="C25" s="566">
        <v>2</v>
      </c>
      <c r="D25" s="1003" t="s">
        <v>712</v>
      </c>
      <c r="E25" s="1004"/>
    </row>
    <row r="26" spans="2:11">
      <c r="B26" s="569"/>
      <c r="C26" s="571"/>
      <c r="D26" s="1005" t="s">
        <v>713</v>
      </c>
      <c r="E26" s="1006"/>
    </row>
    <row r="27" spans="2:11" ht="13.5" thickBot="1">
      <c r="B27" s="570"/>
      <c r="C27" s="572"/>
      <c r="D27" s="1001" t="s">
        <v>714</v>
      </c>
      <c r="E27" s="1002"/>
    </row>
  </sheetData>
  <mergeCells count="3">
    <mergeCell ref="D27:E27"/>
    <mergeCell ref="D25:E25"/>
    <mergeCell ref="D26:E26"/>
  </mergeCells>
  <phoneticPr fontId="21" type="noConversion"/>
  <pageMargins left="0" right="0" top="0" bottom="0" header="0" footer="0"/>
  <pageSetup paperSize="5" scale="9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IC170"/>
  <sheetViews>
    <sheetView showGridLines="0" zoomScaleNormal="100" workbookViewId="0">
      <pane xSplit="2" ySplit="2" topLeftCell="CA18" activePane="bottomRight" state="frozen"/>
      <selection pane="topRight" activeCell="C1" sqref="C1"/>
      <selection pane="bottomLeft" activeCell="A3" sqref="A3"/>
      <selection pane="bottomRight" activeCell="B2" sqref="B2:ER87"/>
    </sheetView>
  </sheetViews>
  <sheetFormatPr defaultRowHeight="12.75" customHeight="1" outlineLevelRow="2" outlineLevelCol="2"/>
  <cols>
    <col min="1" max="1" width="2.7109375" style="1" customWidth="1"/>
    <col min="2" max="2" width="51.5703125" style="1" bestFit="1" customWidth="1"/>
    <col min="3" max="3" width="9.28515625" style="1" hidden="1" customWidth="1" outlineLevel="1"/>
    <col min="4" max="7" width="9.28515625" style="1" hidden="1" customWidth="1" outlineLevel="2"/>
    <col min="8" max="8" width="9.28515625" style="1" hidden="1" customWidth="1" outlineLevel="1"/>
    <col min="9" max="12" width="9.28515625" style="1" hidden="1" customWidth="1" outlineLevel="2"/>
    <col min="13" max="13" width="9.28515625" style="1" hidden="1" customWidth="1" outlineLevel="1"/>
    <col min="14" max="17" width="9.28515625" style="1" hidden="1" customWidth="1" outlineLevel="2"/>
    <col min="18" max="18" width="9.28515625" style="1" hidden="1" customWidth="1" outlineLevel="1"/>
    <col min="19" max="22" width="9.28515625" style="1" hidden="1" customWidth="1" outlineLevel="2"/>
    <col min="23" max="23" width="9.28515625" style="1" hidden="1" customWidth="1" outlineLevel="1"/>
    <col min="24" max="26" width="9.28515625" style="1" hidden="1" customWidth="1" outlineLevel="2"/>
    <col min="27" max="27" width="9.85546875" style="1" hidden="1" customWidth="1" outlineLevel="2"/>
    <col min="28" max="28" width="9.85546875" style="1" hidden="1" customWidth="1" outlineLevel="1"/>
    <col min="29" max="32" width="9.28515625" style="1" hidden="1" customWidth="1" outlineLevel="2"/>
    <col min="33" max="33" width="9.28515625" style="1" hidden="1" customWidth="1" outlineLevel="1"/>
    <col min="34" max="37" width="9.28515625" style="1" hidden="1" customWidth="1" outlineLevel="2"/>
    <col min="38" max="38" width="9.28515625" style="1" hidden="1" customWidth="1" outlineLevel="1"/>
    <col min="39" max="42" width="9.28515625" style="1" hidden="1" customWidth="1" outlineLevel="2"/>
    <col min="43" max="43" width="9.28515625" style="1" hidden="1" customWidth="1" outlineLevel="1" collapsed="1"/>
    <col min="44" max="47" width="9.28515625" style="1" hidden="1" customWidth="1" outlineLevel="2"/>
    <col min="48" max="48" width="9.28515625" style="1" hidden="1" customWidth="1" outlineLevel="1" collapsed="1"/>
    <col min="49" max="52" width="9.28515625" style="1" hidden="1" customWidth="1" outlineLevel="2"/>
    <col min="53" max="53" width="9.28515625" style="1" hidden="1" customWidth="1" outlineLevel="1" collapsed="1"/>
    <col min="54" max="57" width="9.28515625" style="1" hidden="1" customWidth="1" outlineLevel="2"/>
    <col min="58" max="58" width="9.28515625" style="1" hidden="1" customWidth="1" outlineLevel="1" collapsed="1"/>
    <col min="59" max="62" width="9.28515625" style="1" hidden="1" customWidth="1" outlineLevel="2"/>
    <col min="63" max="63" width="9.28515625" style="1" hidden="1" customWidth="1" outlineLevel="1" collapsed="1"/>
    <col min="64" max="67" width="9.28515625" style="1" hidden="1" customWidth="1" outlineLevel="2"/>
    <col min="68" max="68" width="10" style="1" hidden="1" customWidth="1" outlineLevel="1" collapsed="1"/>
    <col min="69" max="72" width="9.140625" style="1" hidden="1" customWidth="1" outlineLevel="1"/>
    <col min="73" max="73" width="9.140625" style="1" collapsed="1"/>
    <col min="74" max="77" width="9.140625" style="1" hidden="1" customWidth="1" outlineLevel="1"/>
    <col min="78" max="78" width="10.7109375" style="1" bestFit="1" customWidth="1" collapsed="1"/>
    <col min="79" max="82" width="9.140625" style="1" hidden="1" customWidth="1" outlineLevel="1"/>
    <col min="83" max="83" width="9.140625" style="1" collapsed="1"/>
    <col min="84" max="87" width="9.140625" style="1" customWidth="1" outlineLevel="1"/>
    <col min="88" max="88" width="9.42578125" style="1" bestFit="1" customWidth="1"/>
    <col min="89" max="92" width="9.140625" style="1" hidden="1" customWidth="1" outlineLevel="1"/>
    <col min="93" max="93" width="9.42578125" style="1" bestFit="1" customWidth="1" collapsed="1"/>
    <col min="94" max="97" width="9.140625" style="1" hidden="1" customWidth="1" outlineLevel="1"/>
    <col min="98" max="98" width="9.28515625" style="1" customWidth="1" collapsed="1"/>
    <col min="99" max="102" width="9.140625" style="1" hidden="1" customWidth="1" outlineLevel="1"/>
    <col min="103" max="103" width="9.140625" style="1" customWidth="1" collapsed="1"/>
    <col min="104" max="107" width="9.140625" style="1" hidden="1" customWidth="1" outlineLevel="1"/>
    <col min="108" max="108" width="9.140625" style="1" customWidth="1" collapsed="1"/>
    <col min="109" max="112" width="9.140625" style="1" hidden="1" customWidth="1" outlineLevel="1"/>
    <col min="113" max="113" width="9.140625" style="1" customWidth="1" collapsed="1"/>
    <col min="114" max="117" width="9.140625" style="1" hidden="1" customWidth="1" outlineLevel="1"/>
    <col min="118" max="118" width="9.140625" style="1" customWidth="1" collapsed="1"/>
    <col min="119" max="122" width="9.140625" style="1" hidden="1" customWidth="1" outlineLevel="1"/>
    <col min="123" max="123" width="9.140625" style="1" customWidth="1" collapsed="1"/>
    <col min="124" max="127" width="9.140625" style="1" hidden="1" customWidth="1" outlineLevel="1"/>
    <col min="128" max="128" width="9.140625" style="1" customWidth="1" collapsed="1"/>
    <col min="129" max="132" width="9.140625" style="1" hidden="1" customWidth="1" outlineLevel="1"/>
    <col min="133" max="133" width="9.140625" style="1" customWidth="1" collapsed="1"/>
    <col min="134" max="137" width="9.140625" style="1" hidden="1" customWidth="1" outlineLevel="1"/>
    <col min="138" max="138" width="9.140625" style="1" customWidth="1" collapsed="1"/>
    <col min="139" max="142" width="9.140625" style="1" hidden="1" customWidth="1" outlineLevel="1"/>
    <col min="143" max="143" width="9.140625" style="1" customWidth="1" collapsed="1"/>
    <col min="144" max="147" width="9.140625" style="1" hidden="1" customWidth="1" outlineLevel="1"/>
    <col min="148" max="148" width="9.140625" style="1" customWidth="1" collapsed="1"/>
    <col min="149" max="150" width="9.140625" style="1"/>
    <col min="151" max="151" width="27.5703125" customWidth="1"/>
    <col min="152" max="152" width="9.28515625" bestFit="1" customWidth="1"/>
    <col min="154" max="154" width="9.28515625" bestFit="1" customWidth="1"/>
    <col min="157" max="16384" width="9.140625" style="1"/>
  </cols>
  <sheetData>
    <row r="1" spans="2:159" ht="12.75" customHeight="1" thickBot="1">
      <c r="B1" s="10"/>
      <c r="C1" s="288" t="s">
        <v>1</v>
      </c>
      <c r="D1" s="1007" t="s">
        <v>2</v>
      </c>
      <c r="E1" s="1007"/>
      <c r="F1" s="1007"/>
      <c r="G1" s="1007"/>
      <c r="H1" s="1007"/>
      <c r="I1" s="1007" t="s">
        <v>3</v>
      </c>
      <c r="J1" s="1007"/>
      <c r="K1" s="1007"/>
      <c r="L1" s="1007"/>
      <c r="M1" s="1007"/>
      <c r="N1" s="1007" t="s">
        <v>4</v>
      </c>
      <c r="O1" s="1007"/>
      <c r="P1" s="1007"/>
      <c r="Q1" s="1007"/>
      <c r="R1" s="1007"/>
      <c r="S1" s="1007" t="s">
        <v>5</v>
      </c>
      <c r="T1" s="1007"/>
      <c r="U1" s="1007"/>
      <c r="V1" s="1007"/>
      <c r="W1" s="1007"/>
      <c r="X1" s="1007" t="s">
        <v>6</v>
      </c>
      <c r="Y1" s="1007"/>
      <c r="Z1" s="1007"/>
      <c r="AA1" s="1007"/>
      <c r="AB1" s="1007"/>
      <c r="AC1" s="1007" t="s">
        <v>7</v>
      </c>
      <c r="AD1" s="1007"/>
      <c r="AE1" s="1007"/>
      <c r="AF1" s="1007"/>
      <c r="AG1" s="1007"/>
      <c r="AH1" s="1007" t="s">
        <v>8</v>
      </c>
      <c r="AI1" s="1007"/>
      <c r="AJ1" s="1007"/>
      <c r="AK1" s="1007"/>
      <c r="AL1" s="1007"/>
      <c r="AM1" s="1007">
        <v>2009</v>
      </c>
      <c r="AN1" s="1007"/>
      <c r="AO1" s="1007"/>
      <c r="AP1" s="1007"/>
      <c r="AQ1" s="1007"/>
      <c r="AR1" s="1007">
        <v>2010</v>
      </c>
      <c r="AS1" s="1007"/>
      <c r="AT1" s="1007"/>
      <c r="AU1" s="1007"/>
      <c r="AV1" s="1007"/>
      <c r="AW1" s="1007">
        <v>2011</v>
      </c>
      <c r="AX1" s="1007"/>
      <c r="AY1" s="1007"/>
      <c r="AZ1" s="1007"/>
      <c r="BA1" s="1007"/>
      <c r="BB1" s="1007">
        <v>2012</v>
      </c>
      <c r="BC1" s="1007"/>
      <c r="BD1" s="1007"/>
      <c r="BE1" s="1007"/>
      <c r="BF1" s="1007"/>
      <c r="BG1" s="1007">
        <v>2013</v>
      </c>
      <c r="BH1" s="1007"/>
      <c r="BI1" s="1007"/>
      <c r="BJ1" s="1007"/>
      <c r="BK1" s="1007"/>
      <c r="BL1" s="1007" t="s">
        <v>819</v>
      </c>
      <c r="BM1" s="1007"/>
      <c r="BN1" s="1007"/>
      <c r="BO1" s="1007"/>
      <c r="BP1" s="1007"/>
      <c r="BQ1" s="1007" t="s">
        <v>843</v>
      </c>
      <c r="BR1" s="1007"/>
      <c r="BS1" s="1007"/>
      <c r="BT1" s="1007"/>
      <c r="BU1" s="1007"/>
      <c r="BV1" s="1007" t="s">
        <v>925</v>
      </c>
      <c r="BW1" s="1007"/>
      <c r="BX1" s="1007"/>
      <c r="BY1" s="1007"/>
      <c r="BZ1" s="1007"/>
      <c r="CA1" s="1007" t="s">
        <v>1105</v>
      </c>
      <c r="CB1" s="1007"/>
      <c r="CC1" s="1007"/>
      <c r="CD1" s="1007"/>
      <c r="CE1" s="1007"/>
      <c r="CF1" s="1007" t="s">
        <v>14</v>
      </c>
      <c r="CG1" s="1007"/>
      <c r="CH1" s="1007"/>
      <c r="CI1" s="1007"/>
      <c r="CJ1" s="1007"/>
      <c r="CK1" s="1007" t="s">
        <v>15</v>
      </c>
      <c r="CL1" s="1007"/>
      <c r="CM1" s="1007"/>
      <c r="CN1" s="1007"/>
      <c r="CO1" s="1007"/>
      <c r="CP1" s="1007" t="s">
        <v>16</v>
      </c>
      <c r="CQ1" s="1007"/>
      <c r="CR1" s="1007"/>
      <c r="CS1" s="1007"/>
      <c r="CT1" s="1007"/>
      <c r="CU1" s="1007" t="s">
        <v>741</v>
      </c>
      <c r="CV1" s="1007"/>
      <c r="CW1" s="1007"/>
      <c r="CX1" s="1007"/>
      <c r="CY1" s="1007"/>
      <c r="CZ1" s="1007" t="s">
        <v>742</v>
      </c>
      <c r="DA1" s="1007"/>
      <c r="DB1" s="1007"/>
      <c r="DC1" s="1007"/>
      <c r="DD1" s="1007"/>
      <c r="DE1" s="1007" t="s">
        <v>743</v>
      </c>
      <c r="DF1" s="1007"/>
      <c r="DG1" s="1007"/>
      <c r="DH1" s="1007"/>
      <c r="DI1" s="1007"/>
      <c r="DJ1" s="1007" t="s">
        <v>744</v>
      </c>
      <c r="DK1" s="1007"/>
      <c r="DL1" s="1007"/>
      <c r="DM1" s="1007"/>
      <c r="DN1" s="1007"/>
      <c r="DO1" s="1007" t="s">
        <v>745</v>
      </c>
      <c r="DP1" s="1007"/>
      <c r="DQ1" s="1007"/>
      <c r="DR1" s="1007"/>
      <c r="DS1" s="1007"/>
      <c r="DT1" s="1007" t="s">
        <v>746</v>
      </c>
      <c r="DU1" s="1007"/>
      <c r="DV1" s="1007"/>
      <c r="DW1" s="1007"/>
      <c r="DX1" s="1007"/>
      <c r="DY1" s="1007" t="s">
        <v>747</v>
      </c>
      <c r="DZ1" s="1007"/>
      <c r="EA1" s="1007"/>
      <c r="EB1" s="1007"/>
      <c r="EC1" s="1007"/>
      <c r="ED1" s="1007" t="s">
        <v>748</v>
      </c>
      <c r="EE1" s="1007"/>
      <c r="EF1" s="1007"/>
      <c r="EG1" s="1007"/>
      <c r="EH1" s="1007"/>
      <c r="EI1" s="1007" t="s">
        <v>749</v>
      </c>
      <c r="EJ1" s="1007"/>
      <c r="EK1" s="1007"/>
      <c r="EL1" s="1007"/>
      <c r="EM1" s="1007"/>
      <c r="EN1" s="1007" t="s">
        <v>750</v>
      </c>
      <c r="EO1" s="1007"/>
      <c r="EP1" s="1007"/>
      <c r="EQ1" s="1007"/>
      <c r="ER1" s="1007"/>
      <c r="FC1" s="990" t="s">
        <v>679</v>
      </c>
    </row>
    <row r="2" spans="2:159" ht="12.75" customHeight="1">
      <c r="B2" s="9" t="s">
        <v>134</v>
      </c>
      <c r="D2" s="290" t="s">
        <v>17</v>
      </c>
      <c r="E2" s="290" t="s">
        <v>18</v>
      </c>
      <c r="F2" s="290" t="s">
        <v>19</v>
      </c>
      <c r="G2" s="290" t="s">
        <v>20</v>
      </c>
      <c r="I2" s="290" t="s">
        <v>21</v>
      </c>
      <c r="J2" s="290" t="s">
        <v>22</v>
      </c>
      <c r="K2" s="290" t="s">
        <v>23</v>
      </c>
      <c r="L2" s="290" t="s">
        <v>24</v>
      </c>
      <c r="N2" s="290" t="s">
        <v>25</v>
      </c>
      <c r="O2" s="290" t="s">
        <v>26</v>
      </c>
      <c r="P2" s="290" t="s">
        <v>27</v>
      </c>
      <c r="Q2" s="290" t="s">
        <v>28</v>
      </c>
      <c r="S2" s="290" t="s">
        <v>29</v>
      </c>
      <c r="T2" s="290" t="s">
        <v>30</v>
      </c>
      <c r="U2" s="290" t="s">
        <v>31</v>
      </c>
      <c r="V2" s="290" t="s">
        <v>32</v>
      </c>
      <c r="X2" s="290" t="s">
        <v>33</v>
      </c>
      <c r="Y2" s="290" t="s">
        <v>34</v>
      </c>
      <c r="Z2" s="290" t="s">
        <v>35</v>
      </c>
      <c r="AA2" s="290" t="s">
        <v>36</v>
      </c>
      <c r="AC2" s="290" t="s">
        <v>37</v>
      </c>
      <c r="AD2" s="290" t="s">
        <v>38</v>
      </c>
      <c r="AE2" s="290" t="s">
        <v>39</v>
      </c>
      <c r="AF2" s="290" t="s">
        <v>40</v>
      </c>
      <c r="AH2" s="290" t="s">
        <v>41</v>
      </c>
      <c r="AI2" s="290" t="s">
        <v>42</v>
      </c>
      <c r="AJ2" s="290" t="s">
        <v>43</v>
      </c>
      <c r="AK2" s="290" t="s">
        <v>44</v>
      </c>
      <c r="AM2" s="290" t="s">
        <v>45</v>
      </c>
      <c r="AN2" s="290" t="s">
        <v>46</v>
      </c>
      <c r="AO2" s="290" t="s">
        <v>47</v>
      </c>
      <c r="AP2" s="290" t="s">
        <v>48</v>
      </c>
      <c r="AR2" s="290" t="s">
        <v>49</v>
      </c>
      <c r="AS2" s="290" t="s">
        <v>50</v>
      </c>
      <c r="AT2" s="290" t="s">
        <v>51</v>
      </c>
      <c r="AU2" s="290" t="s">
        <v>52</v>
      </c>
      <c r="AW2" s="290" t="s">
        <v>53</v>
      </c>
      <c r="AX2" s="290" t="s">
        <v>54</v>
      </c>
      <c r="AY2" s="290" t="s">
        <v>55</v>
      </c>
      <c r="AZ2" s="290" t="s">
        <v>56</v>
      </c>
      <c r="BB2" s="290" t="s">
        <v>57</v>
      </c>
      <c r="BC2" s="290" t="s">
        <v>58</v>
      </c>
      <c r="BD2" s="290" t="s">
        <v>59</v>
      </c>
      <c r="BE2" s="290" t="s">
        <v>60</v>
      </c>
      <c r="BG2" s="290" t="s">
        <v>421</v>
      </c>
      <c r="BH2" s="290" t="s">
        <v>422</v>
      </c>
      <c r="BI2" s="290" t="s">
        <v>634</v>
      </c>
      <c r="BJ2" s="290" t="s">
        <v>676</v>
      </c>
      <c r="BL2" s="290" t="s">
        <v>510</v>
      </c>
      <c r="BM2" s="290" t="s">
        <v>738</v>
      </c>
      <c r="BN2" s="290" t="s">
        <v>800</v>
      </c>
      <c r="BO2" s="290" t="s">
        <v>807</v>
      </c>
      <c r="BQ2" s="290" t="s">
        <v>832</v>
      </c>
      <c r="BR2" s="290" t="s">
        <v>833</v>
      </c>
      <c r="BS2" s="290" t="s">
        <v>834</v>
      </c>
      <c r="BT2" s="290" t="s">
        <v>835</v>
      </c>
      <c r="BV2" s="290" t="s">
        <v>844</v>
      </c>
      <c r="BW2" s="290" t="s">
        <v>873</v>
      </c>
      <c r="BX2" s="290" t="s">
        <v>874</v>
      </c>
      <c r="BY2" s="290" t="s">
        <v>875</v>
      </c>
      <c r="CA2" s="290" t="s">
        <v>931</v>
      </c>
      <c r="CB2" s="290" t="s">
        <v>933</v>
      </c>
      <c r="CC2" s="290" t="s">
        <v>1100</v>
      </c>
      <c r="CD2" s="290" t="s">
        <v>1104</v>
      </c>
      <c r="CF2" s="290" t="s">
        <v>96</v>
      </c>
      <c r="CG2" s="290" t="s">
        <v>97</v>
      </c>
      <c r="CH2" s="290" t="s">
        <v>98</v>
      </c>
      <c r="CI2" s="290" t="s">
        <v>95</v>
      </c>
      <c r="CK2" s="290" t="s">
        <v>91</v>
      </c>
      <c r="CL2" s="290" t="s">
        <v>92</v>
      </c>
      <c r="CM2" s="290" t="s">
        <v>93</v>
      </c>
      <c r="CN2" s="290" t="s">
        <v>94</v>
      </c>
      <c r="CP2" s="290" t="s">
        <v>87</v>
      </c>
      <c r="CQ2" s="290" t="s">
        <v>88</v>
      </c>
      <c r="CR2" s="290" t="s">
        <v>89</v>
      </c>
      <c r="CS2" s="290" t="s">
        <v>90</v>
      </c>
      <c r="CU2" s="290" t="s">
        <v>751</v>
      </c>
      <c r="CV2" s="290" t="s">
        <v>752</v>
      </c>
      <c r="CW2" s="290" t="s">
        <v>753</v>
      </c>
      <c r="CX2" s="290" t="s">
        <v>754</v>
      </c>
      <c r="CZ2" s="290" t="s">
        <v>755</v>
      </c>
      <c r="DA2" s="290" t="s">
        <v>756</v>
      </c>
      <c r="DB2" s="290" t="s">
        <v>757</v>
      </c>
      <c r="DC2" s="290" t="s">
        <v>758</v>
      </c>
      <c r="DE2" s="290" t="s">
        <v>759</v>
      </c>
      <c r="DF2" s="290" t="s">
        <v>760</v>
      </c>
      <c r="DG2" s="290" t="s">
        <v>761</v>
      </c>
      <c r="DH2" s="290" t="s">
        <v>762</v>
      </c>
      <c r="DJ2" s="290" t="s">
        <v>763</v>
      </c>
      <c r="DK2" s="290" t="s">
        <v>764</v>
      </c>
      <c r="DL2" s="290" t="s">
        <v>765</v>
      </c>
      <c r="DM2" s="290" t="s">
        <v>766</v>
      </c>
      <c r="DO2" s="290" t="s">
        <v>767</v>
      </c>
      <c r="DP2" s="290" t="s">
        <v>768</v>
      </c>
      <c r="DQ2" s="290" t="s">
        <v>769</v>
      </c>
      <c r="DR2" s="290" t="s">
        <v>770</v>
      </c>
      <c r="DT2" s="290" t="s">
        <v>771</v>
      </c>
      <c r="DU2" s="290" t="s">
        <v>772</v>
      </c>
      <c r="DV2" s="290" t="s">
        <v>773</v>
      </c>
      <c r="DW2" s="290" t="s">
        <v>774</v>
      </c>
      <c r="DY2" s="290" t="s">
        <v>775</v>
      </c>
      <c r="DZ2" s="290" t="s">
        <v>776</v>
      </c>
      <c r="EA2" s="290" t="s">
        <v>777</v>
      </c>
      <c r="EB2" s="290" t="s">
        <v>778</v>
      </c>
      <c r="ED2" s="290" t="s">
        <v>779</v>
      </c>
      <c r="EE2" s="290" t="s">
        <v>780</v>
      </c>
      <c r="EF2" s="290" t="s">
        <v>781</v>
      </c>
      <c r="EG2" s="290" t="s">
        <v>782</v>
      </c>
      <c r="EI2" s="290" t="s">
        <v>783</v>
      </c>
      <c r="EJ2" s="290" t="s">
        <v>784</v>
      </c>
      <c r="EK2" s="290" t="s">
        <v>785</v>
      </c>
      <c r="EL2" s="290" t="s">
        <v>786</v>
      </c>
      <c r="EN2" s="290" t="s">
        <v>787</v>
      </c>
      <c r="EO2" s="290" t="s">
        <v>788</v>
      </c>
      <c r="EP2" s="290" t="s">
        <v>789</v>
      </c>
      <c r="EQ2" s="290" t="s">
        <v>790</v>
      </c>
      <c r="FC2" s="990" t="e">
        <f ca="1">_xll.TR($FC$1,"TR.NetIncome.currency","Null=-")</f>
        <v>#NAME?</v>
      </c>
    </row>
    <row r="3" spans="2:159" s="116" customFormat="1" ht="12.75" customHeight="1" thickBot="1">
      <c r="B3" s="231" t="s">
        <v>136</v>
      </c>
      <c r="C3" s="116">
        <f>REVS!C130</f>
        <v>190.97</v>
      </c>
      <c r="D3" s="292">
        <f>REVS!D130</f>
        <v>70.710999999999999</v>
      </c>
      <c r="E3" s="292">
        <f>REVS!E130</f>
        <v>93.787999999999997</v>
      </c>
      <c r="F3" s="292">
        <f>REVS!F130</f>
        <v>120.20099999999999</v>
      </c>
      <c r="G3" s="292">
        <f>REVS!G130</f>
        <v>139.17900000000003</v>
      </c>
      <c r="H3" s="278">
        <f>REVS!H130</f>
        <v>423.87900000000002</v>
      </c>
      <c r="I3" s="292">
        <f>REVS!I130</f>
        <v>155.964</v>
      </c>
      <c r="J3" s="292">
        <f>REVS!J130</f>
        <v>230.66800000000001</v>
      </c>
      <c r="K3" s="292">
        <f>REVS!K130</f>
        <v>194.07500000000002</v>
      </c>
      <c r="L3" s="292">
        <f>REVS!L130</f>
        <v>255.63399999999999</v>
      </c>
      <c r="M3" s="278">
        <f>REVS!M130</f>
        <v>836.34100000000012</v>
      </c>
      <c r="N3" s="292">
        <f>REVS!N130</f>
        <v>276.58499999999998</v>
      </c>
      <c r="O3" s="292">
        <f>REVS!O130</f>
        <v>299.33199999999999</v>
      </c>
      <c r="P3" s="292">
        <f>REVS!P130</f>
        <v>310.72700000000003</v>
      </c>
      <c r="Q3" s="292">
        <f>REVS!Q130</f>
        <v>355.58100000000002</v>
      </c>
      <c r="R3" s="278">
        <f>REVS!R130</f>
        <v>1242.2250000000001</v>
      </c>
      <c r="S3" s="292">
        <f>REVS!S130</f>
        <v>400.21099999999996</v>
      </c>
      <c r="T3" s="292">
        <f>REVS!T130</f>
        <v>448.45799999999997</v>
      </c>
      <c r="U3" s="292">
        <f>REVS!U130</f>
        <v>467.20400000000001</v>
      </c>
      <c r="V3" s="292">
        <f>REVS!V130</f>
        <v>493.42600000000004</v>
      </c>
      <c r="W3" s="278">
        <f>REVS!W130</f>
        <v>1809.299</v>
      </c>
      <c r="X3" s="292">
        <f>REVS!X130</f>
        <v>559.35300000000007</v>
      </c>
      <c r="Y3" s="292">
        <f>REVS!Y130</f>
        <v>590.69099999999992</v>
      </c>
      <c r="Z3" s="292">
        <f>REVS!Z130</f>
        <v>670.06</v>
      </c>
      <c r="AA3" s="292">
        <f>REVS!AA130</f>
        <v>767.92899999999986</v>
      </c>
      <c r="AB3" s="278">
        <f>REVS!AB130</f>
        <v>2588.0330000000004</v>
      </c>
      <c r="AC3" s="292">
        <f>REVS!AC130</f>
        <v>839.85199999999998</v>
      </c>
      <c r="AD3" s="292">
        <f>REVS!AD130</f>
        <v>905.05800000000022</v>
      </c>
      <c r="AE3" s="292">
        <f>REVS!AE130</f>
        <v>961.93100000000004</v>
      </c>
      <c r="AF3" s="292">
        <f>REVS!AF130</f>
        <v>1025.6190000000001</v>
      </c>
      <c r="AG3" s="278">
        <f>REVS!AG130</f>
        <v>3732.46</v>
      </c>
      <c r="AH3" s="292">
        <f>REVS!AH130</f>
        <v>1141.306</v>
      </c>
      <c r="AI3" s="292">
        <f>REVS!AI130</f>
        <v>1217.2159999999999</v>
      </c>
      <c r="AJ3" s="292">
        <f>REVS!AJ130</f>
        <v>1338.502</v>
      </c>
      <c r="AK3" s="292">
        <f>REVS!AK130</f>
        <v>1387.7719999999997</v>
      </c>
      <c r="AL3" s="278">
        <f>REVS!AL130</f>
        <v>5084.7959999999994</v>
      </c>
      <c r="AM3" s="292">
        <f>REVS!AM130</f>
        <v>1447.5800000000002</v>
      </c>
      <c r="AN3" s="292">
        <f>REVS!AN130</f>
        <v>1568.3779999999999</v>
      </c>
      <c r="AO3" s="292">
        <f>REVS!AO130</f>
        <v>1648.9550000000006</v>
      </c>
      <c r="AP3" s="292">
        <f>REVS!AP130</f>
        <v>1804.3980000000001</v>
      </c>
      <c r="AQ3" s="278">
        <f>REVS!AQ130</f>
        <v>6469.3109999999997</v>
      </c>
      <c r="AR3" s="292">
        <f>REVS!AR130</f>
        <v>1788.0629999999999</v>
      </c>
      <c r="AS3" s="292">
        <f>REVS!AS130</f>
        <v>1806.0610000000001</v>
      </c>
      <c r="AT3" s="292">
        <f>REVS!AT130</f>
        <v>1865.5589999999997</v>
      </c>
      <c r="AU3" s="292">
        <f>REVS!AU130</f>
        <v>1930.2379999999998</v>
      </c>
      <c r="AV3" s="278">
        <f>REVS!AV130</f>
        <v>7389.9210000000003</v>
      </c>
      <c r="AW3" s="292">
        <f>REVS!AW130</f>
        <v>1863.5780000000002</v>
      </c>
      <c r="AX3" s="292">
        <f>REVS!AX130</f>
        <v>2039.5880000000002</v>
      </c>
      <c r="AY3" s="292">
        <f>REVS!AY130</f>
        <v>2065.8589999999999</v>
      </c>
      <c r="AZ3" s="292">
        <f>REVS!AZ130</f>
        <v>2133.3339999999998</v>
      </c>
      <c r="BA3" s="278">
        <f>REVS!BA130</f>
        <v>8102.3590000000004</v>
      </c>
      <c r="BB3" s="292">
        <f>REVS!BB130</f>
        <v>2208.3420000000001</v>
      </c>
      <c r="BC3" s="292">
        <f>REVS!BC130</f>
        <v>2321.2399999999993</v>
      </c>
      <c r="BD3" s="292">
        <f>REVS!BD130</f>
        <v>2375.4889999999996</v>
      </c>
      <c r="BE3" s="292">
        <f>REVS!BE130</f>
        <v>2550.8359999999998</v>
      </c>
      <c r="BF3" s="278">
        <f>REVS!BF130</f>
        <v>9398.371000000001</v>
      </c>
      <c r="BG3" s="292">
        <f>REVS!BG130</f>
        <v>2393.5680000000002</v>
      </c>
      <c r="BH3" s="292">
        <f>REVS!BH130</f>
        <v>2657.2850000000003</v>
      </c>
      <c r="BI3" s="292">
        <f>REVS!BI130</f>
        <v>2709.6530000000002</v>
      </c>
      <c r="BJ3" s="292">
        <f>REVS!BJ130</f>
        <v>3043.19</v>
      </c>
      <c r="BK3" s="278">
        <f>REVS!BK130</f>
        <v>10803.696</v>
      </c>
      <c r="BL3" s="292">
        <f>REVS!BL130</f>
        <v>4870.9740000000011</v>
      </c>
      <c r="BM3" s="292">
        <f>REVS!BM130</f>
        <v>6412.9370000000008</v>
      </c>
      <c r="BN3" s="292">
        <f>REVS!BN130</f>
        <v>5968.2080000000005</v>
      </c>
      <c r="BO3" s="292">
        <f>REVS!BO130</f>
        <v>7221.8721077385035</v>
      </c>
      <c r="BP3" s="278">
        <f>REVS!BP130</f>
        <v>24474.391107738502</v>
      </c>
      <c r="BQ3" s="292">
        <f>REVS!BQ130</f>
        <v>7405</v>
      </c>
      <c r="BR3" s="292">
        <f>REVS!BR130</f>
        <v>8126</v>
      </c>
      <c r="BS3" s="292">
        <f>REVS!BS130</f>
        <v>8211</v>
      </c>
      <c r="BT3" s="292">
        <f>REVS!BT130</f>
        <v>8409</v>
      </c>
      <c r="BU3" s="278">
        <f>REVS!BU130</f>
        <v>32151</v>
      </c>
      <c r="BV3" s="292">
        <f>REVS!BV130</f>
        <v>7681</v>
      </c>
      <c r="BW3" s="292">
        <f>REVS!BW130</f>
        <v>7651</v>
      </c>
      <c r="BX3" s="292">
        <f>REVS!BX130</f>
        <v>7405</v>
      </c>
      <c r="BY3" s="292">
        <f>REVS!BY130</f>
        <v>7216</v>
      </c>
      <c r="BZ3" s="278">
        <f>REVS!BZ130</f>
        <v>29953</v>
      </c>
      <c r="CA3" s="292">
        <f>REVS!CA130</f>
        <v>6377</v>
      </c>
      <c r="CB3" s="292">
        <f>REVS!CB130</f>
        <v>7046</v>
      </c>
      <c r="CC3" s="292">
        <f>REVS!CC130</f>
        <v>6402</v>
      </c>
      <c r="CD3" s="292">
        <f>REVS!CD130</f>
        <v>5837</v>
      </c>
      <c r="CE3" s="278">
        <f>REVS!CE130</f>
        <v>25662</v>
      </c>
      <c r="CF3" s="292">
        <f>REVS!CF130</f>
        <v>5019.9583102460174</v>
      </c>
      <c r="CG3" s="292">
        <f>REVS!CG130</f>
        <v>5159.908177053444</v>
      </c>
      <c r="CH3" s="292">
        <f>REVS!CH130</f>
        <v>5186.7360621896987</v>
      </c>
      <c r="CI3" s="292">
        <f>REVS!CI130</f>
        <v>5288.5804831258829</v>
      </c>
      <c r="CJ3" s="278">
        <f>REVS!CJ130</f>
        <v>20655.183032615045</v>
      </c>
      <c r="CK3" s="292"/>
      <c r="CL3" s="292"/>
      <c r="CM3" s="292"/>
      <c r="CN3" s="292"/>
      <c r="CO3" s="278">
        <f>REVS!CO130</f>
        <v>20983.327061315729</v>
      </c>
      <c r="CP3" s="292"/>
      <c r="CQ3" s="292"/>
      <c r="CR3" s="292"/>
      <c r="CS3" s="292"/>
      <c r="CT3" s="278">
        <f>REVS!CT130</f>
        <v>22332.241210210832</v>
      </c>
      <c r="CU3" s="292"/>
      <c r="CV3" s="292"/>
      <c r="CW3" s="292"/>
      <c r="CX3" s="292"/>
      <c r="CY3" s="278">
        <f>REVS!CY130</f>
        <v>21092.328521464304</v>
      </c>
      <c r="CZ3" s="292"/>
      <c r="DA3" s="292"/>
      <c r="DB3" s="292"/>
      <c r="DC3" s="292"/>
      <c r="DD3" s="278">
        <f>REVS!DD130</f>
        <v>21796.025119934726</v>
      </c>
      <c r="DE3" s="292"/>
      <c r="DF3" s="292"/>
      <c r="DG3" s="292"/>
      <c r="DH3" s="292"/>
      <c r="DI3" s="278">
        <f>REVS!DI130</f>
        <v>22634.75827267396</v>
      </c>
      <c r="DJ3" s="292"/>
      <c r="DK3" s="292"/>
      <c r="DL3" s="292"/>
      <c r="DM3" s="292"/>
      <c r="DN3" s="278">
        <f>REVS!DN130</f>
        <v>23507.051648473574</v>
      </c>
      <c r="DO3" s="292"/>
      <c r="DP3" s="292"/>
      <c r="DQ3" s="292"/>
      <c r="DR3" s="292"/>
      <c r="DS3" s="278">
        <f>REVS!DS130</f>
        <v>18117.035567585077</v>
      </c>
      <c r="DT3" s="292"/>
      <c r="DU3" s="292"/>
      <c r="DV3" s="292"/>
      <c r="DW3" s="292"/>
      <c r="DX3" s="278">
        <f>REVS!DX130</f>
        <v>16478.280609602105</v>
      </c>
      <c r="DY3" s="292"/>
      <c r="DZ3" s="292"/>
      <c r="EA3" s="292"/>
      <c r="EB3" s="292"/>
      <c r="EC3" s="278">
        <f>REVS!EC130</f>
        <v>16321.540347083199</v>
      </c>
      <c r="ED3" s="292"/>
      <c r="EE3" s="292"/>
      <c r="EF3" s="292"/>
      <c r="EG3" s="292"/>
      <c r="EH3" s="278">
        <f>REVS!EH130</f>
        <v>16253.257588306835</v>
      </c>
      <c r="EI3" s="292"/>
      <c r="EJ3" s="292"/>
      <c r="EK3" s="292"/>
      <c r="EL3" s="292"/>
      <c r="EM3" s="278">
        <f>REVS!EM130</f>
        <v>13588.822640978744</v>
      </c>
      <c r="EN3" s="292"/>
      <c r="EO3" s="292"/>
      <c r="EP3" s="292"/>
      <c r="EQ3" s="292"/>
      <c r="ER3" s="278">
        <f>REVS!ER130</f>
        <v>13006.810726953012</v>
      </c>
      <c r="EU3"/>
      <c r="EV3"/>
      <c r="EW3"/>
      <c r="EX3"/>
      <c r="EY3"/>
      <c r="EZ3"/>
    </row>
    <row r="4" spans="2:159" s="696" customFormat="1" ht="12.75" customHeight="1" thickBot="1">
      <c r="B4" s="699"/>
      <c r="D4" s="292"/>
      <c r="E4" s="292"/>
      <c r="F4" s="292"/>
      <c r="G4" s="292"/>
      <c r="H4" s="278"/>
      <c r="I4" s="292"/>
      <c r="J4" s="292"/>
      <c r="K4" s="292"/>
      <c r="L4" s="292"/>
      <c r="M4" s="278"/>
      <c r="N4" s="292"/>
      <c r="O4" s="292"/>
      <c r="P4" s="292"/>
      <c r="Q4" s="292"/>
      <c r="R4" s="278"/>
      <c r="S4" s="292"/>
      <c r="T4" s="292"/>
      <c r="U4" s="292"/>
      <c r="V4" s="292"/>
      <c r="W4" s="278"/>
      <c r="X4" s="292"/>
      <c r="Y4" s="292"/>
      <c r="Z4" s="292"/>
      <c r="AA4" s="292"/>
      <c r="AB4" s="278"/>
      <c r="AC4" s="292"/>
      <c r="AD4" s="292"/>
      <c r="AE4" s="292"/>
      <c r="AF4" s="292"/>
      <c r="AG4" s="278"/>
      <c r="AH4" s="292"/>
      <c r="AI4" s="292"/>
      <c r="AJ4" s="292"/>
      <c r="AK4" s="292"/>
      <c r="AL4" s="278"/>
      <c r="AM4" s="292"/>
      <c r="AN4" s="292"/>
      <c r="AO4" s="292"/>
      <c r="AP4" s="292"/>
      <c r="AQ4" s="278"/>
      <c r="AR4" s="292"/>
      <c r="AS4" s="292"/>
      <c r="AT4" s="292"/>
      <c r="AU4" s="292"/>
      <c r="AV4" s="278"/>
      <c r="AW4" s="292"/>
      <c r="AX4" s="292"/>
      <c r="AY4" s="292"/>
      <c r="AZ4" s="292"/>
      <c r="BA4" s="278"/>
      <c r="BB4" s="292"/>
      <c r="BC4" s="292"/>
      <c r="BD4" s="292"/>
      <c r="BE4" s="292"/>
      <c r="BF4" s="278"/>
      <c r="BG4" s="292"/>
      <c r="BH4" s="292"/>
      <c r="BI4" s="292"/>
      <c r="BJ4" s="292"/>
      <c r="BK4" s="278"/>
      <c r="BL4" s="292"/>
      <c r="BM4" s="292"/>
      <c r="BN4" s="292"/>
      <c r="BO4" s="292"/>
      <c r="BP4" s="278"/>
      <c r="BQ4" s="292"/>
      <c r="BR4" s="292"/>
      <c r="BS4" s="292"/>
      <c r="BT4" s="292"/>
      <c r="BU4" s="278"/>
      <c r="BV4" s="292"/>
      <c r="BW4" s="292"/>
      <c r="BX4" s="292"/>
      <c r="BY4" s="292"/>
      <c r="BZ4" s="278"/>
      <c r="CA4" s="292"/>
      <c r="CB4" s="292"/>
      <c r="CC4" s="292"/>
      <c r="CD4" s="292"/>
      <c r="CE4" s="278"/>
      <c r="CF4" s="292"/>
      <c r="CG4" s="292"/>
      <c r="CH4" s="361" t="s">
        <v>677</v>
      </c>
      <c r="CI4" s="362"/>
      <c r="CJ4" s="363" t="s">
        <v>1106</v>
      </c>
      <c r="CK4" s="292"/>
      <c r="CL4" s="292"/>
      <c r="CM4" s="292"/>
      <c r="CN4" s="292"/>
      <c r="CO4" s="278"/>
      <c r="CP4" s="292"/>
      <c r="CQ4" s="292"/>
      <c r="CR4" s="292"/>
      <c r="CS4" s="292"/>
      <c r="CT4" s="278"/>
      <c r="CU4" s="292"/>
      <c r="CV4" s="292"/>
      <c r="CW4" s="292"/>
      <c r="CX4" s="292"/>
      <c r="CY4" s="278"/>
      <c r="CZ4" s="292"/>
      <c r="DA4" s="292"/>
      <c r="DB4" s="292"/>
      <c r="DC4" s="292"/>
      <c r="DD4" s="278"/>
      <c r="DE4" s="292"/>
      <c r="DF4" s="292"/>
      <c r="DG4" s="292"/>
      <c r="DH4" s="292"/>
      <c r="DI4" s="278"/>
      <c r="DJ4" s="292"/>
      <c r="DK4" s="292"/>
      <c r="DL4" s="292"/>
      <c r="DM4" s="292"/>
      <c r="DN4" s="278"/>
      <c r="DO4" s="292"/>
      <c r="DP4" s="292"/>
      <c r="DQ4" s="292"/>
      <c r="DR4" s="292"/>
      <c r="DS4" s="278"/>
      <c r="DT4" s="292"/>
      <c r="DU4" s="292"/>
      <c r="DV4" s="292"/>
      <c r="DW4" s="292"/>
      <c r="DX4" s="278"/>
      <c r="DY4" s="292"/>
      <c r="DZ4" s="292"/>
      <c r="EA4" s="292"/>
      <c r="EB4" s="292"/>
      <c r="EC4" s="278"/>
      <c r="ED4" s="292"/>
      <c r="EE4" s="292"/>
      <c r="EF4" s="292"/>
      <c r="EG4" s="292"/>
      <c r="EH4" s="278"/>
      <c r="EI4" s="292"/>
      <c r="EJ4" s="292"/>
      <c r="EK4" s="292"/>
      <c r="EL4" s="292"/>
      <c r="EM4" s="278"/>
      <c r="EN4" s="292"/>
      <c r="EO4" s="292"/>
      <c r="EP4" s="292"/>
      <c r="EQ4" s="292"/>
      <c r="ER4" s="278"/>
      <c r="EU4"/>
      <c r="EV4"/>
      <c r="EW4"/>
      <c r="EX4"/>
      <c r="EY4"/>
      <c r="EZ4"/>
    </row>
    <row r="5" spans="2:159" s="116" customFormat="1" ht="12.75" customHeight="1">
      <c r="B5" s="231" t="s">
        <v>137</v>
      </c>
      <c r="C5" s="116">
        <f>REVS!C132</f>
        <v>42.798999999999999</v>
      </c>
      <c r="D5" s="292">
        <f>REVS!D132</f>
        <v>7.7050000000000001</v>
      </c>
      <c r="E5" s="292">
        <f>REVS!E132</f>
        <v>15.574999999999999</v>
      </c>
      <c r="F5" s="292">
        <f>REVS!F132</f>
        <v>13.782999999999999</v>
      </c>
      <c r="G5" s="292">
        <f>REVS!G132</f>
        <v>5.8479999999999999</v>
      </c>
      <c r="H5" s="278">
        <f>REVS!H132</f>
        <v>42.911000000000001</v>
      </c>
      <c r="I5" s="292">
        <f>REVS!I132</f>
        <v>9.141</v>
      </c>
      <c r="J5" s="292">
        <f>REVS!J132</f>
        <v>8.202</v>
      </c>
      <c r="K5" s="292">
        <f>REVS!K132</f>
        <v>6.2969999999999997</v>
      </c>
      <c r="L5" s="292">
        <f>REVS!L132</f>
        <v>7.8830000000000027</v>
      </c>
      <c r="M5" s="278">
        <f>REVS!M132</f>
        <v>31.523000000000003</v>
      </c>
      <c r="N5" s="292">
        <f>REVS!N132</f>
        <v>32.542000000000002</v>
      </c>
      <c r="O5" s="292">
        <f>REVS!O132</f>
        <v>20.39</v>
      </c>
      <c r="P5" s="292">
        <f>REVS!P132</f>
        <v>15.46</v>
      </c>
      <c r="Q5" s="292">
        <f>REVS!Q132</f>
        <v>14.005000000000001</v>
      </c>
      <c r="R5" s="278">
        <f>REVS!R132</f>
        <v>82.396999999999991</v>
      </c>
      <c r="S5" s="292">
        <f>REVS!S132</f>
        <v>30.202999999999999</v>
      </c>
      <c r="T5" s="292">
        <f>REVS!T132</f>
        <v>46.811</v>
      </c>
      <c r="U5" s="292">
        <f>REVS!U132</f>
        <v>26.247</v>
      </c>
      <c r="V5" s="292">
        <f>REVS!V132</f>
        <v>115.84</v>
      </c>
      <c r="W5" s="278">
        <f>REVS!W132</f>
        <v>219.101</v>
      </c>
      <c r="X5" s="292">
        <f>REVS!X132</f>
        <v>133.52500000000001</v>
      </c>
      <c r="Y5" s="292">
        <f>REVS!Y132</f>
        <v>94.61099999999999</v>
      </c>
      <c r="Z5" s="292">
        <f>REVS!Z132</f>
        <v>78.672999999999988</v>
      </c>
      <c r="AA5" s="292">
        <f>REVS!AA132</f>
        <v>131.13300000000004</v>
      </c>
      <c r="AB5" s="278">
        <f>REVS!AB132</f>
        <v>437.94200000000001</v>
      </c>
      <c r="AC5" s="292">
        <f>REVS!AC132</f>
        <v>188.20499999999998</v>
      </c>
      <c r="AD5" s="292">
        <f>REVS!AD132</f>
        <v>143.03100000000001</v>
      </c>
      <c r="AE5" s="292">
        <f>REVS!AE132</f>
        <v>96.872</v>
      </c>
      <c r="AF5" s="292">
        <f>REVS!AF132</f>
        <v>68.827999999999975</v>
      </c>
      <c r="AG5" s="278">
        <f>REVS!AG132</f>
        <v>496.93599999999998</v>
      </c>
      <c r="AH5" s="292">
        <f>REVS!AH132</f>
        <v>116.846</v>
      </c>
      <c r="AI5" s="292">
        <f>REVS!AI132</f>
        <v>60.908999999999999</v>
      </c>
      <c r="AJ5" s="292">
        <f>REVS!AJ132</f>
        <v>32.766000000000005</v>
      </c>
      <c r="AK5" s="292">
        <f>REVS!AK132</f>
        <v>40.433000000000007</v>
      </c>
      <c r="AL5" s="278">
        <f>REVS!AL132</f>
        <v>250.95400000000001</v>
      </c>
      <c r="AM5" s="292">
        <f>REVS!AM132</f>
        <v>82.88</v>
      </c>
      <c r="AN5" s="292">
        <f>REVS!AN132</f>
        <v>78.777000000000001</v>
      </c>
      <c r="AO5" s="292">
        <f>REVS!AO132</f>
        <v>152.434</v>
      </c>
      <c r="AP5" s="292">
        <f>REVS!AP132</f>
        <v>227.98099999999999</v>
      </c>
      <c r="AQ5" s="278">
        <f>REVS!AQ132</f>
        <v>542.072</v>
      </c>
      <c r="AR5" s="292">
        <f>REVS!AR132</f>
        <v>297.78999999999996</v>
      </c>
      <c r="AS5" s="292">
        <f>REVS!AS132</f>
        <v>121.16300000000001</v>
      </c>
      <c r="AT5" s="292">
        <f>REVS!AT132</f>
        <v>72.097000000000008</v>
      </c>
      <c r="AU5" s="292">
        <f>REVS!AU132</f>
        <v>68.449000000000012</v>
      </c>
      <c r="AV5" s="278">
        <f>REVS!AV132</f>
        <v>559.49900000000002</v>
      </c>
      <c r="AW5" s="292">
        <f>REVS!AW132</f>
        <v>62.515999999999998</v>
      </c>
      <c r="AX5" s="292">
        <f>REVS!AX132</f>
        <v>97.664999999999992</v>
      </c>
      <c r="AY5" s="292">
        <f>REVS!AY132</f>
        <v>55.800999999999995</v>
      </c>
      <c r="AZ5" s="292">
        <f>REVS!AZ132</f>
        <v>67.044000000000011</v>
      </c>
      <c r="BA5" s="278">
        <f>REVS!BA132</f>
        <v>283.02600000000001</v>
      </c>
      <c r="BB5" s="292">
        <f>REVS!BB132</f>
        <v>74.106999999999999</v>
      </c>
      <c r="BC5" s="292">
        <f>REVS!BC132</f>
        <v>83.945999999999998</v>
      </c>
      <c r="BD5" s="292">
        <f>REVS!BD132</f>
        <v>68.619</v>
      </c>
      <c r="BE5" s="292">
        <f>REVS!BE132</f>
        <v>77.474000000000018</v>
      </c>
      <c r="BF5" s="278">
        <f>REVS!BF132</f>
        <v>304.14600000000002</v>
      </c>
      <c r="BG5" s="292">
        <f>REVS!BG132</f>
        <v>138.06700000000001</v>
      </c>
      <c r="BH5" s="292">
        <f>REVS!BH132</f>
        <v>110.10899999999999</v>
      </c>
      <c r="BI5" s="292">
        <f>REVS!BI132</f>
        <v>73.180999999999997</v>
      </c>
      <c r="BJ5" s="292">
        <f>REVS!BJ132</f>
        <v>76.635999999999996</v>
      </c>
      <c r="BK5" s="278">
        <f>REVS!BK132</f>
        <v>397.99299999999999</v>
      </c>
      <c r="BL5" s="292">
        <f>REVS!BL132</f>
        <v>127.982</v>
      </c>
      <c r="BM5" s="292">
        <f>REVS!BM132</f>
        <v>122.006</v>
      </c>
      <c r="BN5" s="292">
        <f>REVS!BN132</f>
        <v>73.623999999999995</v>
      </c>
      <c r="BO5" s="292">
        <f>REVS!BO132</f>
        <v>92</v>
      </c>
      <c r="BP5" s="278">
        <f>REVS!BP132</f>
        <v>415.61199999999997</v>
      </c>
      <c r="BQ5" s="292">
        <f>REVS!BQ132</f>
        <v>189</v>
      </c>
      <c r="BR5" s="292">
        <f>REVS!BR132</f>
        <v>118</v>
      </c>
      <c r="BS5" s="292">
        <f>REVS!BS132</f>
        <v>84</v>
      </c>
      <c r="BT5" s="292">
        <f>REVS!BT132</f>
        <v>97</v>
      </c>
      <c r="BU5" s="278">
        <f>REVS!BU132</f>
        <v>488</v>
      </c>
      <c r="BV5" s="292">
        <f>REVS!BV132</f>
        <v>113</v>
      </c>
      <c r="BW5" s="292">
        <f>REVS!BW132</f>
        <v>125</v>
      </c>
      <c r="BX5" s="292">
        <f>REVS!BX132</f>
        <v>95</v>
      </c>
      <c r="BY5" s="292">
        <f>REVS!BY132</f>
        <v>104</v>
      </c>
      <c r="BZ5" s="278">
        <f>REVS!BZ132</f>
        <v>437</v>
      </c>
      <c r="CA5" s="292">
        <f>REVS!CA132</f>
        <v>128</v>
      </c>
      <c r="CB5" s="292">
        <f>REVS!CB132</f>
        <v>95</v>
      </c>
      <c r="CC5" s="292">
        <f>REVS!CC132</f>
        <v>110</v>
      </c>
      <c r="CD5" s="292">
        <f>REVS!CD132</f>
        <v>112</v>
      </c>
      <c r="CE5" s="278">
        <f>REVS!CE132</f>
        <v>445</v>
      </c>
      <c r="CF5" s="292">
        <f>REVS!CF132</f>
        <v>100.5559428059875</v>
      </c>
      <c r="CG5" s="292">
        <f>REVS!CG132</f>
        <v>71.74267766291716</v>
      </c>
      <c r="CH5" s="292">
        <f>REVS!CH132</f>
        <v>105.6452866923896</v>
      </c>
      <c r="CI5" s="292">
        <f>REVS!CI132</f>
        <v>105.95711102457228</v>
      </c>
      <c r="CJ5" s="278">
        <f>REVS!CJ132</f>
        <v>383.90101818586658</v>
      </c>
      <c r="CK5" s="292"/>
      <c r="CL5" s="292"/>
      <c r="CM5" s="292"/>
      <c r="CN5" s="292"/>
      <c r="CO5" s="278">
        <f>REVS!CO132</f>
        <v>357.7068184645334</v>
      </c>
      <c r="CP5" s="292"/>
      <c r="CQ5" s="292"/>
      <c r="CR5" s="292"/>
      <c r="CS5" s="292"/>
      <c r="CT5" s="278">
        <f>REVS!CT132</f>
        <v>366.42434584297007</v>
      </c>
      <c r="CU5" s="292"/>
      <c r="CV5" s="292"/>
      <c r="CW5" s="292"/>
      <c r="CX5" s="292"/>
      <c r="CY5" s="278">
        <f>REVS!CY132</f>
        <v>375.39507540535834</v>
      </c>
      <c r="CZ5" s="292"/>
      <c r="DA5" s="292"/>
      <c r="DB5" s="292"/>
      <c r="DC5" s="292"/>
      <c r="DD5" s="278">
        <f>REVS!DD132</f>
        <v>384.62636145563948</v>
      </c>
      <c r="DE5" s="292"/>
      <c r="DF5" s="292"/>
      <c r="DG5" s="292"/>
      <c r="DH5" s="292"/>
      <c r="DI5" s="278">
        <f>REVS!DI132</f>
        <v>394.12577190486365</v>
      </c>
      <c r="DJ5" s="292"/>
      <c r="DK5" s="292"/>
      <c r="DL5" s="292"/>
      <c r="DM5" s="292"/>
      <c r="DN5" s="278">
        <f>REVS!DN132</f>
        <v>403.90109447544756</v>
      </c>
      <c r="DO5" s="292"/>
      <c r="DP5" s="292"/>
      <c r="DQ5" s="292"/>
      <c r="DR5" s="292"/>
      <c r="DS5" s="278">
        <f>REVS!DS132</f>
        <v>413.96034308563588</v>
      </c>
      <c r="DT5" s="292"/>
      <c r="DU5" s="292"/>
      <c r="DV5" s="292"/>
      <c r="DW5" s="292"/>
      <c r="DX5" s="278">
        <f>REVS!DX132</f>
        <v>424.31176441940084</v>
      </c>
      <c r="DY5" s="292"/>
      <c r="DZ5" s="292"/>
      <c r="EA5" s="292"/>
      <c r="EB5" s="292"/>
      <c r="EC5" s="278">
        <f>REVS!EC132</f>
        <v>434.96384468716525</v>
      </c>
      <c r="ED5" s="292"/>
      <c r="EE5" s="292"/>
      <c r="EF5" s="292"/>
      <c r="EG5" s="292"/>
      <c r="EH5" s="278">
        <f>REVS!EH132</f>
        <v>445.92531658289255</v>
      </c>
      <c r="EI5" s="292"/>
      <c r="EJ5" s="292"/>
      <c r="EK5" s="292"/>
      <c r="EL5" s="292"/>
      <c r="EM5" s="278">
        <f>REVS!EM132</f>
        <v>457.20516644324618</v>
      </c>
      <c r="EN5" s="292"/>
      <c r="EO5" s="292"/>
      <c r="EP5" s="292"/>
      <c r="EQ5" s="292"/>
      <c r="ER5" s="278">
        <f>REVS!ER132</f>
        <v>468.81264161468886</v>
      </c>
      <c r="EU5"/>
      <c r="EV5"/>
      <c r="EW5"/>
      <c r="EX5"/>
      <c r="EY5"/>
      <c r="EZ5"/>
    </row>
    <row r="6" spans="2:159" s="116" customFormat="1" ht="12.75" customHeight="1">
      <c r="B6" s="244" t="s">
        <v>139</v>
      </c>
      <c r="C6" s="244">
        <f>C3+C5</f>
        <v>233.76900000000001</v>
      </c>
      <c r="D6" s="294">
        <f>D3+D5</f>
        <v>78.415999999999997</v>
      </c>
      <c r="E6" s="294">
        <f t="shared" ref="E6:BJ6" si="0">E3+E5</f>
        <v>109.363</v>
      </c>
      <c r="F6" s="294">
        <f t="shared" si="0"/>
        <v>133.98399999999998</v>
      </c>
      <c r="G6" s="294">
        <f t="shared" si="0"/>
        <v>145.02700000000004</v>
      </c>
      <c r="H6" s="244">
        <f t="shared" si="0"/>
        <v>466.79</v>
      </c>
      <c r="I6" s="294">
        <f t="shared" si="0"/>
        <v>165.10499999999999</v>
      </c>
      <c r="J6" s="294">
        <f t="shared" si="0"/>
        <v>238.87</v>
      </c>
      <c r="K6" s="294">
        <f t="shared" si="0"/>
        <v>200.37200000000001</v>
      </c>
      <c r="L6" s="294">
        <f t="shared" si="0"/>
        <v>263.517</v>
      </c>
      <c r="M6" s="244">
        <f t="shared" si="0"/>
        <v>867.86400000000015</v>
      </c>
      <c r="N6" s="294">
        <f t="shared" si="0"/>
        <v>309.12699999999995</v>
      </c>
      <c r="O6" s="294">
        <f t="shared" si="0"/>
        <v>319.72199999999998</v>
      </c>
      <c r="P6" s="294">
        <f t="shared" si="0"/>
        <v>326.18700000000001</v>
      </c>
      <c r="Q6" s="294">
        <f t="shared" si="0"/>
        <v>369.58600000000001</v>
      </c>
      <c r="R6" s="244">
        <f t="shared" si="0"/>
        <v>1324.6220000000001</v>
      </c>
      <c r="S6" s="294">
        <f t="shared" si="0"/>
        <v>430.41399999999993</v>
      </c>
      <c r="T6" s="294">
        <f t="shared" si="0"/>
        <v>495.26899999999995</v>
      </c>
      <c r="U6" s="294">
        <f t="shared" si="0"/>
        <v>493.45100000000002</v>
      </c>
      <c r="V6" s="294">
        <f t="shared" si="0"/>
        <v>609.26600000000008</v>
      </c>
      <c r="W6" s="244">
        <f t="shared" si="0"/>
        <v>2028.4</v>
      </c>
      <c r="X6" s="294">
        <f t="shared" si="0"/>
        <v>692.87800000000004</v>
      </c>
      <c r="Y6" s="294">
        <f t="shared" si="0"/>
        <v>685.30199999999991</v>
      </c>
      <c r="Z6" s="294">
        <f t="shared" si="0"/>
        <v>748.73299999999995</v>
      </c>
      <c r="AA6" s="294">
        <f t="shared" si="0"/>
        <v>899.0619999999999</v>
      </c>
      <c r="AB6" s="244">
        <f t="shared" si="0"/>
        <v>3025.9750000000004</v>
      </c>
      <c r="AC6" s="294">
        <f t="shared" si="0"/>
        <v>1028.057</v>
      </c>
      <c r="AD6" s="294">
        <f t="shared" si="0"/>
        <v>1048.0890000000002</v>
      </c>
      <c r="AE6" s="294">
        <f t="shared" si="0"/>
        <v>1058.8030000000001</v>
      </c>
      <c r="AF6" s="294">
        <f t="shared" si="0"/>
        <v>1094.4470000000001</v>
      </c>
      <c r="AG6" s="244">
        <f t="shared" si="0"/>
        <v>4229.3959999999997</v>
      </c>
      <c r="AH6" s="294">
        <f t="shared" si="0"/>
        <v>1258.152</v>
      </c>
      <c r="AI6" s="294">
        <f t="shared" si="0"/>
        <v>1278.125</v>
      </c>
      <c r="AJ6" s="294">
        <f t="shared" si="0"/>
        <v>1371.268</v>
      </c>
      <c r="AK6" s="294">
        <f t="shared" si="0"/>
        <v>1428.2049999999997</v>
      </c>
      <c r="AL6" s="244">
        <f t="shared" si="0"/>
        <v>5335.7499999999991</v>
      </c>
      <c r="AM6" s="294">
        <f t="shared" si="0"/>
        <v>1530.46</v>
      </c>
      <c r="AN6" s="294">
        <f t="shared" si="0"/>
        <v>1647.155</v>
      </c>
      <c r="AO6" s="294">
        <f t="shared" si="0"/>
        <v>1801.3890000000006</v>
      </c>
      <c r="AP6" s="294">
        <f t="shared" si="0"/>
        <v>2032.3790000000001</v>
      </c>
      <c r="AQ6" s="244">
        <f t="shared" si="0"/>
        <v>7011.3829999999998</v>
      </c>
      <c r="AR6" s="294">
        <f t="shared" si="0"/>
        <v>2085.8530000000001</v>
      </c>
      <c r="AS6" s="294">
        <f t="shared" si="0"/>
        <v>1927.2240000000002</v>
      </c>
      <c r="AT6" s="294">
        <f t="shared" si="0"/>
        <v>1937.6559999999997</v>
      </c>
      <c r="AU6" s="294">
        <f t="shared" si="0"/>
        <v>1998.6869999999999</v>
      </c>
      <c r="AV6" s="244">
        <f t="shared" si="0"/>
        <v>7949.42</v>
      </c>
      <c r="AW6" s="294">
        <f t="shared" si="0"/>
        <v>1926.0940000000003</v>
      </c>
      <c r="AX6" s="294">
        <f t="shared" si="0"/>
        <v>2137.2530000000002</v>
      </c>
      <c r="AY6" s="294">
        <f t="shared" si="0"/>
        <v>2121.66</v>
      </c>
      <c r="AZ6" s="294">
        <f t="shared" si="0"/>
        <v>2200.3779999999997</v>
      </c>
      <c r="BA6" s="244">
        <f t="shared" si="0"/>
        <v>8385.3850000000002</v>
      </c>
      <c r="BB6" s="294">
        <f t="shared" si="0"/>
        <v>2282.4490000000001</v>
      </c>
      <c r="BC6" s="294">
        <f t="shared" si="0"/>
        <v>2405.1859999999992</v>
      </c>
      <c r="BD6" s="294">
        <f t="shared" si="0"/>
        <v>2444.1079999999997</v>
      </c>
      <c r="BE6" s="294">
        <f t="shared" si="0"/>
        <v>2628.31</v>
      </c>
      <c r="BF6" s="244">
        <f t="shared" si="0"/>
        <v>9702.5170000000016</v>
      </c>
      <c r="BG6" s="294">
        <f t="shared" si="0"/>
        <v>2531.6350000000002</v>
      </c>
      <c r="BH6" s="294">
        <f t="shared" si="0"/>
        <v>2767.3940000000002</v>
      </c>
      <c r="BI6" s="294">
        <f t="shared" si="0"/>
        <v>2782.8340000000003</v>
      </c>
      <c r="BJ6" s="294">
        <f t="shared" si="0"/>
        <v>3119.826</v>
      </c>
      <c r="BK6" s="244">
        <f>REVS!BK146</f>
        <v>11201.689</v>
      </c>
      <c r="BL6" s="294">
        <f>BL3+BL5</f>
        <v>4998.956000000001</v>
      </c>
      <c r="BM6" s="294">
        <f>BM3+BM5</f>
        <v>6534.9430000000011</v>
      </c>
      <c r="BN6" s="294">
        <f>BN3+BN5</f>
        <v>6041.8320000000003</v>
      </c>
      <c r="BO6" s="294">
        <f>BO3+BO5</f>
        <v>7313.8721077385035</v>
      </c>
      <c r="BP6" s="244">
        <f>REVS!BP146</f>
        <v>24890.003107738503</v>
      </c>
      <c r="BQ6" s="294">
        <f>BQ3+BQ5</f>
        <v>7594</v>
      </c>
      <c r="BR6" s="294">
        <f>BR3+BR5</f>
        <v>8244</v>
      </c>
      <c r="BS6" s="294">
        <f>BS3+BS5</f>
        <v>8295</v>
      </c>
      <c r="BT6" s="294">
        <f>BT3+BT5</f>
        <v>8506</v>
      </c>
      <c r="BU6" s="244">
        <f>REVS!BU146</f>
        <v>32639</v>
      </c>
      <c r="BV6" s="294">
        <f>BV3+BV5</f>
        <v>7794</v>
      </c>
      <c r="BW6" s="294">
        <f>BW3+BW5</f>
        <v>7776</v>
      </c>
      <c r="BX6" s="294">
        <f>BX3+BX5</f>
        <v>7500</v>
      </c>
      <c r="BY6" s="294">
        <f>BY3+BY5</f>
        <v>7320</v>
      </c>
      <c r="BZ6" s="244">
        <f>REVS!BZ146</f>
        <v>30390</v>
      </c>
      <c r="CA6" s="294">
        <f>CA3+CA5</f>
        <v>6505</v>
      </c>
      <c r="CB6" s="294">
        <f>CB3+CB5</f>
        <v>7141</v>
      </c>
      <c r="CC6" s="294">
        <f>CC3+CC5</f>
        <v>6512</v>
      </c>
      <c r="CD6" s="294">
        <f>CD3+CD5</f>
        <v>5949</v>
      </c>
      <c r="CE6" s="244">
        <f>REVS!CE146</f>
        <v>26107</v>
      </c>
      <c r="CF6" s="294">
        <f>CF3+CF5</f>
        <v>5120.5142530520052</v>
      </c>
      <c r="CG6" s="294">
        <f>CG3+CG5</f>
        <v>5231.6508547163612</v>
      </c>
      <c r="CH6" s="294">
        <f>CH3+CH5</f>
        <v>5292.3813488820879</v>
      </c>
      <c r="CI6" s="294">
        <f>CI3+CI5</f>
        <v>5394.5375941504553</v>
      </c>
      <c r="CJ6" s="244">
        <f>REVS!CJ146</f>
        <v>21039.08405080091</v>
      </c>
      <c r="CK6" s="294"/>
      <c r="CL6" s="294"/>
      <c r="CM6" s="294"/>
      <c r="CN6" s="294"/>
      <c r="CO6" s="244">
        <f>REVS!CO146</f>
        <v>21341.033879780261</v>
      </c>
      <c r="CP6" s="294"/>
      <c r="CQ6" s="294"/>
      <c r="CR6" s="294"/>
      <c r="CS6" s="294"/>
      <c r="CT6" s="244">
        <f>REVS!CT146</f>
        <v>22698.665556053802</v>
      </c>
      <c r="CU6" s="294"/>
      <c r="CV6" s="294"/>
      <c r="CW6" s="294"/>
      <c r="CX6" s="294"/>
      <c r="CY6" s="244">
        <f>REVS!CY146</f>
        <v>21467.723596869662</v>
      </c>
      <c r="CZ6" s="294"/>
      <c r="DA6" s="294"/>
      <c r="DB6" s="294"/>
      <c r="DC6" s="294"/>
      <c r="DD6" s="244">
        <f>REVS!DD146</f>
        <v>22180.651481390367</v>
      </c>
      <c r="DE6" s="294"/>
      <c r="DF6" s="294"/>
      <c r="DG6" s="294"/>
      <c r="DH6" s="294"/>
      <c r="DI6" s="244">
        <f>REVS!DI146</f>
        <v>23028.884044578823</v>
      </c>
      <c r="DJ6" s="294"/>
      <c r="DK6" s="294"/>
      <c r="DL6" s="294"/>
      <c r="DM6" s="294"/>
      <c r="DN6" s="244">
        <f>REVS!DN146</f>
        <v>23910.952742949023</v>
      </c>
      <c r="DO6" s="294"/>
      <c r="DP6" s="294"/>
      <c r="DQ6" s="294"/>
      <c r="DR6" s="294"/>
      <c r="DS6" s="244">
        <f>REVS!DS146</f>
        <v>18530.995910670714</v>
      </c>
      <c r="DT6" s="294"/>
      <c r="DU6" s="294"/>
      <c r="DV6" s="294"/>
      <c r="DW6" s="294"/>
      <c r="DX6" s="244">
        <f>REVS!DX146</f>
        <v>16902.592374021508</v>
      </c>
      <c r="DY6" s="294"/>
      <c r="DZ6" s="294"/>
      <c r="EA6" s="294"/>
      <c r="EB6" s="294"/>
      <c r="EC6" s="244">
        <f>REVS!EC146</f>
        <v>16756.504191770364</v>
      </c>
      <c r="ED6" s="294"/>
      <c r="EE6" s="294"/>
      <c r="EF6" s="294"/>
      <c r="EG6" s="294"/>
      <c r="EH6" s="244">
        <f>REVS!EH146</f>
        <v>16699.182904889727</v>
      </c>
      <c r="EI6" s="294"/>
      <c r="EJ6" s="294"/>
      <c r="EK6" s="294"/>
      <c r="EL6" s="294"/>
      <c r="EM6" s="244">
        <f>REVS!EM146</f>
        <v>14046.02780742199</v>
      </c>
      <c r="EN6" s="294"/>
      <c r="EO6" s="294"/>
      <c r="EP6" s="294"/>
      <c r="EQ6" s="294"/>
      <c r="ER6" s="244">
        <f>REVS!ER146</f>
        <v>13475.623368567702</v>
      </c>
      <c r="EU6"/>
      <c r="EV6"/>
      <c r="EW6"/>
      <c r="EX6"/>
      <c r="EY6"/>
      <c r="EZ6"/>
    </row>
    <row r="7" spans="2:159" ht="12.75" customHeight="1">
      <c r="B7" s="592" t="s">
        <v>138</v>
      </c>
      <c r="C7" s="598"/>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c r="AE7" s="598"/>
      <c r="AF7" s="598"/>
      <c r="AG7" s="598"/>
      <c r="AH7" s="598"/>
      <c r="AI7" s="598"/>
      <c r="AJ7" s="598"/>
      <c r="AK7" s="598"/>
      <c r="AL7" s="598"/>
      <c r="AM7" s="598"/>
      <c r="AN7" s="598"/>
      <c r="AO7" s="598"/>
      <c r="AP7" s="598"/>
      <c r="AQ7" s="598"/>
      <c r="AR7" s="598"/>
      <c r="AS7" s="598"/>
      <c r="AT7" s="598"/>
      <c r="AU7" s="598"/>
      <c r="AV7" s="598"/>
      <c r="AW7" s="598"/>
      <c r="AX7" s="598"/>
      <c r="AY7" s="598"/>
      <c r="AZ7" s="598"/>
      <c r="BA7" s="598"/>
      <c r="BB7" s="598"/>
      <c r="BC7" s="598"/>
      <c r="BD7" s="598"/>
      <c r="BE7" s="598"/>
      <c r="BF7" s="598"/>
      <c r="BG7" s="598"/>
      <c r="BH7" s="598"/>
      <c r="BI7" s="598"/>
      <c r="BJ7" s="598"/>
      <c r="BK7" s="598"/>
      <c r="BL7" s="296"/>
      <c r="BM7" s="296"/>
      <c r="BN7" s="296"/>
      <c r="BO7" s="296"/>
      <c r="BP7" s="296"/>
      <c r="BQ7" s="296"/>
      <c r="BR7" s="296"/>
      <c r="BS7" s="296"/>
      <c r="BT7" s="296"/>
      <c r="BU7" s="296"/>
      <c r="BV7" s="296"/>
      <c r="BW7" s="296"/>
      <c r="BX7" s="296"/>
      <c r="BY7" s="296"/>
      <c r="BZ7" s="296"/>
      <c r="CA7" s="296"/>
      <c r="CB7" s="296"/>
      <c r="CC7" s="296"/>
      <c r="CD7" s="296"/>
      <c r="CE7" s="296"/>
      <c r="CF7" s="296" t="e">
        <f ca="1">_xll.TR($FC$1,"TR.RevenueMean","Period=#1 Curn=#2 Scale=6 Null=-",,LEFT(CF2,1)&amp;"CQ20"&amp;MID(CF2,3,2),$FC$2)</f>
        <v>#NAME?</v>
      </c>
      <c r="CG7" s="296" t="e">
        <f ca="1">_xll.TR($FC$1,"TR.RevenueMean","Period=#1 Curn=#2 Scale=6 Null=-",,LEFT(CG2,1)&amp;"CQ20"&amp;MID(CG2,3,2),$FC$2)</f>
        <v>#NAME?</v>
      </c>
      <c r="CH7" s="296" t="e">
        <f ca="1">_xll.TR($FC$1,"TR.RevenueMean","Period=#1 Curn=#2 Scale=6 Null=-",,LEFT(CH2,1)&amp;"CQ20"&amp;MID(CH2,3,2),$FC$2)</f>
        <v>#NAME?</v>
      </c>
      <c r="CI7" s="296" t="e">
        <f ca="1">_xll.TR($FC$1,"TR.RevenueMean","Period=#1 Curn=#2 Scale=6 Null=-",,LEFT(CI2,1)&amp;"CQ20"&amp;MID(CI2,3,2),$FC$2)</f>
        <v>#NAME?</v>
      </c>
      <c r="CJ7" s="296" t="e">
        <f ca="1">_xll.TR($FC$1,"Avail(TR.RevenueMean(Methodology=WeightedAnnual),TR.RevenueMean(Methodology=InterimSum))","Period=#1 Curn=#2 Scale=6 Null=-",,"CY"&amp;LEFT(CF1,4),$FC$2)</f>
        <v>#NAME?</v>
      </c>
      <c r="CK7" s="598"/>
      <c r="CL7" s="598"/>
      <c r="CM7" s="598"/>
      <c r="CN7" s="598"/>
      <c r="CO7" s="296" t="e">
        <f ca="1">_xll.TR($FC$1,"Avail(TR.RevenueMean(Methodology=WeightedAnnual),TR.RevenueMean(Methodology=InterimSum))","Period=#1 Curn=#2 Scale=6 Null=-",,"CY"&amp;LEFT(CK1,4),$FC$2)</f>
        <v>#NAME?</v>
      </c>
      <c r="CP7" s="598"/>
      <c r="CQ7" s="598"/>
      <c r="CR7" s="598"/>
      <c r="CS7" s="598"/>
      <c r="CT7" s="296" t="e">
        <f ca="1">_xll.TR($FC$1,"Avail(TR.RevenueMean(Methodology=WeightedAnnual),TR.RevenueMean(Methodology=InterimSum))","Period=#1 Curn=#2 Scale=6 Null=-",,"CY"&amp;LEFT(CP1,4),$FC$2)</f>
        <v>#NAME?</v>
      </c>
      <c r="CU7" s="598"/>
      <c r="CV7" s="598"/>
      <c r="CW7" s="598"/>
      <c r="CX7" s="598"/>
      <c r="CY7" s="598"/>
      <c r="CZ7" s="598"/>
      <c r="DA7" s="598"/>
      <c r="DB7" s="598"/>
      <c r="DC7" s="598"/>
      <c r="DD7" s="598"/>
      <c r="DE7" s="598"/>
      <c r="DF7" s="598"/>
      <c r="DG7" s="598"/>
      <c r="DH7" s="598"/>
      <c r="DI7" s="598"/>
      <c r="DJ7" s="598"/>
      <c r="DK7" s="598"/>
      <c r="DL7" s="598"/>
      <c r="DM7" s="598"/>
      <c r="DN7" s="598"/>
      <c r="DO7" s="598"/>
      <c r="DP7" s="598"/>
      <c r="DQ7" s="598"/>
      <c r="DR7" s="598"/>
      <c r="DS7" s="598"/>
      <c r="DT7" s="598"/>
      <c r="DU7" s="598"/>
      <c r="DV7" s="598"/>
      <c r="DW7" s="598"/>
      <c r="DX7" s="598"/>
      <c r="DY7" s="598"/>
      <c r="DZ7" s="598"/>
      <c r="EA7" s="598"/>
      <c r="EB7" s="598"/>
      <c r="EC7" s="598"/>
      <c r="ED7" s="598"/>
      <c r="EE7" s="598"/>
      <c r="EF7" s="598"/>
      <c r="EG7" s="598"/>
      <c r="EH7" s="598"/>
      <c r="EI7" s="598"/>
      <c r="EJ7" s="598"/>
      <c r="EK7" s="598"/>
      <c r="EL7" s="598"/>
      <c r="EM7" s="598"/>
      <c r="EN7" s="598"/>
      <c r="EO7" s="598"/>
      <c r="EP7" s="598"/>
      <c r="EQ7" s="598"/>
      <c r="ER7" s="598"/>
    </row>
    <row r="8" spans="2:159" ht="12.75" customHeight="1">
      <c r="B8" s="9"/>
      <c r="C8" s="13"/>
      <c r="D8" s="295"/>
      <c r="E8" s="295"/>
      <c r="F8" s="295"/>
      <c r="G8" s="295"/>
      <c r="H8" s="13"/>
      <c r="I8" s="295"/>
      <c r="J8" s="295"/>
      <c r="K8" s="295"/>
      <c r="L8" s="295"/>
      <c r="M8" s="13"/>
      <c r="N8" s="295"/>
      <c r="O8" s="295"/>
      <c r="P8" s="295"/>
      <c r="Q8" s="295"/>
      <c r="R8" s="13"/>
      <c r="S8" s="295"/>
      <c r="T8" s="295"/>
      <c r="U8" s="295"/>
      <c r="V8" s="295"/>
      <c r="W8" s="13"/>
      <c r="X8" s="295"/>
      <c r="Y8" s="295"/>
      <c r="Z8" s="295"/>
      <c r="AA8" s="295"/>
      <c r="AB8" s="13"/>
      <c r="AC8" s="295"/>
      <c r="AD8" s="295"/>
      <c r="AE8" s="295"/>
      <c r="AF8" s="295"/>
      <c r="AG8" s="13"/>
      <c r="AH8" s="295"/>
      <c r="AI8" s="295"/>
      <c r="AJ8" s="295"/>
      <c r="AK8" s="295"/>
      <c r="AL8" s="13"/>
      <c r="AM8" s="295"/>
      <c r="AN8" s="295"/>
      <c r="AO8" s="295"/>
      <c r="AP8" s="295"/>
      <c r="AQ8" s="13"/>
      <c r="AR8" s="295"/>
      <c r="AS8" s="295"/>
      <c r="AT8" s="295"/>
      <c r="AU8" s="295"/>
      <c r="AV8" s="13"/>
      <c r="AW8" s="295"/>
      <c r="AX8" s="295"/>
      <c r="AY8" s="295"/>
      <c r="AZ8" s="295"/>
      <c r="BA8" s="13"/>
      <c r="BB8" s="295"/>
      <c r="BC8" s="295"/>
      <c r="BD8" s="295"/>
      <c r="BE8" s="295"/>
      <c r="BF8" s="13"/>
      <c r="BG8" s="295"/>
      <c r="BH8" s="295"/>
      <c r="BI8" s="295"/>
      <c r="BJ8" s="295"/>
      <c r="BK8" s="13"/>
      <c r="BL8" s="295"/>
      <c r="BM8" s="295"/>
      <c r="BN8" s="295"/>
      <c r="BO8" s="295"/>
      <c r="BP8" s="13"/>
      <c r="BQ8" s="299"/>
      <c r="BR8" s="299"/>
      <c r="BS8" s="299"/>
      <c r="BT8" s="299"/>
      <c r="BU8" s="13"/>
      <c r="BV8" s="295"/>
      <c r="BW8" s="295"/>
      <c r="BX8" s="295"/>
      <c r="BY8" s="295"/>
      <c r="BZ8" s="13"/>
      <c r="CA8" s="295"/>
      <c r="CB8" s="295"/>
      <c r="CC8" s="295"/>
      <c r="CD8" s="295"/>
      <c r="CE8" s="13"/>
      <c r="CF8" s="295"/>
      <c r="CG8" s="295"/>
      <c r="CH8" s="295"/>
      <c r="CI8" s="295"/>
      <c r="CJ8" s="13"/>
      <c r="CK8" s="295"/>
      <c r="CL8" s="295"/>
      <c r="CM8" s="295"/>
      <c r="CN8" s="295"/>
      <c r="CO8" s="13"/>
      <c r="CP8" s="295"/>
      <c r="CQ8" s="295"/>
      <c r="CR8" s="295"/>
      <c r="CS8" s="295"/>
      <c r="CT8" s="13"/>
      <c r="CU8" s="295"/>
      <c r="CV8" s="295"/>
      <c r="CW8" s="295"/>
      <c r="CX8" s="295"/>
      <c r="CY8" s="13"/>
      <c r="CZ8" s="295"/>
      <c r="DA8" s="295"/>
      <c r="DB8" s="295"/>
      <c r="DC8" s="295"/>
      <c r="DD8" s="13"/>
      <c r="DE8" s="295"/>
      <c r="DF8" s="295"/>
      <c r="DG8" s="295"/>
      <c r="DH8" s="295"/>
      <c r="DI8" s="13"/>
      <c r="DJ8" s="295"/>
      <c r="DK8" s="295"/>
      <c r="DL8" s="295"/>
      <c r="DM8" s="295"/>
      <c r="DN8" s="13"/>
      <c r="DO8" s="295"/>
      <c r="DP8" s="295"/>
      <c r="DQ8" s="295"/>
      <c r="DR8" s="295"/>
      <c r="DS8" s="13"/>
      <c r="DT8" s="295"/>
      <c r="DU8" s="295"/>
      <c r="DV8" s="295"/>
      <c r="DW8" s="295"/>
      <c r="DX8" s="13"/>
      <c r="DY8" s="295"/>
      <c r="DZ8" s="295"/>
      <c r="EA8" s="295"/>
      <c r="EB8" s="295"/>
      <c r="EC8" s="13"/>
      <c r="ED8" s="295"/>
      <c r="EE8" s="295"/>
      <c r="EF8" s="295"/>
      <c r="EG8" s="295"/>
      <c r="EH8" s="13"/>
      <c r="EI8" s="295"/>
      <c r="EJ8" s="295"/>
      <c r="EK8" s="295"/>
      <c r="EL8" s="295"/>
      <c r="EM8" s="13"/>
      <c r="EN8" s="295"/>
      <c r="EO8" s="295"/>
      <c r="EP8" s="295"/>
      <c r="EQ8" s="295"/>
      <c r="ER8" s="13"/>
    </row>
    <row r="9" spans="2:159" s="116" customFormat="1" ht="12.75" customHeight="1">
      <c r="B9" s="116" t="s">
        <v>100</v>
      </c>
      <c r="C9" s="116">
        <v>43.764000000000003</v>
      </c>
      <c r="D9" s="298">
        <v>12.042</v>
      </c>
      <c r="E9" s="298">
        <v>17.718</v>
      </c>
      <c r="F9" s="298">
        <v>20.411999999999999</v>
      </c>
      <c r="G9" s="298">
        <v>19.552</v>
      </c>
      <c r="H9" s="116">
        <f>D9+E9+F9+G9</f>
        <v>69.72399999999999</v>
      </c>
      <c r="I9" s="298">
        <v>21.372</v>
      </c>
      <c r="J9" s="298">
        <v>32.106000000000002</v>
      </c>
      <c r="K9" s="298">
        <v>25.936</v>
      </c>
      <c r="L9" s="298">
        <f>33.277-0.704</f>
        <v>32.573</v>
      </c>
      <c r="M9" s="116">
        <f>I9+J9+K9+L9</f>
        <v>111.98699999999999</v>
      </c>
      <c r="N9" s="298">
        <v>34.948999999999998</v>
      </c>
      <c r="O9" s="298">
        <v>42.091999999999999</v>
      </c>
      <c r="P9" s="298">
        <v>40.841999999999999</v>
      </c>
      <c r="Q9" s="298">
        <v>48.704999999999998</v>
      </c>
      <c r="R9" s="116">
        <f>N9+O9+P9+Q9</f>
        <v>166.58799999999999</v>
      </c>
      <c r="S9" s="298">
        <v>57.414999999999999</v>
      </c>
      <c r="T9" s="298">
        <v>63.268999999999998</v>
      </c>
      <c r="U9" s="298">
        <v>65.498000000000005</v>
      </c>
      <c r="V9" s="298">
        <v>74.144000000000005</v>
      </c>
      <c r="W9" s="116">
        <f>S9+T9+U9+V9</f>
        <v>260.32600000000002</v>
      </c>
      <c r="X9" s="298">
        <f>90.357-3.187</f>
        <v>87.17</v>
      </c>
      <c r="Y9" s="298">
        <f>77.883-2.526</f>
        <v>75.356999999999999</v>
      </c>
      <c r="Z9" s="298">
        <f>109.791-2.524</f>
        <v>107.267</v>
      </c>
      <c r="AA9" s="298">
        <f>155.289-2.634</f>
        <v>152.655</v>
      </c>
      <c r="AB9" s="116">
        <f>X9+Y9+Z9+AA9</f>
        <v>422.44899999999996</v>
      </c>
      <c r="AC9" s="298">
        <f>171.638-2.53</f>
        <v>169.108</v>
      </c>
      <c r="AD9" s="298">
        <f>183.131-2.682</f>
        <v>180.44900000000001</v>
      </c>
      <c r="AE9" s="298">
        <f>198.46-3.138</f>
        <v>195.322</v>
      </c>
      <c r="AF9" s="298">
        <f>215.542-2.874</f>
        <v>212.66800000000001</v>
      </c>
      <c r="AG9" s="116">
        <f>AC9+AD9+AE9+AF9</f>
        <v>757.54700000000003</v>
      </c>
      <c r="AH9" s="298">
        <f>239.848-1.694</f>
        <v>238.15400000000002</v>
      </c>
      <c r="AI9" s="298">
        <f>265.684-2.848</f>
        <v>262.83600000000001</v>
      </c>
      <c r="AJ9" s="298">
        <f>300.183-2.592</f>
        <v>297.59100000000001</v>
      </c>
      <c r="AK9" s="298">
        <f>321.531-3.178</f>
        <v>318.35300000000001</v>
      </c>
      <c r="AL9" s="116">
        <f>AH9+AI9+AJ9+AK9</f>
        <v>1116.934</v>
      </c>
      <c r="AM9" s="298">
        <f>329.414-3.254</f>
        <v>326.15999999999997</v>
      </c>
      <c r="AN9" s="298">
        <f>383.045-3.711-12.066-2.771</f>
        <v>364.49700000000001</v>
      </c>
      <c r="AO9" s="298">
        <f>409.7-4.922-14.585-2.461</f>
        <v>387.73199999999997</v>
      </c>
      <c r="AP9" s="298">
        <f>473.399-5.013-14.48-2.373</f>
        <v>451.53300000000002</v>
      </c>
      <c r="AQ9" s="116">
        <f>AM9+AN9+AO9+AP9</f>
        <v>1529.922</v>
      </c>
      <c r="AR9" s="298">
        <f>440.43-4.978-14.984-2.853</f>
        <v>417.61500000000001</v>
      </c>
      <c r="AS9" s="298">
        <f>455.525-2.042-14.981-2.967</f>
        <v>435.53500000000003</v>
      </c>
      <c r="AT9" s="298">
        <f>477.584-14.981-2.728</f>
        <v>459.875</v>
      </c>
      <c r="AU9" s="298">
        <f>496.337-14.981-1.632</f>
        <v>479.72399999999999</v>
      </c>
      <c r="AV9" s="116">
        <f>AR9+AS9+AT9+AU9</f>
        <v>1792.749</v>
      </c>
      <c r="AW9" s="298">
        <f>474.111-17.407-2.644</f>
        <v>454.06</v>
      </c>
      <c r="AX9" s="298">
        <f>533.863-17.408-2.887</f>
        <v>513.5680000000001</v>
      </c>
      <c r="AY9" s="298">
        <f>531.989-17.407-2.234</f>
        <v>512.34799999999996</v>
      </c>
      <c r="AZ9" s="298">
        <f>584.447-17.407-0.668</f>
        <v>566.37199999999996</v>
      </c>
      <c r="BA9" s="116">
        <f>SUM(AW9:AZ9)</f>
        <v>2046.348</v>
      </c>
      <c r="BB9" s="298">
        <f>580.931-17.937</f>
        <v>562.99400000000003</v>
      </c>
      <c r="BC9" s="298">
        <f>617.345-2.119-15.836</f>
        <v>599.39</v>
      </c>
      <c r="BD9" s="298">
        <f>597.269-1.864-15.837</f>
        <v>579.56799999999998</v>
      </c>
      <c r="BE9" s="298">
        <f>675.818-0.977-15.837</f>
        <v>659.00400000000002</v>
      </c>
      <c r="BF9" s="116">
        <f>SUM(BB9:BE9)</f>
        <v>2400.9560000000001</v>
      </c>
      <c r="BG9" s="298">
        <v>611.34299999999996</v>
      </c>
      <c r="BH9" s="298">
        <f>684.663-2.632-21.264</f>
        <v>660.76700000000005</v>
      </c>
      <c r="BI9" s="298">
        <f>681.868+BI43</f>
        <v>658.78100000000006</v>
      </c>
      <c r="BJ9" s="298">
        <f>857.523+BJ43</f>
        <v>777.48400000000004</v>
      </c>
      <c r="BK9" s="116">
        <f>SUM(BG9:BJ9)</f>
        <v>2708.375</v>
      </c>
      <c r="BL9" s="299">
        <f>813.205+BL43</f>
        <v>611.33300000000008</v>
      </c>
      <c r="BM9" s="299">
        <f>924.709+BM43</f>
        <v>722.91399999999999</v>
      </c>
      <c r="BN9" s="299">
        <f>987.306+BN43</f>
        <v>783.09</v>
      </c>
      <c r="BO9" s="299">
        <f>1063+BO43</f>
        <v>847</v>
      </c>
      <c r="BP9" s="116">
        <f>SUM(BL9:BO9)</f>
        <v>2964.337</v>
      </c>
      <c r="BQ9" s="299">
        <f>882+BQ43</f>
        <v>674</v>
      </c>
      <c r="BR9" s="299">
        <f>998+BR43</f>
        <v>788</v>
      </c>
      <c r="BS9" s="299">
        <f>1064+BS43</f>
        <v>856</v>
      </c>
      <c r="BT9" s="299">
        <f>1062+BT43</f>
        <v>857</v>
      </c>
      <c r="BU9" s="116">
        <f>SUM(BQ9:BT9)</f>
        <v>3175</v>
      </c>
      <c r="BV9" s="299">
        <f>1193+BV43</f>
        <v>983</v>
      </c>
      <c r="BW9" s="299">
        <f>864+BW43</f>
        <v>653</v>
      </c>
      <c r="BX9" s="299">
        <f>1129+BX43</f>
        <v>918</v>
      </c>
      <c r="BY9" s="299">
        <f>1075+BY43</f>
        <v>860</v>
      </c>
      <c r="BZ9" s="696">
        <f>SUM(BV9:BY9)</f>
        <v>3414</v>
      </c>
      <c r="CA9" s="299">
        <f>957+CA43</f>
        <v>743</v>
      </c>
      <c r="CB9" s="299">
        <f>1126+CB43</f>
        <v>892</v>
      </c>
      <c r="CC9" s="299">
        <f>1032+CC43</f>
        <v>821</v>
      </c>
      <c r="CD9" s="996">
        <f>1256+CD43</f>
        <v>966</v>
      </c>
      <c r="CE9" s="116">
        <f>SUM(CA9:CD9)</f>
        <v>3422</v>
      </c>
      <c r="CF9" s="711">
        <f>REVS!CF196</f>
        <v>684.14090070626048</v>
      </c>
      <c r="CG9" s="711">
        <f>REVS!CG196</f>
        <v>731.26620783747046</v>
      </c>
      <c r="CH9" s="711">
        <f>REVS!CH196</f>
        <v>743.5343055774988</v>
      </c>
      <c r="CI9" s="711">
        <f>REVS!CI196</f>
        <v>775.20921262115803</v>
      </c>
      <c r="CJ9" s="116">
        <f>REVS!CJ196</f>
        <v>2934.1506267423874</v>
      </c>
      <c r="CK9" s="298"/>
      <c r="CL9" s="298"/>
      <c r="CM9" s="298"/>
      <c r="CN9" s="298"/>
      <c r="CO9" s="116">
        <f>REVS!CO196</f>
        <v>3010.2559795491879</v>
      </c>
      <c r="CP9" s="298"/>
      <c r="CQ9" s="298"/>
      <c r="CR9" s="298"/>
      <c r="CS9" s="298"/>
      <c r="CT9" s="116">
        <f>REVS!CT196</f>
        <v>3248.100691631982</v>
      </c>
      <c r="CU9" s="298"/>
      <c r="CV9" s="298"/>
      <c r="CW9" s="298"/>
      <c r="CX9" s="298"/>
      <c r="CY9" s="116">
        <f>REVS!CY196</f>
        <v>3118.0407598732345</v>
      </c>
      <c r="CZ9" s="298"/>
      <c r="DA9" s="298"/>
      <c r="DB9" s="298"/>
      <c r="DC9" s="298"/>
      <c r="DD9" s="116">
        <f>REVS!DD196</f>
        <v>3141.3729635245586</v>
      </c>
      <c r="DE9" s="298"/>
      <c r="DF9" s="298"/>
      <c r="DG9" s="298"/>
      <c r="DH9" s="298"/>
      <c r="DI9" s="116">
        <f>REVS!DI196</f>
        <v>3253.6937536940432</v>
      </c>
      <c r="DJ9" s="298"/>
      <c r="DK9" s="298"/>
      <c r="DL9" s="298"/>
      <c r="DM9" s="298"/>
      <c r="DN9" s="116">
        <f>REVS!DN196</f>
        <v>3364.6070040639661</v>
      </c>
      <c r="DO9" s="298"/>
      <c r="DP9" s="298"/>
      <c r="DQ9" s="298"/>
      <c r="DR9" s="298"/>
      <c r="DS9" s="116">
        <f>REVS!DS196</f>
        <v>2479.5650204321146</v>
      </c>
      <c r="DT9" s="298"/>
      <c r="DU9" s="298"/>
      <c r="DV9" s="298"/>
      <c r="DW9" s="298"/>
      <c r="DX9" s="116">
        <f>REVS!DX196</f>
        <v>2228.8970903364998</v>
      </c>
      <c r="DY9" s="298"/>
      <c r="DZ9" s="298"/>
      <c r="EA9" s="298"/>
      <c r="EB9" s="298"/>
      <c r="EC9" s="116">
        <f>REVS!EC196</f>
        <v>2214.7139978287605</v>
      </c>
      <c r="ED9" s="298"/>
      <c r="EE9" s="298"/>
      <c r="EF9" s="298"/>
      <c r="EG9" s="298"/>
      <c r="EH9" s="116">
        <f>REVS!EH196</f>
        <v>2210.8937249804248</v>
      </c>
      <c r="EI9" s="298"/>
      <c r="EJ9" s="298"/>
      <c r="EK9" s="298"/>
      <c r="EL9" s="298"/>
      <c r="EM9" s="116">
        <f>REVS!EM196</f>
        <v>1827.0277164788702</v>
      </c>
      <c r="EN9" s="298"/>
      <c r="EO9" s="298"/>
      <c r="EP9" s="298"/>
      <c r="EQ9" s="298"/>
      <c r="ER9" s="116">
        <f>REVS!ER196</f>
        <v>1819.4826724052314</v>
      </c>
      <c r="EU9"/>
      <c r="EV9"/>
      <c r="EW9"/>
      <c r="EX9"/>
      <c r="EY9"/>
      <c r="EZ9"/>
    </row>
    <row r="10" spans="2:159" s="116" customFormat="1" ht="12.75" customHeight="1">
      <c r="B10" s="116" t="s">
        <v>101</v>
      </c>
      <c r="C10" s="116">
        <f t="shared" ref="C10:AH10" si="1">+C6-C9</f>
        <v>190.005</v>
      </c>
      <c r="D10" s="298">
        <f t="shared" si="1"/>
        <v>66.373999999999995</v>
      </c>
      <c r="E10" s="298">
        <f t="shared" si="1"/>
        <v>91.644999999999996</v>
      </c>
      <c r="F10" s="298">
        <f t="shared" si="1"/>
        <v>113.57199999999997</v>
      </c>
      <c r="G10" s="298">
        <f t="shared" si="1"/>
        <v>125.47500000000005</v>
      </c>
      <c r="H10" s="116">
        <f t="shared" si="1"/>
        <v>397.06600000000003</v>
      </c>
      <c r="I10" s="298">
        <f t="shared" si="1"/>
        <v>143.733</v>
      </c>
      <c r="J10" s="298">
        <f t="shared" si="1"/>
        <v>206.76400000000001</v>
      </c>
      <c r="K10" s="298">
        <f t="shared" si="1"/>
        <v>174.43600000000001</v>
      </c>
      <c r="L10" s="298">
        <f t="shared" si="1"/>
        <v>230.94399999999999</v>
      </c>
      <c r="M10" s="116">
        <f t="shared" si="1"/>
        <v>755.87700000000018</v>
      </c>
      <c r="N10" s="298">
        <f t="shared" si="1"/>
        <v>274.17799999999994</v>
      </c>
      <c r="O10" s="298">
        <f t="shared" si="1"/>
        <v>277.63</v>
      </c>
      <c r="P10" s="298">
        <f t="shared" si="1"/>
        <v>285.34500000000003</v>
      </c>
      <c r="Q10" s="298">
        <f t="shared" si="1"/>
        <v>320.88100000000003</v>
      </c>
      <c r="R10" s="116">
        <f t="shared" si="1"/>
        <v>1158.0340000000001</v>
      </c>
      <c r="S10" s="298">
        <f t="shared" si="1"/>
        <v>372.99899999999991</v>
      </c>
      <c r="T10" s="298">
        <f t="shared" si="1"/>
        <v>431.99999999999994</v>
      </c>
      <c r="U10" s="298">
        <f t="shared" si="1"/>
        <v>427.95300000000003</v>
      </c>
      <c r="V10" s="298">
        <f t="shared" si="1"/>
        <v>535.12200000000007</v>
      </c>
      <c r="W10" s="116">
        <f t="shared" si="1"/>
        <v>1768.0740000000001</v>
      </c>
      <c r="X10" s="298">
        <f t="shared" si="1"/>
        <v>605.70800000000008</v>
      </c>
      <c r="Y10" s="298">
        <f t="shared" si="1"/>
        <v>609.94499999999994</v>
      </c>
      <c r="Z10" s="298">
        <f t="shared" si="1"/>
        <v>641.46599999999989</v>
      </c>
      <c r="AA10" s="298">
        <f t="shared" si="1"/>
        <v>746.40699999999993</v>
      </c>
      <c r="AB10" s="116">
        <f t="shared" si="1"/>
        <v>2603.5260000000003</v>
      </c>
      <c r="AC10" s="298">
        <f t="shared" si="1"/>
        <v>858.94900000000007</v>
      </c>
      <c r="AD10" s="298">
        <f t="shared" si="1"/>
        <v>867.6400000000001</v>
      </c>
      <c r="AE10" s="298">
        <f t="shared" si="1"/>
        <v>863.48100000000011</v>
      </c>
      <c r="AF10" s="298">
        <f t="shared" si="1"/>
        <v>881.77900000000011</v>
      </c>
      <c r="AG10" s="116">
        <f t="shared" si="1"/>
        <v>3471.8489999999997</v>
      </c>
      <c r="AH10" s="298">
        <f t="shared" si="1"/>
        <v>1019.998</v>
      </c>
      <c r="AI10" s="298">
        <f t="shared" ref="AI10:BN10" si="2">+AI6-AI9</f>
        <v>1015.289</v>
      </c>
      <c r="AJ10" s="298">
        <f t="shared" si="2"/>
        <v>1073.6770000000001</v>
      </c>
      <c r="AK10" s="298">
        <f t="shared" si="2"/>
        <v>1109.8519999999996</v>
      </c>
      <c r="AL10" s="116">
        <f t="shared" si="2"/>
        <v>4218.8159999999989</v>
      </c>
      <c r="AM10" s="298">
        <f t="shared" si="2"/>
        <v>1204.3000000000002</v>
      </c>
      <c r="AN10" s="298">
        <f t="shared" si="2"/>
        <v>1282.6579999999999</v>
      </c>
      <c r="AO10" s="298">
        <f t="shared" si="2"/>
        <v>1413.6570000000006</v>
      </c>
      <c r="AP10" s="298">
        <f t="shared" si="2"/>
        <v>1580.846</v>
      </c>
      <c r="AQ10" s="116">
        <f t="shared" si="2"/>
        <v>5481.4609999999993</v>
      </c>
      <c r="AR10" s="298">
        <f t="shared" si="2"/>
        <v>1668.2380000000001</v>
      </c>
      <c r="AS10" s="298">
        <f t="shared" si="2"/>
        <v>1491.6890000000001</v>
      </c>
      <c r="AT10" s="298">
        <f t="shared" si="2"/>
        <v>1477.7809999999997</v>
      </c>
      <c r="AU10" s="298">
        <f t="shared" si="2"/>
        <v>1518.963</v>
      </c>
      <c r="AV10" s="116">
        <f t="shared" si="2"/>
        <v>6156.6710000000003</v>
      </c>
      <c r="AW10" s="298">
        <f t="shared" si="2"/>
        <v>1472.0340000000003</v>
      </c>
      <c r="AX10" s="298">
        <f t="shared" si="2"/>
        <v>1623.6849999999999</v>
      </c>
      <c r="AY10" s="298">
        <f t="shared" si="2"/>
        <v>1609.3119999999999</v>
      </c>
      <c r="AZ10" s="298">
        <f t="shared" si="2"/>
        <v>1634.0059999999999</v>
      </c>
      <c r="BA10" s="116">
        <f t="shared" si="2"/>
        <v>6339.0370000000003</v>
      </c>
      <c r="BB10" s="298">
        <f t="shared" si="2"/>
        <v>1719.4549999999999</v>
      </c>
      <c r="BC10" s="298">
        <f t="shared" si="2"/>
        <v>1805.7959999999994</v>
      </c>
      <c r="BD10" s="298">
        <f t="shared" si="2"/>
        <v>1864.5399999999997</v>
      </c>
      <c r="BE10" s="298">
        <f t="shared" si="2"/>
        <v>1969.306</v>
      </c>
      <c r="BF10" s="116">
        <f t="shared" si="2"/>
        <v>7301.5610000000015</v>
      </c>
      <c r="BG10" s="298">
        <f t="shared" si="2"/>
        <v>1920.2920000000004</v>
      </c>
      <c r="BH10" s="298">
        <f t="shared" si="2"/>
        <v>2106.6270000000004</v>
      </c>
      <c r="BI10" s="298">
        <f t="shared" si="2"/>
        <v>2124.0530000000003</v>
      </c>
      <c r="BJ10" s="298">
        <f t="shared" si="2"/>
        <v>2342.3420000000001</v>
      </c>
      <c r="BK10" s="116">
        <f t="shared" si="2"/>
        <v>8493.3140000000003</v>
      </c>
      <c r="BL10" s="298">
        <f t="shared" si="2"/>
        <v>4387.6230000000014</v>
      </c>
      <c r="BM10" s="298">
        <f t="shared" si="2"/>
        <v>5812.0290000000014</v>
      </c>
      <c r="BN10" s="298">
        <f t="shared" si="2"/>
        <v>5258.7420000000002</v>
      </c>
      <c r="BO10" s="298">
        <f t="shared" ref="BO10:CI10" si="3">+BO6-BO9</f>
        <v>6466.8721077385035</v>
      </c>
      <c r="BP10" s="116">
        <f t="shared" si="3"/>
        <v>21925.666107738503</v>
      </c>
      <c r="BQ10" s="298">
        <f t="shared" si="3"/>
        <v>6920</v>
      </c>
      <c r="BR10" s="298">
        <f t="shared" si="3"/>
        <v>7456</v>
      </c>
      <c r="BS10" s="298">
        <f t="shared" si="3"/>
        <v>7439</v>
      </c>
      <c r="BT10" s="298">
        <f t="shared" si="3"/>
        <v>7649</v>
      </c>
      <c r="BU10" s="116">
        <f t="shared" si="3"/>
        <v>29464</v>
      </c>
      <c r="BV10" s="298">
        <f t="shared" si="3"/>
        <v>6811</v>
      </c>
      <c r="BW10" s="298">
        <f t="shared" si="3"/>
        <v>7123</v>
      </c>
      <c r="BX10" s="298">
        <f t="shared" si="3"/>
        <v>6582</v>
      </c>
      <c r="BY10" s="298">
        <f t="shared" si="3"/>
        <v>6460</v>
      </c>
      <c r="BZ10" s="116">
        <f t="shared" si="3"/>
        <v>26976</v>
      </c>
      <c r="CA10" s="711">
        <f t="shared" si="3"/>
        <v>5762</v>
      </c>
      <c r="CB10" s="711">
        <f t="shared" si="3"/>
        <v>6249</v>
      </c>
      <c r="CC10" s="711">
        <f t="shared" si="3"/>
        <v>5691</v>
      </c>
      <c r="CD10" s="711">
        <f t="shared" si="3"/>
        <v>4983</v>
      </c>
      <c r="CE10" s="116">
        <f t="shared" si="3"/>
        <v>22685</v>
      </c>
      <c r="CF10" s="711">
        <f t="shared" si="3"/>
        <v>4436.3733523457449</v>
      </c>
      <c r="CG10" s="711">
        <f t="shared" si="3"/>
        <v>4500.3846468788906</v>
      </c>
      <c r="CH10" s="711">
        <f t="shared" si="3"/>
        <v>4548.8470433045895</v>
      </c>
      <c r="CI10" s="711">
        <f t="shared" si="3"/>
        <v>4619.3283815292971</v>
      </c>
      <c r="CJ10" s="116">
        <f>+CJ6-CJ9</f>
        <v>18104.933424058523</v>
      </c>
      <c r="CK10" s="298"/>
      <c r="CL10" s="298"/>
      <c r="CM10" s="298"/>
      <c r="CN10" s="298"/>
      <c r="CO10" s="116">
        <f>+CO6-CO9</f>
        <v>18330.777900231074</v>
      </c>
      <c r="CP10" s="298"/>
      <c r="CQ10" s="298"/>
      <c r="CR10" s="298"/>
      <c r="CS10" s="298"/>
      <c r="CT10" s="116">
        <f>+CT6-CT9</f>
        <v>19450.56486442182</v>
      </c>
      <c r="CU10" s="298"/>
      <c r="CV10" s="298"/>
      <c r="CW10" s="298"/>
      <c r="CX10" s="298"/>
      <c r="CY10" s="116">
        <f>+CY6-CY9</f>
        <v>18349.682836996428</v>
      </c>
      <c r="CZ10" s="298"/>
      <c r="DA10" s="298"/>
      <c r="DB10" s="298"/>
      <c r="DC10" s="298"/>
      <c r="DD10" s="116">
        <f>+DD6-DD9</f>
        <v>19039.278517865809</v>
      </c>
      <c r="DE10" s="298"/>
      <c r="DF10" s="298"/>
      <c r="DG10" s="298"/>
      <c r="DH10" s="298"/>
      <c r="DI10" s="116">
        <f>+DI6-DI9</f>
        <v>19775.190290884781</v>
      </c>
      <c r="DJ10" s="298"/>
      <c r="DK10" s="298"/>
      <c r="DL10" s="298"/>
      <c r="DM10" s="298"/>
      <c r="DN10" s="116">
        <f>+DN6-DN9</f>
        <v>20546.345738885058</v>
      </c>
      <c r="DO10" s="298"/>
      <c r="DP10" s="298"/>
      <c r="DQ10" s="298"/>
      <c r="DR10" s="298"/>
      <c r="DS10" s="116">
        <f>+DS6-DS9</f>
        <v>16051.4308902386</v>
      </c>
      <c r="DT10" s="298"/>
      <c r="DU10" s="298"/>
      <c r="DV10" s="298"/>
      <c r="DW10" s="298"/>
      <c r="DX10" s="116">
        <f>+DX6-DX9</f>
        <v>14673.695283685007</v>
      </c>
      <c r="DY10" s="298"/>
      <c r="DZ10" s="298"/>
      <c r="EA10" s="298"/>
      <c r="EB10" s="298"/>
      <c r="EC10" s="116">
        <f>+EC6-EC9</f>
        <v>14541.790193941604</v>
      </c>
      <c r="ED10" s="298"/>
      <c r="EE10" s="298"/>
      <c r="EF10" s="298"/>
      <c r="EG10" s="298"/>
      <c r="EH10" s="116">
        <f>+EH6-EH9</f>
        <v>14488.289179909301</v>
      </c>
      <c r="EI10" s="298"/>
      <c r="EJ10" s="298"/>
      <c r="EK10" s="298"/>
      <c r="EL10" s="298"/>
      <c r="EM10" s="116">
        <f>+EM6-EM9</f>
        <v>12219.00009094312</v>
      </c>
      <c r="EN10" s="298"/>
      <c r="EO10" s="298"/>
      <c r="EP10" s="298"/>
      <c r="EQ10" s="298"/>
      <c r="ER10" s="116">
        <f>+ER6-ER9</f>
        <v>11656.140696162471</v>
      </c>
      <c r="EU10"/>
      <c r="EV10"/>
      <c r="EW10"/>
      <c r="EX10"/>
      <c r="EY10"/>
      <c r="EZ10"/>
    </row>
    <row r="11" spans="2:159" ht="12.75" customHeight="1">
      <c r="C11" s="13"/>
      <c r="D11" s="295"/>
      <c r="E11" s="295"/>
      <c r="F11" s="295"/>
      <c r="G11" s="295"/>
      <c r="H11" s="13"/>
      <c r="I11" s="295"/>
      <c r="J11" s="295"/>
      <c r="K11" s="295"/>
      <c r="L11" s="295"/>
      <c r="M11" s="13"/>
      <c r="N11" s="295"/>
      <c r="O11" s="295"/>
      <c r="P11" s="295"/>
      <c r="Q11" s="295"/>
      <c r="R11" s="13"/>
      <c r="S11" s="295"/>
      <c r="T11" s="295"/>
      <c r="U11" s="295"/>
      <c r="V11" s="295"/>
      <c r="W11" s="13"/>
      <c r="X11" s="295"/>
      <c r="Y11" s="295"/>
      <c r="Z11" s="295"/>
      <c r="AA11" s="295"/>
      <c r="AB11" s="13"/>
      <c r="AC11" s="295"/>
      <c r="AD11" s="295"/>
      <c r="AE11" s="295"/>
      <c r="AF11" s="295"/>
      <c r="AG11" s="13"/>
      <c r="AH11" s="295"/>
      <c r="AI11" s="295"/>
      <c r="AJ11" s="295"/>
      <c r="AK11" s="295"/>
      <c r="AL11" s="13"/>
      <c r="AM11" s="295"/>
      <c r="AN11" s="295"/>
      <c r="AO11" s="295"/>
      <c r="AP11" s="295"/>
      <c r="AQ11" s="13"/>
      <c r="AR11" s="295"/>
      <c r="AS11" s="295"/>
      <c r="AT11" s="295"/>
      <c r="AU11" s="295"/>
      <c r="AV11" s="13"/>
      <c r="AW11" s="295"/>
      <c r="AX11" s="295"/>
      <c r="AY11" s="295"/>
      <c r="AZ11" s="295"/>
      <c r="BA11" s="13"/>
      <c r="BB11" s="295"/>
      <c r="BC11" s="295"/>
      <c r="BD11" s="295"/>
      <c r="BE11" s="295"/>
      <c r="BF11" s="13"/>
      <c r="BG11" s="295"/>
      <c r="BH11" s="358">
        <f>BH12/BG12-1</f>
        <v>6.0427065759952825E-2</v>
      </c>
      <c r="BI11" s="358">
        <f>BI12/BH12-1</f>
        <v>1.5663087801447428E-3</v>
      </c>
      <c r="BJ11" s="358">
        <f>BJ12/BI12-1</f>
        <v>4.6772493270696991E-2</v>
      </c>
      <c r="BK11" s="13"/>
      <c r="BL11" s="358"/>
      <c r="BM11" s="358"/>
      <c r="BN11" s="358"/>
      <c r="BO11" s="358"/>
      <c r="BP11" s="13"/>
      <c r="BQ11" s="299"/>
      <c r="BR11" s="299"/>
      <c r="BS11" s="299"/>
      <c r="BT11" s="299"/>
      <c r="BU11" s="13"/>
      <c r="BV11" s="295"/>
      <c r="BW11" s="295"/>
      <c r="BX11" s="295"/>
      <c r="BY11" s="295"/>
      <c r="BZ11" s="13"/>
      <c r="CA11" s="295"/>
      <c r="CB11" s="295"/>
      <c r="CC11" s="295"/>
      <c r="CD11" s="295"/>
      <c r="CE11" s="13"/>
      <c r="CF11" s="295"/>
      <c r="CG11" s="295"/>
      <c r="CH11" s="295"/>
      <c r="CI11" s="295"/>
      <c r="CJ11" s="13"/>
      <c r="CK11" s="295"/>
      <c r="CL11" s="295"/>
      <c r="CM11" s="295"/>
      <c r="CN11" s="295"/>
      <c r="CO11" s="13"/>
      <c r="CP11" s="295"/>
      <c r="CQ11" s="295"/>
      <c r="CR11" s="295"/>
      <c r="CS11" s="295"/>
      <c r="CT11" s="13"/>
      <c r="CU11" s="295"/>
      <c r="CV11" s="295"/>
      <c r="CW11" s="295"/>
      <c r="CX11" s="295"/>
      <c r="CY11" s="13"/>
      <c r="CZ11" s="295"/>
      <c r="DA11" s="295"/>
      <c r="DB11" s="295"/>
      <c r="DC11" s="295"/>
      <c r="DD11" s="13"/>
      <c r="DE11" s="295"/>
      <c r="DF11" s="295"/>
      <c r="DG11" s="295"/>
      <c r="DH11" s="295"/>
      <c r="DI11" s="13"/>
      <c r="DJ11" s="295"/>
      <c r="DK11" s="295"/>
      <c r="DL11" s="295"/>
      <c r="DM11" s="295"/>
      <c r="DN11" s="13"/>
      <c r="DO11" s="295"/>
      <c r="DP11" s="295"/>
      <c r="DQ11" s="295"/>
      <c r="DR11" s="295"/>
      <c r="DS11" s="13"/>
      <c r="DT11" s="295"/>
      <c r="DU11" s="295"/>
      <c r="DV11" s="295"/>
      <c r="DW11" s="295"/>
      <c r="DX11" s="13"/>
      <c r="DY11" s="295"/>
      <c r="DZ11" s="295"/>
      <c r="EA11" s="295"/>
      <c r="EB11" s="295"/>
      <c r="EC11" s="13"/>
      <c r="ED11" s="295"/>
      <c r="EE11" s="295"/>
      <c r="EF11" s="295"/>
      <c r="EG11" s="295"/>
      <c r="EH11" s="13"/>
      <c r="EI11" s="295"/>
      <c r="EJ11" s="295"/>
      <c r="EK11" s="295"/>
      <c r="EL11" s="295"/>
      <c r="EM11" s="13"/>
      <c r="EN11" s="295"/>
      <c r="EO11" s="295"/>
      <c r="EP11" s="295"/>
      <c r="EQ11" s="295"/>
      <c r="ER11" s="13"/>
    </row>
    <row r="12" spans="2:159" s="116" customFormat="1" ht="12.75" customHeight="1" thickBot="1">
      <c r="B12" s="231" t="s">
        <v>102</v>
      </c>
      <c r="C12" s="116">
        <v>185.553</v>
      </c>
      <c r="D12" s="298">
        <v>33.554000000000002</v>
      </c>
      <c r="E12" s="298">
        <v>30.850999999999999</v>
      </c>
      <c r="F12" s="298">
        <v>35.338000000000001</v>
      </c>
      <c r="G12" s="298">
        <v>35.015000000000001</v>
      </c>
      <c r="H12" s="116">
        <f>D12+E12+F12+G12</f>
        <v>134.75799999999998</v>
      </c>
      <c r="I12" s="298">
        <v>41.14</v>
      </c>
      <c r="J12" s="298">
        <v>43.317999999999998</v>
      </c>
      <c r="K12" s="298">
        <f>35.98+13.25</f>
        <v>49.23</v>
      </c>
      <c r="L12" s="298">
        <v>58.902999999999999</v>
      </c>
      <c r="M12" s="116">
        <f>I12+J12+K12+L12</f>
        <v>192.59099999999998</v>
      </c>
      <c r="N12" s="298">
        <v>58.545000000000002</v>
      </c>
      <c r="O12" s="298">
        <f>45.643</f>
        <v>45.643000000000001</v>
      </c>
      <c r="P12" s="298">
        <f>49.204</f>
        <v>49.204000000000001</v>
      </c>
      <c r="Q12" s="298">
        <v>70.16</v>
      </c>
      <c r="R12" s="116">
        <f>N12+O12+P12+Q12</f>
        <v>223.55199999999999</v>
      </c>
      <c r="S12" s="298">
        <v>70.433999999999997</v>
      </c>
      <c r="T12" s="298">
        <v>59.697000000000003</v>
      </c>
      <c r="U12" s="298">
        <v>78.83</v>
      </c>
      <c r="V12" s="298">
        <v>68.763000000000005</v>
      </c>
      <c r="W12" s="116">
        <f>S12+T12+U12+V12</f>
        <v>277.72400000000005</v>
      </c>
      <c r="X12" s="298">
        <f>88.4-11.949</f>
        <v>76.451000000000008</v>
      </c>
      <c r="Y12" s="298">
        <f>90.536-12.892</f>
        <v>77.644000000000005</v>
      </c>
      <c r="Z12" s="298">
        <f>93.305-13.267</f>
        <v>80.038000000000011</v>
      </c>
      <c r="AA12" s="298">
        <f>111.62-14.055</f>
        <v>97.564999999999998</v>
      </c>
      <c r="AB12" s="116">
        <f>X12+Y12+Z12+AA12</f>
        <v>331.69800000000004</v>
      </c>
      <c r="AC12" s="298">
        <f>130.09-21.108</f>
        <v>108.982</v>
      </c>
      <c r="AD12" s="298">
        <f>135.931-16.661</f>
        <v>119.27000000000001</v>
      </c>
      <c r="AE12" s="298">
        <f>140.357-18.36</f>
        <v>121.997</v>
      </c>
      <c r="AF12" s="298">
        <f>184.648-15.953</f>
        <v>168.69499999999999</v>
      </c>
      <c r="AG12" s="116">
        <f>AC12+AD12+AE12+AF12</f>
        <v>518.94399999999996</v>
      </c>
      <c r="AH12" s="298">
        <f>155.301-16.895</f>
        <v>138.40599999999998</v>
      </c>
      <c r="AI12" s="298">
        <f>176.542-15.37</f>
        <v>161.172</v>
      </c>
      <c r="AJ12" s="298">
        <f>188.062-17.68</f>
        <v>170.38200000000001</v>
      </c>
      <c r="AK12" s="298">
        <f>201.863-16.578</f>
        <v>185.285</v>
      </c>
      <c r="AL12" s="116">
        <f>AH12+AI12+AJ12+AK12</f>
        <v>655.245</v>
      </c>
      <c r="AM12" s="298">
        <f>188.779-16.955</f>
        <v>171.82400000000001</v>
      </c>
      <c r="AN12" s="298">
        <f>241.638-11.251-24.321</f>
        <v>206.066</v>
      </c>
      <c r="AO12" s="298">
        <f>269.856-5.78-21.916</f>
        <v>242.16000000000003</v>
      </c>
      <c r="AP12" s="298">
        <f>239.645-8.687-19.701</f>
        <v>211.25700000000001</v>
      </c>
      <c r="AQ12" s="116">
        <f>AM12+AN12+AO12+AP12</f>
        <v>831.30700000000002</v>
      </c>
      <c r="AR12" s="298">
        <f>218.664-2.1-20.069</f>
        <v>196.495</v>
      </c>
      <c r="AS12" s="298">
        <f>231.066-2.13-21.521</f>
        <v>207.41500000000002</v>
      </c>
      <c r="AT12" s="298">
        <f>230.44-6.315-20.946</f>
        <v>203.179</v>
      </c>
      <c r="AU12" s="298">
        <f>392.76-136-3.493-21.512</f>
        <v>231.755</v>
      </c>
      <c r="AV12" s="116">
        <f>AR12+AS12+AT12+AU12</f>
        <v>838.84400000000005</v>
      </c>
      <c r="AW12" s="298">
        <f>254.446-0.446+0.213-16.72</f>
        <v>237.49299999999999</v>
      </c>
      <c r="AX12" s="298">
        <f>282.403+0.418-0.767-19.42</f>
        <v>262.63400000000001</v>
      </c>
      <c r="AY12" s="298">
        <f>290.066-1.616-0.806-18.389</f>
        <v>269.255</v>
      </c>
      <c r="AZ12" s="298">
        <f>402.236-26.63-7.286-0.078-18.961</f>
        <v>349.28100000000001</v>
      </c>
      <c r="BA12" s="116">
        <f>SUM(AW12:AZ12)</f>
        <v>1118.663</v>
      </c>
      <c r="BB12" s="298">
        <f>458.211-126.873</f>
        <v>331.33800000000002</v>
      </c>
      <c r="BC12" s="298">
        <f>396.244-20.355-1.576-0.345-2.57</f>
        <v>371.39799999999997</v>
      </c>
      <c r="BD12" s="298">
        <f>465.831-23.236-0.232-58.81</f>
        <v>383.553</v>
      </c>
      <c r="BE12" s="298">
        <f>439.659-24.886-0.089-5.353</f>
        <v>409.33099999999996</v>
      </c>
      <c r="BF12" s="116">
        <f>SUM(BB12:BE12)</f>
        <v>1495.62</v>
      </c>
      <c r="BG12" s="298">
        <v>459.976</v>
      </c>
      <c r="BH12" s="298">
        <f>523.902-24.646-0.067-11.418</f>
        <v>487.77100000000002</v>
      </c>
      <c r="BI12" s="298">
        <f>546.244+BI48</f>
        <v>488.53500000000003</v>
      </c>
      <c r="BJ12" s="298">
        <f>551.978+BJ48</f>
        <v>511.38499999999993</v>
      </c>
      <c r="BK12" s="116">
        <f>SUM(BG12:BJ12)</f>
        <v>1947.6670000000001</v>
      </c>
      <c r="BL12" s="299">
        <f>594.978+BL48</f>
        <v>557.80499999999995</v>
      </c>
      <c r="BM12" s="299">
        <f>583.924+BM48</f>
        <v>541.97399999999993</v>
      </c>
      <c r="BN12" s="299">
        <f>630.466+BN48</f>
        <v>586.32500000000005</v>
      </c>
      <c r="BO12" s="299">
        <f>1045+BO48</f>
        <v>899</v>
      </c>
      <c r="BP12" s="116">
        <f>SUM(BL12:BO12)</f>
        <v>2585.1040000000003</v>
      </c>
      <c r="BQ12" s="299">
        <f>696+BQ48</f>
        <v>651</v>
      </c>
      <c r="BR12" s="299">
        <f>818+BR48</f>
        <v>702</v>
      </c>
      <c r="BS12" s="299">
        <f>743+BS48</f>
        <v>713</v>
      </c>
      <c r="BT12" s="299">
        <f>757+BT48</f>
        <v>779</v>
      </c>
      <c r="BU12" s="385">
        <f>SUM(BQ12:BT12)</f>
        <v>2845</v>
      </c>
      <c r="BV12" s="299">
        <f>1265+BV48</f>
        <v>769</v>
      </c>
      <c r="BW12" s="299">
        <f>1484+BW48</f>
        <v>1040</v>
      </c>
      <c r="BX12" s="299">
        <f>1141+BX48</f>
        <v>981</v>
      </c>
      <c r="BY12" s="299">
        <f>1208+BY48</f>
        <v>959</v>
      </c>
      <c r="BZ12" s="385">
        <f>SUM(BV12:BY12)</f>
        <v>3749</v>
      </c>
      <c r="CA12" s="299">
        <f>931+CA48</f>
        <v>889</v>
      </c>
      <c r="CB12" s="299">
        <f>864+CB48</f>
        <v>812</v>
      </c>
      <c r="CC12" s="299">
        <f>789+CC48</f>
        <v>745</v>
      </c>
      <c r="CD12" s="996">
        <f>1150+CD48</f>
        <v>845</v>
      </c>
      <c r="CE12" s="116">
        <f>SUM(CA12:CD12)</f>
        <v>3291</v>
      </c>
      <c r="CF12" s="711">
        <f t="shared" ref="CF12:CX12" si="4">CA12*1.07</f>
        <v>951.23</v>
      </c>
      <c r="CG12" s="711">
        <v>800</v>
      </c>
      <c r="CH12" s="711">
        <f t="shared" si="4"/>
        <v>797.15000000000009</v>
      </c>
      <c r="CI12" s="711">
        <f>CJ12-SUM(CF12:CH12)</f>
        <v>951.61999999999989</v>
      </c>
      <c r="CJ12" s="116">
        <v>3500</v>
      </c>
      <c r="CK12" s="116">
        <f t="shared" si="4"/>
        <v>1017.8161000000001</v>
      </c>
      <c r="CL12" s="116">
        <f t="shared" si="4"/>
        <v>856</v>
      </c>
      <c r="CM12" s="116">
        <f t="shared" si="4"/>
        <v>852.95050000000015</v>
      </c>
      <c r="CN12" s="116">
        <f t="shared" si="4"/>
        <v>1018.2334</v>
      </c>
      <c r="CO12" s="116">
        <f>CJ12</f>
        <v>3500</v>
      </c>
      <c r="CP12" s="116">
        <f t="shared" si="4"/>
        <v>1089.0632270000001</v>
      </c>
      <c r="CQ12" s="116">
        <f t="shared" si="4"/>
        <v>915.92000000000007</v>
      </c>
      <c r="CR12" s="116">
        <f t="shared" si="4"/>
        <v>912.65703500000018</v>
      </c>
      <c r="CS12" s="116">
        <f t="shared" si="4"/>
        <v>1089.509738</v>
      </c>
      <c r="CT12" s="116">
        <f>CO12</f>
        <v>3500</v>
      </c>
      <c r="CU12" s="116">
        <f t="shared" si="4"/>
        <v>1165.2976528900001</v>
      </c>
      <c r="CV12" s="116">
        <f t="shared" si="4"/>
        <v>980.03440000000012</v>
      </c>
      <c r="CW12" s="116">
        <f t="shared" si="4"/>
        <v>976.5430274500003</v>
      </c>
      <c r="CX12" s="116">
        <f t="shared" si="4"/>
        <v>1165.7754196600001</v>
      </c>
      <c r="CY12" s="116">
        <f>CT12*1.025</f>
        <v>3587.4999999999995</v>
      </c>
      <c r="CZ12" s="116">
        <f t="shared" ref="CZ12:EB12" si="5">CU12</f>
        <v>1165.2976528900001</v>
      </c>
      <c r="DA12" s="116">
        <f t="shared" si="5"/>
        <v>980.03440000000012</v>
      </c>
      <c r="DB12" s="116">
        <f t="shared" si="5"/>
        <v>976.5430274500003</v>
      </c>
      <c r="DC12" s="116">
        <f t="shared" si="5"/>
        <v>1165.7754196600001</v>
      </c>
      <c r="DD12" s="116">
        <f>CY12*1.025</f>
        <v>3677.1874999999991</v>
      </c>
      <c r="DE12" s="116">
        <f t="shared" si="5"/>
        <v>1165.2976528900001</v>
      </c>
      <c r="DF12" s="116">
        <f t="shared" si="5"/>
        <v>980.03440000000012</v>
      </c>
      <c r="DG12" s="116">
        <f t="shared" si="5"/>
        <v>976.5430274500003</v>
      </c>
      <c r="DH12" s="116">
        <f t="shared" si="5"/>
        <v>1165.7754196600001</v>
      </c>
      <c r="DI12" s="116">
        <f>DD12</f>
        <v>3677.1874999999991</v>
      </c>
      <c r="DJ12" s="116">
        <f t="shared" si="5"/>
        <v>1165.2976528900001</v>
      </c>
      <c r="DK12" s="116">
        <f t="shared" si="5"/>
        <v>980.03440000000012</v>
      </c>
      <c r="DL12" s="116">
        <f t="shared" si="5"/>
        <v>976.5430274500003</v>
      </c>
      <c r="DM12" s="116">
        <f t="shared" si="5"/>
        <v>1165.7754196600001</v>
      </c>
      <c r="DN12" s="116">
        <f>DI12</f>
        <v>3677.1874999999991</v>
      </c>
      <c r="DO12" s="116">
        <f t="shared" si="5"/>
        <v>1165.2976528900001</v>
      </c>
      <c r="DP12" s="116">
        <f t="shared" si="5"/>
        <v>980.03440000000012</v>
      </c>
      <c r="DQ12" s="116">
        <f t="shared" si="5"/>
        <v>976.5430274500003</v>
      </c>
      <c r="DR12" s="116">
        <f t="shared" si="5"/>
        <v>1165.7754196600001</v>
      </c>
      <c r="DS12" s="696">
        <f>DN12</f>
        <v>3677.1874999999991</v>
      </c>
      <c r="DT12" s="116">
        <f t="shared" si="5"/>
        <v>1165.2976528900001</v>
      </c>
      <c r="DU12" s="116">
        <f t="shared" si="5"/>
        <v>980.03440000000012</v>
      </c>
      <c r="DV12" s="116">
        <f t="shared" si="5"/>
        <v>976.5430274500003</v>
      </c>
      <c r="DW12" s="116">
        <f t="shared" si="5"/>
        <v>1165.7754196600001</v>
      </c>
      <c r="DX12" s="696">
        <f>DS12</f>
        <v>3677.1874999999991</v>
      </c>
      <c r="DY12" s="116">
        <f t="shared" si="5"/>
        <v>1165.2976528900001</v>
      </c>
      <c r="DZ12" s="116">
        <f t="shared" si="5"/>
        <v>980.03440000000012</v>
      </c>
      <c r="EA12" s="116">
        <f t="shared" si="5"/>
        <v>976.5430274500003</v>
      </c>
      <c r="EB12" s="116">
        <f t="shared" si="5"/>
        <v>1165.7754196600001</v>
      </c>
      <c r="EC12" s="696">
        <f>DX12</f>
        <v>3677.1874999999991</v>
      </c>
      <c r="ED12" s="298"/>
      <c r="EE12" s="298"/>
      <c r="EF12" s="298"/>
      <c r="EG12" s="298"/>
      <c r="EH12" s="116">
        <f>EC12*0.75</f>
        <v>2757.8906249999991</v>
      </c>
      <c r="EI12" s="298"/>
      <c r="EJ12" s="298"/>
      <c r="EK12" s="298"/>
      <c r="EL12" s="298"/>
      <c r="EM12" s="116">
        <f>EH12*0.25</f>
        <v>689.47265624999977</v>
      </c>
      <c r="EN12" s="298"/>
      <c r="EO12" s="298"/>
      <c r="EP12" s="298"/>
      <c r="EQ12" s="298"/>
      <c r="ER12" s="116">
        <f>EM12*0.5</f>
        <v>344.73632812499989</v>
      </c>
      <c r="EU12"/>
      <c r="EV12"/>
      <c r="EW12"/>
      <c r="EX12"/>
      <c r="EY12"/>
      <c r="EZ12"/>
    </row>
    <row r="13" spans="2:159" s="116" customFormat="1" ht="12.75" customHeight="1" thickBot="1">
      <c r="B13" s="231"/>
      <c r="D13" s="298"/>
      <c r="E13" s="298"/>
      <c r="F13" s="298"/>
      <c r="G13" s="298"/>
      <c r="I13" s="298"/>
      <c r="J13" s="298"/>
      <c r="K13" s="298"/>
      <c r="L13" s="298"/>
      <c r="N13" s="298"/>
      <c r="O13" s="298"/>
      <c r="P13" s="298"/>
      <c r="Q13" s="298"/>
      <c r="S13" s="298"/>
      <c r="T13" s="298"/>
      <c r="U13" s="298"/>
      <c r="V13" s="298"/>
      <c r="X13" s="298"/>
      <c r="Y13" s="298"/>
      <c r="Z13" s="298"/>
      <c r="AA13" s="298"/>
      <c r="AC13" s="298"/>
      <c r="AD13" s="298"/>
      <c r="AE13" s="298"/>
      <c r="AF13" s="298"/>
      <c r="AH13" s="298"/>
      <c r="AI13" s="298"/>
      <c r="AJ13" s="298"/>
      <c r="AK13" s="298"/>
      <c r="AM13" s="298"/>
      <c r="AN13" s="298"/>
      <c r="AO13" s="298"/>
      <c r="AP13" s="298"/>
      <c r="AR13" s="298"/>
      <c r="AS13" s="298"/>
      <c r="AT13" s="298"/>
      <c r="AU13" s="298"/>
      <c r="AW13" s="298"/>
      <c r="AX13" s="298"/>
      <c r="AY13" s="298"/>
      <c r="AZ13" s="298"/>
      <c r="BB13" s="298"/>
      <c r="BC13" s="298"/>
      <c r="BD13" s="298"/>
      <c r="BE13" s="298"/>
      <c r="BG13" s="298"/>
      <c r="BH13" s="298"/>
      <c r="BI13" s="298"/>
      <c r="BJ13" s="298"/>
      <c r="BL13" s="298"/>
      <c r="BM13" s="298"/>
      <c r="BN13" s="298"/>
      <c r="BO13" s="298"/>
      <c r="BP13" s="278"/>
      <c r="BQ13" s="309"/>
      <c r="BR13" s="298"/>
      <c r="BS13" s="298"/>
      <c r="BT13" s="298"/>
      <c r="BU13" s="278"/>
      <c r="BV13" s="298"/>
      <c r="BW13" s="298"/>
      <c r="BX13" s="711"/>
      <c r="BY13" s="711"/>
      <c r="BZ13" s="13"/>
      <c r="CA13" s="711"/>
      <c r="CB13" s="711"/>
      <c r="CC13" s="711"/>
      <c r="CD13" s="711"/>
      <c r="CE13" s="692"/>
      <c r="CF13" s="711"/>
      <c r="CG13" s="711"/>
      <c r="CH13" s="361" t="s">
        <v>677</v>
      </c>
      <c r="CI13" s="362"/>
      <c r="CJ13" s="363" t="s">
        <v>1107</v>
      </c>
      <c r="CK13" s="298"/>
      <c r="CL13" s="298"/>
      <c r="CM13" s="298"/>
      <c r="CN13" s="298"/>
      <c r="CP13" s="298"/>
      <c r="CQ13" s="298"/>
      <c r="CR13" s="298"/>
      <c r="CS13" s="298"/>
      <c r="CU13" s="298"/>
      <c r="CV13" s="298"/>
      <c r="CW13" s="298"/>
      <c r="CX13" s="298"/>
      <c r="CZ13" s="298"/>
      <c r="DA13" s="298"/>
      <c r="DB13" s="298"/>
      <c r="DC13" s="298"/>
      <c r="DE13" s="298"/>
      <c r="DF13" s="298"/>
      <c r="DG13" s="298"/>
      <c r="DH13" s="298"/>
      <c r="DJ13" s="298"/>
      <c r="DK13" s="298"/>
      <c r="DL13" s="298"/>
      <c r="DM13" s="298"/>
      <c r="DO13" s="298"/>
      <c r="DP13" s="298"/>
      <c r="DQ13" s="298"/>
      <c r="DR13" s="298"/>
      <c r="DT13" s="298"/>
      <c r="DU13" s="298"/>
      <c r="DV13" s="298"/>
      <c r="DW13" s="298"/>
      <c r="DY13" s="298"/>
      <c r="DZ13" s="298"/>
      <c r="EA13" s="298"/>
      <c r="EB13" s="298"/>
      <c r="ED13" s="298"/>
      <c r="EE13" s="298"/>
      <c r="EF13" s="298"/>
      <c r="EG13" s="298"/>
      <c r="EI13" s="298"/>
      <c r="EJ13" s="298"/>
      <c r="EK13" s="298"/>
      <c r="EL13" s="298"/>
      <c r="EN13" s="298"/>
      <c r="EO13" s="298"/>
      <c r="EP13" s="298"/>
      <c r="EQ13" s="298"/>
      <c r="EU13"/>
      <c r="EV13"/>
      <c r="EW13"/>
      <c r="EX13"/>
      <c r="EY13"/>
      <c r="EZ13"/>
    </row>
    <row r="14" spans="2:159" ht="12.75" hidden="1" customHeight="1" outlineLevel="1">
      <c r="B14" s="22" t="s">
        <v>515</v>
      </c>
      <c r="C14" s="12"/>
      <c r="D14" s="300"/>
      <c r="E14" s="300"/>
      <c r="F14" s="300"/>
      <c r="G14" s="300"/>
      <c r="H14" s="12"/>
      <c r="I14" s="300"/>
      <c r="J14" s="300"/>
      <c r="K14" s="300"/>
      <c r="L14" s="300"/>
      <c r="M14" s="12"/>
      <c r="N14" s="300"/>
      <c r="O14" s="300"/>
      <c r="P14" s="300"/>
      <c r="Q14" s="300"/>
      <c r="R14" s="12"/>
      <c r="S14" s="300"/>
      <c r="T14" s="300"/>
      <c r="U14" s="300"/>
      <c r="V14" s="300"/>
      <c r="W14" s="12"/>
      <c r="X14" s="300"/>
      <c r="Y14" s="300"/>
      <c r="Z14" s="300"/>
      <c r="AA14" s="300"/>
      <c r="AB14" s="12"/>
      <c r="AC14" s="300"/>
      <c r="AD14" s="300"/>
      <c r="AE14" s="300"/>
      <c r="AF14" s="300"/>
      <c r="AG14" s="12"/>
      <c r="AH14" s="300"/>
      <c r="AI14" s="300"/>
      <c r="AJ14" s="300"/>
      <c r="AK14" s="300"/>
      <c r="AL14" s="12"/>
      <c r="AM14" s="300"/>
      <c r="AN14" s="300"/>
      <c r="AO14" s="300"/>
      <c r="AP14" s="300"/>
      <c r="AQ14" s="12"/>
      <c r="AR14" s="300"/>
      <c r="AS14" s="300"/>
      <c r="AT14" s="300"/>
      <c r="AU14" s="300"/>
      <c r="AV14" s="12">
        <f>375.228*AV12/1072.93</f>
        <v>293.36280692309845</v>
      </c>
      <c r="AW14" s="300"/>
      <c r="AX14" s="300"/>
      <c r="AY14" s="300"/>
      <c r="AZ14" s="300"/>
      <c r="BA14" s="12">
        <f>570.302*BA12/1229.151</f>
        <v>519.0377311054541</v>
      </c>
      <c r="BB14" s="300"/>
      <c r="BC14" s="300"/>
      <c r="BD14" s="300"/>
      <c r="BE14" s="300"/>
      <c r="BF14" s="12">
        <f>828.278*BF12/1759.945</f>
        <v>703.87946348323385</v>
      </c>
      <c r="BG14" s="300"/>
      <c r="BH14" s="300"/>
      <c r="BI14" s="300"/>
      <c r="BJ14" s="300"/>
      <c r="BK14" s="12"/>
      <c r="BL14" s="300"/>
      <c r="BM14" s="300"/>
      <c r="BN14" s="300"/>
      <c r="BO14" s="300"/>
      <c r="BP14" s="12"/>
      <c r="BQ14" s="300"/>
      <c r="BR14" s="300"/>
      <c r="BS14" s="300"/>
      <c r="BT14" s="300"/>
      <c r="BU14" s="12"/>
      <c r="BV14" s="300"/>
      <c r="BW14" s="300"/>
      <c r="BX14" s="300"/>
      <c r="BY14" s="300"/>
      <c r="BZ14" s="12"/>
      <c r="CA14" s="711"/>
      <c r="CB14" s="711"/>
      <c r="CC14" s="711"/>
      <c r="CD14" s="711"/>
      <c r="CE14" s="12"/>
      <c r="CF14" s="300"/>
      <c r="CG14" s="300"/>
      <c r="CH14" s="300"/>
      <c r="CI14" s="300"/>
      <c r="CJ14" s="12"/>
      <c r="CK14" s="300"/>
      <c r="CL14" s="300"/>
      <c r="CM14" s="300"/>
      <c r="CN14" s="300"/>
      <c r="CO14" s="12"/>
      <c r="CP14" s="300"/>
      <c r="CQ14" s="300"/>
      <c r="CR14" s="300"/>
      <c r="CS14" s="300"/>
      <c r="CT14" s="12"/>
      <c r="CU14" s="300"/>
      <c r="CV14" s="300"/>
      <c r="CW14" s="300"/>
      <c r="CX14" s="300"/>
      <c r="CY14" s="12"/>
      <c r="CZ14" s="300"/>
      <c r="DA14" s="300"/>
      <c r="DB14" s="300"/>
      <c r="DC14" s="300"/>
      <c r="DD14" s="12"/>
      <c r="DE14" s="300"/>
      <c r="DF14" s="300"/>
      <c r="DG14" s="300"/>
      <c r="DH14" s="300"/>
      <c r="DI14" s="12"/>
      <c r="DJ14" s="300"/>
      <c r="DK14" s="300"/>
      <c r="DL14" s="300"/>
      <c r="DM14" s="300"/>
      <c r="DN14" s="12"/>
      <c r="DO14" s="300"/>
      <c r="DP14" s="300"/>
      <c r="DQ14" s="300"/>
      <c r="DR14" s="300"/>
      <c r="DS14" s="12"/>
      <c r="DT14" s="300"/>
      <c r="DU14" s="300"/>
      <c r="DV14" s="300"/>
      <c r="DW14" s="300"/>
      <c r="DX14" s="12"/>
      <c r="DY14" s="300"/>
      <c r="DZ14" s="300"/>
      <c r="EA14" s="300"/>
      <c r="EB14" s="300"/>
      <c r="EC14" s="12"/>
      <c r="ED14" s="300"/>
      <c r="EE14" s="300"/>
      <c r="EF14" s="300"/>
      <c r="EG14" s="300"/>
      <c r="EH14" s="12"/>
      <c r="EI14" s="300"/>
      <c r="EJ14" s="300"/>
      <c r="EK14" s="300"/>
      <c r="EL14" s="300"/>
      <c r="EM14" s="12"/>
      <c r="EN14" s="300"/>
      <c r="EO14" s="300"/>
      <c r="EP14" s="300"/>
      <c r="EQ14" s="300"/>
      <c r="ER14" s="12"/>
    </row>
    <row r="15" spans="2:159" ht="12.75" hidden="1" customHeight="1" outlineLevel="1">
      <c r="B15" s="22" t="s">
        <v>516</v>
      </c>
      <c r="C15" s="12"/>
      <c r="D15" s="300"/>
      <c r="E15" s="300"/>
      <c r="F15" s="300"/>
      <c r="G15" s="300"/>
      <c r="H15" s="12"/>
      <c r="I15" s="300"/>
      <c r="J15" s="300"/>
      <c r="K15" s="300"/>
      <c r="L15" s="300"/>
      <c r="M15" s="12"/>
      <c r="N15" s="300"/>
      <c r="O15" s="300"/>
      <c r="P15" s="300"/>
      <c r="Q15" s="300"/>
      <c r="R15" s="12"/>
      <c r="S15" s="300"/>
      <c r="T15" s="300"/>
      <c r="U15" s="300"/>
      <c r="V15" s="300"/>
      <c r="W15" s="12"/>
      <c r="X15" s="300"/>
      <c r="Y15" s="300"/>
      <c r="Z15" s="300"/>
      <c r="AA15" s="300"/>
      <c r="AB15" s="12"/>
      <c r="AC15" s="300"/>
      <c r="AD15" s="300"/>
      <c r="AE15" s="300"/>
      <c r="AF15" s="300"/>
      <c r="AG15" s="12"/>
      <c r="AH15" s="300"/>
      <c r="AI15" s="300"/>
      <c r="AJ15" s="300"/>
      <c r="AK15" s="300"/>
      <c r="AL15" s="12"/>
      <c r="AM15" s="300"/>
      <c r="AN15" s="300"/>
      <c r="AO15" s="300"/>
      <c r="AP15" s="300"/>
      <c r="AQ15" s="12"/>
      <c r="AR15" s="300"/>
      <c r="AS15" s="300"/>
      <c r="AT15" s="300"/>
      <c r="AU15" s="300"/>
      <c r="AV15" s="12">
        <f>384.488*AV12/1072.93</f>
        <v>300.6025107621187</v>
      </c>
      <c r="AW15" s="300"/>
      <c r="AX15" s="300"/>
      <c r="AY15" s="300"/>
      <c r="AZ15" s="300"/>
      <c r="BA15" s="12">
        <f>412.463*BA12/1229.151</f>
        <v>375.38682958318384</v>
      </c>
      <c r="BB15" s="300"/>
      <c r="BC15" s="300"/>
      <c r="BD15" s="300"/>
      <c r="BE15" s="300"/>
      <c r="BF15" s="12">
        <f>686.091*BF12/1759.945</f>
        <v>583.0474369483137</v>
      </c>
      <c r="BG15" s="300"/>
      <c r="BH15" s="300"/>
      <c r="BI15" s="300"/>
      <c r="BJ15" s="300"/>
      <c r="BK15" s="12"/>
      <c r="BL15" s="300"/>
      <c r="BM15" s="300"/>
      <c r="BN15" s="300"/>
      <c r="BO15" s="300"/>
      <c r="BP15" s="12"/>
      <c r="BQ15" s="300"/>
      <c r="BR15" s="300"/>
      <c r="BS15" s="300"/>
      <c r="BT15" s="300"/>
      <c r="BU15" s="12"/>
      <c r="BV15" s="300"/>
      <c r="BW15" s="300"/>
      <c r="BX15" s="300"/>
      <c r="BY15" s="300"/>
      <c r="BZ15" s="12"/>
      <c r="CA15" s="711"/>
      <c r="CB15" s="711"/>
      <c r="CC15" s="711"/>
      <c r="CD15" s="711"/>
      <c r="CE15" s="12"/>
      <c r="CF15" s="300"/>
      <c r="CG15" s="300"/>
      <c r="CH15" s="300"/>
      <c r="CI15" s="300"/>
      <c r="CJ15" s="12"/>
      <c r="CK15" s="300"/>
      <c r="CL15" s="300"/>
      <c r="CM15" s="300"/>
      <c r="CN15" s="300"/>
      <c r="CO15" s="12"/>
      <c r="CP15" s="300"/>
      <c r="CQ15" s="300"/>
      <c r="CR15" s="300"/>
      <c r="CS15" s="300"/>
      <c r="CT15" s="12"/>
      <c r="CU15" s="300"/>
      <c r="CV15" s="300"/>
      <c r="CW15" s="300"/>
      <c r="CX15" s="300"/>
      <c r="CY15" s="12"/>
      <c r="CZ15" s="300"/>
      <c r="DA15" s="300"/>
      <c r="DB15" s="300"/>
      <c r="DC15" s="300"/>
      <c r="DD15" s="12"/>
      <c r="DE15" s="300"/>
      <c r="DF15" s="300"/>
      <c r="DG15" s="300"/>
      <c r="DH15" s="300"/>
      <c r="DI15" s="12"/>
      <c r="DJ15" s="300"/>
      <c r="DK15" s="300"/>
      <c r="DL15" s="300"/>
      <c r="DM15" s="300"/>
      <c r="DN15" s="12"/>
      <c r="DO15" s="300"/>
      <c r="DP15" s="300"/>
      <c r="DQ15" s="300"/>
      <c r="DR15" s="300"/>
      <c r="DS15" s="12"/>
      <c r="DT15" s="300"/>
      <c r="DU15" s="300"/>
      <c r="DV15" s="300"/>
      <c r="DW15" s="300"/>
      <c r="DX15" s="12"/>
      <c r="DY15" s="300"/>
      <c r="DZ15" s="300"/>
      <c r="EA15" s="300"/>
      <c r="EB15" s="300"/>
      <c r="EC15" s="12"/>
      <c r="ED15" s="300"/>
      <c r="EE15" s="300"/>
      <c r="EF15" s="300"/>
      <c r="EG15" s="300"/>
      <c r="EH15" s="12"/>
      <c r="EI15" s="300"/>
      <c r="EJ15" s="300"/>
      <c r="EK15" s="300"/>
      <c r="EL15" s="300"/>
      <c r="EM15" s="12"/>
      <c r="EN15" s="300"/>
      <c r="EO15" s="300"/>
      <c r="EP15" s="300"/>
      <c r="EQ15" s="300"/>
      <c r="ER15" s="12"/>
    </row>
    <row r="16" spans="2:159" ht="12.75" hidden="1" customHeight="1" outlineLevel="1">
      <c r="B16" s="22" t="s">
        <v>517</v>
      </c>
      <c r="C16" s="12"/>
      <c r="D16" s="300"/>
      <c r="E16" s="300"/>
      <c r="F16" s="300"/>
      <c r="G16" s="300"/>
      <c r="H16" s="12"/>
      <c r="I16" s="300"/>
      <c r="J16" s="300"/>
      <c r="K16" s="300"/>
      <c r="L16" s="300"/>
      <c r="M16" s="12"/>
      <c r="N16" s="300"/>
      <c r="O16" s="300"/>
      <c r="P16" s="300"/>
      <c r="Q16" s="300"/>
      <c r="R16" s="12"/>
      <c r="S16" s="300"/>
      <c r="T16" s="300"/>
      <c r="U16" s="300"/>
      <c r="V16" s="300"/>
      <c r="W16" s="12"/>
      <c r="X16" s="300"/>
      <c r="Y16" s="300"/>
      <c r="Z16" s="300"/>
      <c r="AA16" s="300"/>
      <c r="AB16" s="12"/>
      <c r="AC16" s="300"/>
      <c r="AD16" s="300"/>
      <c r="AE16" s="300"/>
      <c r="AF16" s="300"/>
      <c r="AG16" s="12"/>
      <c r="AH16" s="300"/>
      <c r="AI16" s="300"/>
      <c r="AJ16" s="300"/>
      <c r="AK16" s="300"/>
      <c r="AL16" s="12"/>
      <c r="AM16" s="300"/>
      <c r="AN16" s="300"/>
      <c r="AO16" s="300"/>
      <c r="AP16" s="300"/>
      <c r="AQ16" s="12"/>
      <c r="AR16" s="300"/>
      <c r="AS16" s="300"/>
      <c r="AT16" s="300"/>
      <c r="AU16" s="300"/>
      <c r="AV16" s="12">
        <f>177.214*AV12/1072.93</f>
        <v>138.5504185883515</v>
      </c>
      <c r="AW16" s="300"/>
      <c r="AX16" s="300"/>
      <c r="AY16" s="300"/>
      <c r="AZ16" s="300"/>
      <c r="BA16" s="12">
        <f>219.756*BA12/1229.151</f>
        <v>200.00220170507936</v>
      </c>
      <c r="BB16" s="300"/>
      <c r="BC16" s="300"/>
      <c r="BD16" s="300"/>
      <c r="BE16" s="300"/>
      <c r="BF16" s="12">
        <f>245.576*BF12/1759.945</f>
        <v>208.6930995684524</v>
      </c>
      <c r="BG16" s="300"/>
      <c r="BH16" s="300"/>
      <c r="BI16" s="300"/>
      <c r="BJ16" s="300"/>
      <c r="BK16" s="12"/>
      <c r="BL16" s="300"/>
      <c r="BM16" s="300"/>
      <c r="BN16" s="300"/>
      <c r="BO16" s="300"/>
      <c r="BP16" s="12"/>
      <c r="BQ16" s="300"/>
      <c r="BR16" s="300"/>
      <c r="BS16" s="300"/>
      <c r="BT16" s="300"/>
      <c r="BU16" s="12"/>
      <c r="BV16" s="300"/>
      <c r="BW16" s="300"/>
      <c r="BX16" s="300"/>
      <c r="BY16" s="300"/>
      <c r="BZ16" s="12"/>
      <c r="CA16" s="711"/>
      <c r="CB16" s="711"/>
      <c r="CC16" s="711"/>
      <c r="CD16" s="711"/>
      <c r="CE16" s="12"/>
      <c r="CF16" s="300"/>
      <c r="CG16" s="300"/>
      <c r="CH16" s="300"/>
      <c r="CI16" s="300"/>
      <c r="CJ16" s="12"/>
      <c r="CK16" s="300"/>
      <c r="CL16" s="300"/>
      <c r="CM16" s="300"/>
      <c r="CN16" s="300"/>
      <c r="CO16" s="12"/>
      <c r="CP16" s="300"/>
      <c r="CQ16" s="300"/>
      <c r="CR16" s="300"/>
      <c r="CS16" s="300"/>
      <c r="CT16" s="12"/>
      <c r="CU16" s="300"/>
      <c r="CV16" s="300"/>
      <c r="CW16" s="300"/>
      <c r="CX16" s="300"/>
      <c r="CY16" s="12"/>
      <c r="CZ16" s="300"/>
      <c r="DA16" s="300"/>
      <c r="DB16" s="300"/>
      <c r="DC16" s="300"/>
      <c r="DD16" s="12"/>
      <c r="DE16" s="300"/>
      <c r="DF16" s="300"/>
      <c r="DG16" s="300"/>
      <c r="DH16" s="300"/>
      <c r="DI16" s="12"/>
      <c r="DJ16" s="300"/>
      <c r="DK16" s="300"/>
      <c r="DL16" s="300"/>
      <c r="DM16" s="300"/>
      <c r="DN16" s="12"/>
      <c r="DO16" s="300"/>
      <c r="DP16" s="300"/>
      <c r="DQ16" s="300"/>
      <c r="DR16" s="300"/>
      <c r="DS16" s="12"/>
      <c r="DT16" s="300"/>
      <c r="DU16" s="300"/>
      <c r="DV16" s="300"/>
      <c r="DW16" s="300"/>
      <c r="DX16" s="12"/>
      <c r="DY16" s="300"/>
      <c r="DZ16" s="300"/>
      <c r="EA16" s="300"/>
      <c r="EB16" s="300"/>
      <c r="EC16" s="12"/>
      <c r="ED16" s="300"/>
      <c r="EE16" s="300"/>
      <c r="EF16" s="300"/>
      <c r="EG16" s="300"/>
      <c r="EH16" s="12"/>
      <c r="EI16" s="300"/>
      <c r="EJ16" s="300"/>
      <c r="EK16" s="300"/>
      <c r="EL16" s="300"/>
      <c r="EM16" s="12"/>
      <c r="EN16" s="300"/>
      <c r="EO16" s="300"/>
      <c r="EP16" s="300"/>
      <c r="EQ16" s="300"/>
      <c r="ER16" s="12"/>
    </row>
    <row r="17" spans="2:156" ht="12.75" hidden="1" customHeight="1" outlineLevel="1">
      <c r="B17" s="22" t="s">
        <v>518</v>
      </c>
      <c r="C17" s="12"/>
      <c r="D17" s="300"/>
      <c r="E17" s="300"/>
      <c r="F17" s="300"/>
      <c r="G17" s="300"/>
      <c r="H17" s="12"/>
      <c r="I17" s="300"/>
      <c r="J17" s="300"/>
      <c r="K17" s="300"/>
      <c r="L17" s="300"/>
      <c r="M17" s="12"/>
      <c r="N17" s="300"/>
      <c r="O17" s="300"/>
      <c r="P17" s="300"/>
      <c r="Q17" s="300"/>
      <c r="R17" s="12"/>
      <c r="S17" s="300"/>
      <c r="T17" s="300"/>
      <c r="U17" s="300"/>
      <c r="V17" s="300"/>
      <c r="W17" s="12"/>
      <c r="X17" s="300"/>
      <c r="Y17" s="300"/>
      <c r="Z17" s="300"/>
      <c r="AA17" s="300"/>
      <c r="AB17" s="12"/>
      <c r="AC17" s="300"/>
      <c r="AD17" s="300"/>
      <c r="AE17" s="300"/>
      <c r="AF17" s="300"/>
      <c r="AG17" s="12"/>
      <c r="AH17" s="300"/>
      <c r="AI17" s="300"/>
      <c r="AJ17" s="300"/>
      <c r="AK17" s="300"/>
      <c r="AL17" s="12"/>
      <c r="AM17" s="300"/>
      <c r="AN17" s="300"/>
      <c r="AO17" s="300"/>
      <c r="AP17" s="300"/>
      <c r="AQ17" s="12"/>
      <c r="AR17" s="300"/>
      <c r="AS17" s="300"/>
      <c r="AT17" s="300"/>
      <c r="AU17" s="300"/>
      <c r="AV17" s="12">
        <f>136*AV12/1072.93</f>
        <v>106.32826372643137</v>
      </c>
      <c r="AW17" s="300"/>
      <c r="AX17" s="300"/>
      <c r="AY17" s="300"/>
      <c r="AZ17" s="300"/>
      <c r="BA17" s="12">
        <f>26.63*BA12/1229.151</f>
        <v>24.23623760628271</v>
      </c>
      <c r="BB17" s="300"/>
      <c r="BC17" s="300"/>
      <c r="BD17" s="300"/>
      <c r="BE17" s="300"/>
      <c r="BF17" s="12">
        <v>0</v>
      </c>
      <c r="BG17" s="300"/>
      <c r="BH17" s="300"/>
      <c r="BI17" s="300"/>
      <c r="BJ17" s="300"/>
      <c r="BK17" s="12"/>
      <c r="BL17" s="300"/>
      <c r="BM17" s="300"/>
      <c r="BN17" s="300"/>
      <c r="BO17" s="300"/>
      <c r="BP17" s="12"/>
      <c r="BQ17" s="299"/>
      <c r="BR17" s="299"/>
      <c r="BS17" s="299"/>
      <c r="BT17" s="299"/>
      <c r="BU17" s="12"/>
      <c r="BV17" s="299"/>
      <c r="BW17" s="300"/>
      <c r="BX17" s="300"/>
      <c r="BY17" s="300"/>
      <c r="BZ17" s="12"/>
      <c r="CA17" s="711"/>
      <c r="CB17" s="711"/>
      <c r="CC17" s="711"/>
      <c r="CD17" s="711"/>
      <c r="CE17" s="12"/>
      <c r="CF17" s="300"/>
      <c r="CG17" s="300"/>
      <c r="CH17" s="300"/>
      <c r="CI17" s="300"/>
      <c r="CJ17" s="12"/>
      <c r="CK17" s="300"/>
      <c r="CL17" s="300"/>
      <c r="CM17" s="300"/>
      <c r="CN17" s="300"/>
      <c r="CO17" s="12"/>
      <c r="CP17" s="300"/>
      <c r="CQ17" s="300"/>
      <c r="CR17" s="300"/>
      <c r="CS17" s="300"/>
      <c r="CT17" s="12"/>
      <c r="CU17" s="300"/>
      <c r="CV17" s="300"/>
      <c r="CW17" s="300"/>
      <c r="CX17" s="300"/>
      <c r="CY17" s="12"/>
      <c r="CZ17" s="300"/>
      <c r="DA17" s="300"/>
      <c r="DB17" s="300"/>
      <c r="DC17" s="300"/>
      <c r="DD17" s="12"/>
      <c r="DE17" s="300"/>
      <c r="DF17" s="300"/>
      <c r="DG17" s="300"/>
      <c r="DH17" s="300"/>
      <c r="DI17" s="12"/>
      <c r="DJ17" s="300"/>
      <c r="DK17" s="300"/>
      <c r="DL17" s="300"/>
      <c r="DM17" s="300"/>
      <c r="DN17" s="12"/>
      <c r="DO17" s="300"/>
      <c r="DP17" s="300"/>
      <c r="DQ17" s="300"/>
      <c r="DR17" s="300"/>
      <c r="DS17" s="12"/>
      <c r="DT17" s="300"/>
      <c r="DU17" s="300"/>
      <c r="DV17" s="300"/>
      <c r="DW17" s="300"/>
      <c r="DX17" s="12"/>
      <c r="DY17" s="300"/>
      <c r="DZ17" s="300"/>
      <c r="EA17" s="300"/>
      <c r="EB17" s="300"/>
      <c r="EC17" s="12"/>
      <c r="ED17" s="300"/>
      <c r="EE17" s="300"/>
      <c r="EF17" s="300"/>
      <c r="EG17" s="300"/>
      <c r="EH17" s="12"/>
      <c r="EI17" s="300"/>
      <c r="EJ17" s="300"/>
      <c r="EK17" s="300"/>
      <c r="EL17" s="300"/>
      <c r="EM17" s="12"/>
      <c r="EN17" s="300"/>
      <c r="EO17" s="300"/>
      <c r="EP17" s="300"/>
      <c r="EQ17" s="300"/>
      <c r="ER17" s="12"/>
    </row>
    <row r="18" spans="2:156" s="116" customFormat="1" ht="12.75" customHeight="1" collapsed="1" thickBot="1">
      <c r="B18" s="231" t="s">
        <v>103</v>
      </c>
      <c r="C18" s="116">
        <f>125.141+2</f>
        <v>127.14100000000001</v>
      </c>
      <c r="D18" s="298">
        <v>39.762999999999998</v>
      </c>
      <c r="E18" s="298">
        <v>41.6</v>
      </c>
      <c r="F18" s="298">
        <v>42.317</v>
      </c>
      <c r="G18" s="298">
        <v>57.621000000000002</v>
      </c>
      <c r="H18" s="116">
        <f>D18+E18+F18+G18</f>
        <v>181.30100000000002</v>
      </c>
      <c r="I18" s="298">
        <v>47.591000000000001</v>
      </c>
      <c r="J18" s="298">
        <v>55.673999999999999</v>
      </c>
      <c r="K18" s="298">
        <v>59.283000000000001</v>
      </c>
      <c r="L18" s="298">
        <v>73.141000000000005</v>
      </c>
      <c r="M18" s="116">
        <f>I18+J18+K18+L18</f>
        <v>235.68900000000002</v>
      </c>
      <c r="N18" s="298">
        <v>71.209999999999994</v>
      </c>
      <c r="O18" s="298">
        <f>73.789</f>
        <v>73.789000000000001</v>
      </c>
      <c r="P18" s="298">
        <f>72.371</f>
        <v>72.370999999999995</v>
      </c>
      <c r="Q18" s="298">
        <v>85.421999999999997</v>
      </c>
      <c r="R18" s="116">
        <f>N18+O18+P18+Q18</f>
        <v>302.79200000000003</v>
      </c>
      <c r="S18" s="298">
        <v>79.087999999999994</v>
      </c>
      <c r="T18" s="298">
        <v>94.805000000000007</v>
      </c>
      <c r="U18" s="298">
        <v>100.873</v>
      </c>
      <c r="V18" s="298">
        <v>106.518</v>
      </c>
      <c r="W18" s="116">
        <f>S18+T18+U18+V18</f>
        <v>381.28399999999999</v>
      </c>
      <c r="X18" s="298">
        <f>142.469-14.496</f>
        <v>127.973</v>
      </c>
      <c r="Y18" s="298">
        <f>151.568-21.349</f>
        <v>130.21900000000002</v>
      </c>
      <c r="Z18" s="298">
        <f>132.529-15.954</f>
        <v>116.57499999999999</v>
      </c>
      <c r="AA18" s="298">
        <f>147.093-18.993</f>
        <v>128.1</v>
      </c>
      <c r="AB18" s="116">
        <f>X18+Y18+Z18+AA18</f>
        <v>502.86699999999996</v>
      </c>
      <c r="AC18" s="298">
        <f>166.558-33.656</f>
        <v>132.90199999999999</v>
      </c>
      <c r="AD18" s="298">
        <f>186.179-28.464</f>
        <v>157.715</v>
      </c>
      <c r="AE18" s="298">
        <f>172.956-24.563</f>
        <v>148.393</v>
      </c>
      <c r="AF18" s="298">
        <f>180.048-14.616</f>
        <v>165.43200000000002</v>
      </c>
      <c r="AG18" s="116">
        <f>AC18+AD18+AE18+AF18</f>
        <v>604.44200000000001</v>
      </c>
      <c r="AH18" s="298">
        <f>194.957-17.547</f>
        <v>177.41</v>
      </c>
      <c r="AI18" s="298">
        <f>219.533-18.657</f>
        <v>200.87599999999998</v>
      </c>
      <c r="AJ18" s="298">
        <f>189.189-21.322</f>
        <v>167.86699999999999</v>
      </c>
      <c r="AK18" s="298">
        <f>193.665-19.003</f>
        <v>174.66199999999998</v>
      </c>
      <c r="AL18" s="116">
        <f>AH18+AI18+AJ18+AK18</f>
        <v>720.81499999999983</v>
      </c>
      <c r="AM18" s="298">
        <f>203.951-20.836</f>
        <v>183.11500000000001</v>
      </c>
      <c r="AN18" s="298">
        <f>261.411-8.165-12.855-27.189</f>
        <v>213.20200000000003</v>
      </c>
      <c r="AO18" s="298">
        <f>227.427-0.239-2.623-24.23</f>
        <v>200.33500000000001</v>
      </c>
      <c r="AP18" s="298">
        <f>253.897-0.03-10.689-19.751</f>
        <v>223.42699999999999</v>
      </c>
      <c r="AQ18" s="116">
        <f>AM18+AN18+AO18+AP18</f>
        <v>820.07900000000006</v>
      </c>
      <c r="AR18" s="298">
        <f>265.618-12.584-23.919</f>
        <v>229.11499999999998</v>
      </c>
      <c r="AS18" s="298">
        <f>248.006-0.906-23.559</f>
        <v>223.541</v>
      </c>
      <c r="AT18" s="298">
        <f>250.559-0.387-1.413-28.128</f>
        <v>220.63099999999997</v>
      </c>
      <c r="AU18" s="298">
        <f>280.209-10.697-30.207</f>
        <v>239.30500000000001</v>
      </c>
      <c r="AV18" s="116">
        <f>AR18+AS18+AT18+AU18</f>
        <v>912.59199999999987</v>
      </c>
      <c r="AW18" s="298">
        <f>295.568-0.378-2.019-30.106</f>
        <v>263.065</v>
      </c>
      <c r="AX18" s="298">
        <f>304.269-0.365+0.353-27.818</f>
        <v>276.43900000000002</v>
      </c>
      <c r="AY18" s="298">
        <f>295.927-0.535-4.388-25.897</f>
        <v>265.10700000000003</v>
      </c>
      <c r="AZ18" s="298">
        <f>346.219-28.466-1.233-26.634</f>
        <v>289.88599999999997</v>
      </c>
      <c r="BA18" s="116">
        <f>SUM(AW18:AZ18)</f>
        <v>1094.4970000000001</v>
      </c>
      <c r="BB18" s="298">
        <f>443.121-135.38</f>
        <v>307.74099999999999</v>
      </c>
      <c r="BC18" s="298">
        <f>332.505-25.929-7.251-0.594</f>
        <v>298.73100000000005</v>
      </c>
      <c r="BD18" s="298">
        <f>319.583-29.364-2.792-0.222</f>
        <v>287.2050000000001</v>
      </c>
      <c r="BE18" s="298">
        <f>365.825-31.264+0.063-1.236-1.125</f>
        <v>332.26299999999998</v>
      </c>
      <c r="BF18" s="116">
        <f>SUM(BB18:BE18)</f>
        <v>1225.94</v>
      </c>
      <c r="BG18" s="298">
        <v>333.06400000000002</v>
      </c>
      <c r="BH18" s="298">
        <f>404.991-28.675+0.306-0.004-0.282</f>
        <v>376.33599999999996</v>
      </c>
      <c r="BI18" s="298">
        <f>406.86+BI57</f>
        <v>376.84100000000001</v>
      </c>
      <c r="BJ18" s="298">
        <f>513.284+BJ57</f>
        <v>470.96499999999997</v>
      </c>
      <c r="BK18" s="116">
        <f>SUM(BG18:BJ18)</f>
        <v>1557.2059999999999</v>
      </c>
      <c r="BL18" s="299">
        <f>548.123+BL57</f>
        <v>500.10500000000002</v>
      </c>
      <c r="BM18" s="299">
        <f>613.555+BM57</f>
        <v>569.2299999999999</v>
      </c>
      <c r="BN18" s="299">
        <f>944.837+BN57</f>
        <v>888.25099999999998</v>
      </c>
      <c r="BO18" s="299">
        <f>876+BO57</f>
        <v>799</v>
      </c>
      <c r="BP18" s="116">
        <f>SUM(BL18:BO18)</f>
        <v>2756.5860000000002</v>
      </c>
      <c r="BQ18" s="299">
        <f>645+BQ57</f>
        <v>600</v>
      </c>
      <c r="BR18" s="299">
        <f>812+BR57</f>
        <v>761</v>
      </c>
      <c r="BS18" s="299">
        <f>903+BS57</f>
        <v>850</v>
      </c>
      <c r="BT18" s="299">
        <f>1066+BT57</f>
        <v>1013</v>
      </c>
      <c r="BU18" s="385">
        <f>SUM(BQ18:BT18)</f>
        <v>3224</v>
      </c>
      <c r="BV18" s="299">
        <f>685+BV57</f>
        <v>638</v>
      </c>
      <c r="BW18" s="299">
        <f>890+BW57</f>
        <v>838</v>
      </c>
      <c r="BX18" s="299">
        <f>831+BX57</f>
        <v>780</v>
      </c>
      <c r="BY18" s="299">
        <f>992+BY57</f>
        <v>938</v>
      </c>
      <c r="BZ18" s="385">
        <f>SUM(BV18:BY18)</f>
        <v>3194</v>
      </c>
      <c r="CA18" s="299">
        <f>850+CA57</f>
        <v>807</v>
      </c>
      <c r="CB18" s="299">
        <f>897+CB57</f>
        <v>827</v>
      </c>
      <c r="CC18" s="299">
        <f>879+CC57</f>
        <v>806</v>
      </c>
      <c r="CD18" s="996">
        <f>1252+CD57</f>
        <v>923</v>
      </c>
      <c r="CE18" s="116">
        <f>SUM(CA18:CD18)</f>
        <v>3363</v>
      </c>
      <c r="CF18" s="711">
        <v>840</v>
      </c>
      <c r="CG18" s="711">
        <v>840</v>
      </c>
      <c r="CH18" s="711">
        <v>800</v>
      </c>
      <c r="CI18" s="711">
        <f>CJ18-SUM(CF18:CH18)</f>
        <v>1020</v>
      </c>
      <c r="CJ18" s="116">
        <v>3500</v>
      </c>
      <c r="CK18" s="116">
        <f t="shared" ref="CK18:CN18" si="6">CF18*1.07</f>
        <v>898.80000000000007</v>
      </c>
      <c r="CL18" s="116">
        <f t="shared" si="6"/>
        <v>898.80000000000007</v>
      </c>
      <c r="CM18" s="116">
        <f t="shared" si="6"/>
        <v>856</v>
      </c>
      <c r="CN18" s="116">
        <f t="shared" si="6"/>
        <v>1091.4000000000001</v>
      </c>
      <c r="CO18" s="116">
        <f>CJ18*1.025</f>
        <v>3587.4999999999995</v>
      </c>
      <c r="CP18" s="116">
        <f>CK18*1.025</f>
        <v>921.27</v>
      </c>
      <c r="CQ18" s="116">
        <f>CL18*1.025</f>
        <v>921.27</v>
      </c>
      <c r="CR18" s="116">
        <f>CM18*1.025</f>
        <v>877.4</v>
      </c>
      <c r="CS18" s="116">
        <f>CN18*1.025</f>
        <v>1118.6849999999999</v>
      </c>
      <c r="CT18" s="116">
        <f>CO18</f>
        <v>3587.4999999999995</v>
      </c>
      <c r="CU18" s="116">
        <f>CP18*1.025</f>
        <v>944.30174999999986</v>
      </c>
      <c r="CV18" s="116">
        <f>CQ18*1.025</f>
        <v>944.30174999999986</v>
      </c>
      <c r="CW18" s="116">
        <f>CR18*1.025</f>
        <v>899.33499999999992</v>
      </c>
      <c r="CX18" s="116">
        <f>CS18*1.025</f>
        <v>1146.6521249999998</v>
      </c>
      <c r="CY18" s="116">
        <f>CT18</f>
        <v>3587.4999999999995</v>
      </c>
      <c r="CZ18" s="116">
        <f>CU18*1.025</f>
        <v>967.90929374999973</v>
      </c>
      <c r="DA18" s="116">
        <f>CV18*1.025</f>
        <v>967.90929374999973</v>
      </c>
      <c r="DB18" s="116">
        <f>CW18*1.025</f>
        <v>921.81837499999983</v>
      </c>
      <c r="DC18" s="116">
        <f>CX18*1.025</f>
        <v>1175.3184281249996</v>
      </c>
      <c r="DD18" s="116">
        <f>CY18*0.975</f>
        <v>3497.8124999999995</v>
      </c>
      <c r="DE18" s="116">
        <f>CZ18*1.025</f>
        <v>992.1070260937496</v>
      </c>
      <c r="DF18" s="116">
        <f>DA18*1.025</f>
        <v>992.1070260937496</v>
      </c>
      <c r="DG18" s="116">
        <f>DB18*1.025</f>
        <v>944.86383437499978</v>
      </c>
      <c r="DH18" s="116">
        <f>DC18*1.025</f>
        <v>1204.7013888281244</v>
      </c>
      <c r="DI18" s="116">
        <f>DD18*0.975</f>
        <v>3410.3671874999995</v>
      </c>
      <c r="DJ18" s="116">
        <f>DE18*1.025</f>
        <v>1016.9097017460932</v>
      </c>
      <c r="DK18" s="116">
        <f>DF18*1.025</f>
        <v>1016.9097017460932</v>
      </c>
      <c r="DL18" s="116">
        <f>DG18*1.025</f>
        <v>968.48543023437469</v>
      </c>
      <c r="DM18" s="116">
        <f>DH18*1.025</f>
        <v>1234.8189235488273</v>
      </c>
      <c r="DN18" s="116">
        <f>DI18*0.975</f>
        <v>3325.1080078124996</v>
      </c>
      <c r="DO18" s="116">
        <f t="shared" ref="DO18:EC18" si="7">DJ18*1.025</f>
        <v>1042.3324442897454</v>
      </c>
      <c r="DP18" s="116">
        <f t="shared" si="7"/>
        <v>1042.3324442897454</v>
      </c>
      <c r="DQ18" s="116">
        <f t="shared" si="7"/>
        <v>992.69756599023401</v>
      </c>
      <c r="DR18" s="116">
        <f t="shared" si="7"/>
        <v>1265.6893966375478</v>
      </c>
      <c r="DS18" s="116">
        <f t="shared" si="7"/>
        <v>3408.2357080078118</v>
      </c>
      <c r="DT18" s="116">
        <f t="shared" si="7"/>
        <v>1068.3907553969889</v>
      </c>
      <c r="DU18" s="116">
        <f t="shared" si="7"/>
        <v>1068.3907553969889</v>
      </c>
      <c r="DV18" s="116">
        <f t="shared" si="7"/>
        <v>1017.5150051399897</v>
      </c>
      <c r="DW18" s="116">
        <f t="shared" si="7"/>
        <v>1297.3316315534864</v>
      </c>
      <c r="DX18" s="116">
        <f t="shared" si="7"/>
        <v>3493.4416007080067</v>
      </c>
      <c r="DY18" s="116">
        <f t="shared" si="7"/>
        <v>1095.1005242819135</v>
      </c>
      <c r="DZ18" s="116">
        <f t="shared" si="7"/>
        <v>1095.1005242819135</v>
      </c>
      <c r="EA18" s="116">
        <f t="shared" si="7"/>
        <v>1042.9528802684895</v>
      </c>
      <c r="EB18" s="116">
        <f t="shared" si="7"/>
        <v>1329.7649223423234</v>
      </c>
      <c r="EC18" s="116">
        <f t="shared" si="7"/>
        <v>3580.7776407257065</v>
      </c>
      <c r="ED18" s="298"/>
      <c r="EE18" s="298"/>
      <c r="EF18" s="298"/>
      <c r="EG18" s="298"/>
      <c r="EH18" s="116">
        <f>EC18*1.025</f>
        <v>3670.297081743849</v>
      </c>
      <c r="EI18" s="298"/>
      <c r="EJ18" s="298"/>
      <c r="EK18" s="298"/>
      <c r="EL18" s="298"/>
      <c r="EM18" s="116">
        <f>EH18*0.25</f>
        <v>917.57427043596226</v>
      </c>
      <c r="EN18" s="298"/>
      <c r="EO18" s="298"/>
      <c r="EP18" s="298"/>
      <c r="EQ18" s="298"/>
      <c r="ER18" s="116">
        <f>EM18*0.5</f>
        <v>458.78713521798113</v>
      </c>
      <c r="EU18"/>
      <c r="EV18"/>
      <c r="EW18"/>
      <c r="EX18"/>
      <c r="EY18"/>
      <c r="EZ18"/>
    </row>
    <row r="19" spans="2:156" ht="12.75" customHeight="1" thickBot="1">
      <c r="C19" s="12"/>
      <c r="D19" s="300"/>
      <c r="E19" s="300"/>
      <c r="F19" s="300"/>
      <c r="G19" s="300"/>
      <c r="H19" s="12"/>
      <c r="I19" s="300"/>
      <c r="J19" s="300"/>
      <c r="K19" s="300"/>
      <c r="L19" s="300"/>
      <c r="M19" s="12"/>
      <c r="N19" s="300"/>
      <c r="O19" s="300"/>
      <c r="P19" s="300"/>
      <c r="Q19" s="300"/>
      <c r="R19" s="12"/>
      <c r="S19" s="300"/>
      <c r="T19" s="300"/>
      <c r="U19" s="300"/>
      <c r="V19" s="300"/>
      <c r="W19" s="12"/>
      <c r="X19" s="300"/>
      <c r="Y19" s="300"/>
      <c r="Z19" s="300"/>
      <c r="AA19" s="300"/>
      <c r="AB19" s="12"/>
      <c r="AC19" s="300"/>
      <c r="AD19" s="300"/>
      <c r="AE19" s="300"/>
      <c r="AF19" s="300"/>
      <c r="AG19" s="12"/>
      <c r="AH19" s="300"/>
      <c r="AI19" s="300"/>
      <c r="AJ19" s="300"/>
      <c r="AK19" s="300"/>
      <c r="AL19" s="12"/>
      <c r="AM19" s="300"/>
      <c r="AN19" s="300"/>
      <c r="AO19" s="300"/>
      <c r="AP19" s="300"/>
      <c r="AQ19" s="12"/>
      <c r="AR19" s="300"/>
      <c r="AS19" s="300"/>
      <c r="AT19" s="300"/>
      <c r="AU19" s="300"/>
      <c r="AV19" s="12"/>
      <c r="AW19" s="300"/>
      <c r="AX19" s="300"/>
      <c r="AY19" s="300"/>
      <c r="AZ19" s="300"/>
      <c r="BA19" s="12"/>
      <c r="BB19" s="300"/>
      <c r="BC19" s="300"/>
      <c r="BD19" s="300"/>
      <c r="BE19" s="300"/>
      <c r="BF19" s="12"/>
      <c r="BG19" s="300"/>
      <c r="BH19" s="300"/>
      <c r="BI19" s="300"/>
      <c r="BJ19" s="300"/>
      <c r="BK19" s="12"/>
      <c r="BL19" s="300"/>
      <c r="BM19" s="660"/>
      <c r="BN19" s="663"/>
      <c r="BO19" s="663"/>
      <c r="BP19" s="664"/>
      <c r="BQ19" s="660"/>
      <c r="BR19" s="300"/>
      <c r="BS19" s="663"/>
      <c r="BT19" s="663"/>
      <c r="BU19" s="664"/>
      <c r="BV19" s="300"/>
      <c r="BW19" s="300"/>
      <c r="BX19" s="711"/>
      <c r="BY19" s="711"/>
      <c r="BZ19" s="13"/>
      <c r="CA19" s="300"/>
      <c r="CB19" s="300"/>
      <c r="CC19" s="300"/>
      <c r="CD19" s="300"/>
      <c r="CE19" s="13"/>
      <c r="CF19" s="300"/>
      <c r="CG19" s="300"/>
      <c r="CH19" s="361" t="s">
        <v>677</v>
      </c>
      <c r="CI19" s="362"/>
      <c r="CJ19" s="363" t="s">
        <v>1107</v>
      </c>
      <c r="CK19" s="300"/>
      <c r="CL19" s="300"/>
      <c r="CM19" s="300"/>
      <c r="CN19" s="300"/>
      <c r="CO19" s="12"/>
      <c r="CP19" s="300"/>
      <c r="CQ19" s="300"/>
      <c r="CR19" s="300"/>
      <c r="CS19" s="300"/>
      <c r="CT19" s="12"/>
      <c r="CU19" s="300"/>
      <c r="CV19" s="300"/>
      <c r="CW19" s="300"/>
      <c r="CX19" s="300"/>
      <c r="CY19" s="12"/>
      <c r="CZ19" s="300"/>
      <c r="DA19" s="300"/>
      <c r="DB19" s="300"/>
      <c r="DC19" s="300"/>
      <c r="DD19" s="12"/>
      <c r="DE19" s="300"/>
      <c r="DF19" s="300"/>
      <c r="DG19" s="300"/>
      <c r="DH19" s="300"/>
      <c r="DI19" s="12"/>
      <c r="DJ19" s="300"/>
      <c r="DK19" s="300"/>
      <c r="DL19" s="300"/>
      <c r="DM19" s="300"/>
      <c r="DN19" s="12"/>
      <c r="DO19" s="300"/>
      <c r="DP19" s="300"/>
      <c r="DQ19" s="300"/>
      <c r="DR19" s="300"/>
      <c r="DS19" s="12"/>
      <c r="DT19" s="300"/>
      <c r="DU19" s="300"/>
      <c r="DV19" s="300"/>
      <c r="DW19" s="300"/>
      <c r="DX19" s="12"/>
      <c r="DY19" s="300"/>
      <c r="DZ19" s="300"/>
      <c r="EA19" s="300"/>
      <c r="EB19" s="300"/>
      <c r="EC19" s="12"/>
      <c r="ED19" s="300"/>
      <c r="EE19" s="300"/>
      <c r="EF19" s="300"/>
      <c r="EG19" s="300"/>
      <c r="EH19" s="12"/>
      <c r="EI19" s="300"/>
      <c r="EJ19" s="300"/>
      <c r="EK19" s="300"/>
      <c r="EL19" s="300"/>
      <c r="EM19" s="12"/>
      <c r="EN19" s="300"/>
      <c r="EO19" s="300"/>
      <c r="EP19" s="300"/>
      <c r="EQ19" s="300"/>
      <c r="ER19" s="12"/>
    </row>
    <row r="20" spans="2:156" s="116" customFormat="1" ht="12.75" customHeight="1">
      <c r="B20" s="282" t="s">
        <v>135</v>
      </c>
      <c r="C20" s="282">
        <f t="shared" ref="C20:AH20" si="8">C10-C12-C18</f>
        <v>-122.68900000000001</v>
      </c>
      <c r="D20" s="301">
        <f t="shared" si="8"/>
        <v>-6.9430000000000049</v>
      </c>
      <c r="E20" s="301">
        <f t="shared" si="8"/>
        <v>19.193999999999996</v>
      </c>
      <c r="F20" s="301">
        <f t="shared" si="8"/>
        <v>35.91699999999998</v>
      </c>
      <c r="G20" s="301">
        <f t="shared" si="8"/>
        <v>32.839000000000048</v>
      </c>
      <c r="H20" s="282">
        <f t="shared" si="8"/>
        <v>81.007000000000033</v>
      </c>
      <c r="I20" s="301">
        <f t="shared" si="8"/>
        <v>55.002000000000002</v>
      </c>
      <c r="J20" s="301">
        <f t="shared" si="8"/>
        <v>107.77200000000002</v>
      </c>
      <c r="K20" s="301">
        <f t="shared" si="8"/>
        <v>65.923000000000016</v>
      </c>
      <c r="L20" s="301">
        <f t="shared" si="8"/>
        <v>98.899999999999991</v>
      </c>
      <c r="M20" s="282">
        <f t="shared" si="8"/>
        <v>327.59700000000015</v>
      </c>
      <c r="N20" s="301">
        <f t="shared" si="8"/>
        <v>144.42299999999994</v>
      </c>
      <c r="O20" s="301">
        <f t="shared" si="8"/>
        <v>158.19799999999998</v>
      </c>
      <c r="P20" s="301">
        <f t="shared" si="8"/>
        <v>163.77000000000004</v>
      </c>
      <c r="Q20" s="301">
        <f t="shared" si="8"/>
        <v>165.29900000000004</v>
      </c>
      <c r="R20" s="282">
        <f t="shared" si="8"/>
        <v>631.69000000000005</v>
      </c>
      <c r="S20" s="301">
        <f t="shared" si="8"/>
        <v>223.47699999999995</v>
      </c>
      <c r="T20" s="301">
        <f t="shared" si="8"/>
        <v>277.49799999999993</v>
      </c>
      <c r="U20" s="301">
        <f t="shared" si="8"/>
        <v>248.25000000000006</v>
      </c>
      <c r="V20" s="301">
        <f t="shared" si="8"/>
        <v>359.84100000000001</v>
      </c>
      <c r="W20" s="282">
        <f t="shared" si="8"/>
        <v>1109.0659999999998</v>
      </c>
      <c r="X20" s="301">
        <f t="shared" si="8"/>
        <v>401.28400000000005</v>
      </c>
      <c r="Y20" s="301">
        <f t="shared" si="8"/>
        <v>402.08199999999988</v>
      </c>
      <c r="Z20" s="301">
        <f t="shared" si="8"/>
        <v>444.85299999999989</v>
      </c>
      <c r="AA20" s="301">
        <f t="shared" si="8"/>
        <v>520.74199999999985</v>
      </c>
      <c r="AB20" s="282">
        <f t="shared" si="8"/>
        <v>1768.9610000000005</v>
      </c>
      <c r="AC20" s="301">
        <f t="shared" si="8"/>
        <v>617.06500000000005</v>
      </c>
      <c r="AD20" s="301">
        <f t="shared" si="8"/>
        <v>590.65500000000009</v>
      </c>
      <c r="AE20" s="301">
        <f t="shared" si="8"/>
        <v>593.09100000000012</v>
      </c>
      <c r="AF20" s="301">
        <f t="shared" si="8"/>
        <v>547.65200000000004</v>
      </c>
      <c r="AG20" s="282">
        <f t="shared" si="8"/>
        <v>2348.4629999999997</v>
      </c>
      <c r="AH20" s="301">
        <f t="shared" si="8"/>
        <v>704.18200000000013</v>
      </c>
      <c r="AI20" s="301">
        <f t="shared" ref="AI20:BK20" si="9">AI10-AI12-AI18</f>
        <v>653.24099999999999</v>
      </c>
      <c r="AJ20" s="301">
        <f t="shared" si="9"/>
        <v>735.42800000000011</v>
      </c>
      <c r="AK20" s="301">
        <f t="shared" si="9"/>
        <v>749.90499999999975</v>
      </c>
      <c r="AL20" s="282">
        <f t="shared" si="9"/>
        <v>2842.7559999999994</v>
      </c>
      <c r="AM20" s="301">
        <f t="shared" si="9"/>
        <v>849.3610000000001</v>
      </c>
      <c r="AN20" s="301">
        <f t="shared" si="9"/>
        <v>863.38999999999987</v>
      </c>
      <c r="AO20" s="301">
        <f t="shared" si="9"/>
        <v>971.16200000000049</v>
      </c>
      <c r="AP20" s="301">
        <f t="shared" si="9"/>
        <v>1146.162</v>
      </c>
      <c r="AQ20" s="282">
        <f t="shared" si="9"/>
        <v>3830.0749999999994</v>
      </c>
      <c r="AR20" s="301">
        <f t="shared" si="9"/>
        <v>1242.6279999999999</v>
      </c>
      <c r="AS20" s="301">
        <f t="shared" si="9"/>
        <v>1060.7330000000002</v>
      </c>
      <c r="AT20" s="301">
        <f t="shared" si="9"/>
        <v>1053.9709999999995</v>
      </c>
      <c r="AU20" s="301">
        <f t="shared" si="9"/>
        <v>1047.903</v>
      </c>
      <c r="AV20" s="282">
        <f t="shared" si="9"/>
        <v>4405.2350000000006</v>
      </c>
      <c r="AW20" s="301">
        <f t="shared" si="9"/>
        <v>971.47600000000034</v>
      </c>
      <c r="AX20" s="301">
        <f t="shared" si="9"/>
        <v>1084.6119999999999</v>
      </c>
      <c r="AY20" s="301">
        <f t="shared" si="9"/>
        <v>1074.9499999999998</v>
      </c>
      <c r="AZ20" s="301">
        <f t="shared" si="9"/>
        <v>994.83899999999994</v>
      </c>
      <c r="BA20" s="282">
        <f t="shared" si="9"/>
        <v>4125.8769999999995</v>
      </c>
      <c r="BB20" s="301">
        <f t="shared" si="9"/>
        <v>1080.376</v>
      </c>
      <c r="BC20" s="301">
        <f t="shared" si="9"/>
        <v>1135.6669999999995</v>
      </c>
      <c r="BD20" s="301">
        <f t="shared" si="9"/>
        <v>1193.7819999999995</v>
      </c>
      <c r="BE20" s="301">
        <f t="shared" si="9"/>
        <v>1227.7120000000002</v>
      </c>
      <c r="BF20" s="282">
        <f t="shared" si="9"/>
        <v>4580.001000000002</v>
      </c>
      <c r="BG20" s="301">
        <f t="shared" si="9"/>
        <v>1127.2520000000002</v>
      </c>
      <c r="BH20" s="301">
        <f>BH10-BH12-BH18</f>
        <v>1242.5200000000004</v>
      </c>
      <c r="BI20" s="301">
        <f t="shared" si="9"/>
        <v>1258.6770000000001</v>
      </c>
      <c r="BJ20" s="301">
        <f t="shared" si="9"/>
        <v>1359.9920000000002</v>
      </c>
      <c r="BK20" s="282">
        <f t="shared" si="9"/>
        <v>4988.4409999999998</v>
      </c>
      <c r="BL20" s="301">
        <f t="shared" ref="BL20:CI20" si="10">BL10-BL12-BL18</f>
        <v>3329.7130000000016</v>
      </c>
      <c r="BM20" s="301">
        <f t="shared" si="10"/>
        <v>4700.8250000000016</v>
      </c>
      <c r="BN20" s="661">
        <f t="shared" si="10"/>
        <v>3784.1660000000002</v>
      </c>
      <c r="BO20" s="661">
        <f t="shared" si="10"/>
        <v>4768.8721077385035</v>
      </c>
      <c r="BP20" s="662">
        <f t="shared" si="10"/>
        <v>16583.976107738505</v>
      </c>
      <c r="BQ20" s="661">
        <f t="shared" si="10"/>
        <v>5669</v>
      </c>
      <c r="BR20" s="301">
        <f t="shared" si="10"/>
        <v>5993</v>
      </c>
      <c r="BS20" s="301">
        <f t="shared" si="10"/>
        <v>5876</v>
      </c>
      <c r="BT20" s="301">
        <f t="shared" si="10"/>
        <v>5857</v>
      </c>
      <c r="BU20" s="282">
        <f t="shared" si="10"/>
        <v>23395</v>
      </c>
      <c r="BV20" s="301">
        <f t="shared" si="10"/>
        <v>5404</v>
      </c>
      <c r="BW20" s="301">
        <f t="shared" si="10"/>
        <v>5245</v>
      </c>
      <c r="BX20" s="301">
        <f t="shared" si="10"/>
        <v>4821</v>
      </c>
      <c r="BY20" s="301">
        <f t="shared" si="10"/>
        <v>4563</v>
      </c>
      <c r="BZ20" s="282">
        <f>BZ10-BZ12-BZ18</f>
        <v>20033</v>
      </c>
      <c r="CA20" s="301">
        <f t="shared" si="10"/>
        <v>4066</v>
      </c>
      <c r="CB20" s="301">
        <f t="shared" si="10"/>
        <v>4610</v>
      </c>
      <c r="CC20" s="301">
        <f t="shared" si="10"/>
        <v>4140</v>
      </c>
      <c r="CD20" s="301">
        <f t="shared" si="10"/>
        <v>3215</v>
      </c>
      <c r="CE20" s="282">
        <f>CE10-CE12-CE18</f>
        <v>16031</v>
      </c>
      <c r="CF20" s="301">
        <f t="shared" si="10"/>
        <v>2645.1433523457449</v>
      </c>
      <c r="CG20" s="301">
        <f t="shared" si="10"/>
        <v>2860.3846468788906</v>
      </c>
      <c r="CH20" s="301">
        <f t="shared" si="10"/>
        <v>2951.6970433045894</v>
      </c>
      <c r="CI20" s="301">
        <f t="shared" si="10"/>
        <v>2647.7083815292972</v>
      </c>
      <c r="CJ20" s="282">
        <f>CJ10-CJ12-CJ18</f>
        <v>11104.933424058523</v>
      </c>
      <c r="CK20" s="301"/>
      <c r="CL20" s="301"/>
      <c r="CM20" s="301"/>
      <c r="CN20" s="301"/>
      <c r="CO20" s="282">
        <f>CO10-CO12-CO18</f>
        <v>11243.277900231074</v>
      </c>
      <c r="CP20" s="301"/>
      <c r="CQ20" s="301"/>
      <c r="CR20" s="301"/>
      <c r="CS20" s="301"/>
      <c r="CT20" s="282">
        <f>CT10-CT12-CT18</f>
        <v>12363.06486442182</v>
      </c>
      <c r="CU20" s="301"/>
      <c r="CV20" s="301"/>
      <c r="CW20" s="301"/>
      <c r="CX20" s="301"/>
      <c r="CY20" s="282">
        <f>CY10-CY12-CY18</f>
        <v>11174.682836996428</v>
      </c>
      <c r="CZ20" s="301"/>
      <c r="DA20" s="301"/>
      <c r="DB20" s="301"/>
      <c r="DC20" s="301"/>
      <c r="DD20" s="282">
        <f>DD10-DD12-DD18</f>
        <v>11864.278517865809</v>
      </c>
      <c r="DE20" s="301"/>
      <c r="DF20" s="301"/>
      <c r="DG20" s="301"/>
      <c r="DH20" s="301"/>
      <c r="DI20" s="282">
        <f>DI10-DI12-DI18</f>
        <v>12687.635603384781</v>
      </c>
      <c r="DJ20" s="301"/>
      <c r="DK20" s="301"/>
      <c r="DL20" s="301"/>
      <c r="DM20" s="301"/>
      <c r="DN20" s="282">
        <f>DN10-DN12-DN18</f>
        <v>13544.050231072559</v>
      </c>
      <c r="DO20" s="301"/>
      <c r="DP20" s="301"/>
      <c r="DQ20" s="301"/>
      <c r="DR20" s="301"/>
      <c r="DS20" s="282">
        <f>DS10-DS12-DS18</f>
        <v>8966.0076822307892</v>
      </c>
      <c r="DT20" s="301"/>
      <c r="DU20" s="301"/>
      <c r="DV20" s="301"/>
      <c r="DW20" s="301"/>
      <c r="DX20" s="282">
        <f>DX10-DX12-DX18</f>
        <v>7503.0661829769997</v>
      </c>
      <c r="DY20" s="301"/>
      <c r="DZ20" s="301"/>
      <c r="EA20" s="301"/>
      <c r="EB20" s="301"/>
      <c r="EC20" s="282">
        <f>EC10-EC12-EC18</f>
        <v>7283.8250532158982</v>
      </c>
      <c r="ED20" s="301"/>
      <c r="EE20" s="301"/>
      <c r="EF20" s="301"/>
      <c r="EG20" s="301"/>
      <c r="EH20" s="282">
        <f>EH10-EH12-EH18</f>
        <v>8060.1014731654523</v>
      </c>
      <c r="EI20" s="301"/>
      <c r="EJ20" s="301"/>
      <c r="EK20" s="301"/>
      <c r="EL20" s="301"/>
      <c r="EM20" s="282">
        <f>EM10-EM12-EM18</f>
        <v>10611.953164257158</v>
      </c>
      <c r="EN20" s="301"/>
      <c r="EO20" s="301"/>
      <c r="EP20" s="301"/>
      <c r="EQ20" s="301"/>
      <c r="ER20" s="282">
        <f>ER10-ER12-ER18</f>
        <v>10852.61723281949</v>
      </c>
      <c r="EU20"/>
      <c r="EV20"/>
      <c r="EW20"/>
      <c r="EX20"/>
      <c r="EY20"/>
      <c r="EZ20"/>
    </row>
    <row r="21" spans="2:156" ht="12.75" customHeight="1">
      <c r="B21" s="24"/>
      <c r="C21" s="25"/>
      <c r="D21" s="302"/>
      <c r="E21" s="302"/>
      <c r="F21" s="302"/>
      <c r="G21" s="302"/>
      <c r="H21" s="25"/>
      <c r="I21" s="302"/>
      <c r="J21" s="302"/>
      <c r="K21" s="302"/>
      <c r="L21" s="302"/>
      <c r="M21" s="25"/>
      <c r="N21" s="302"/>
      <c r="O21" s="302"/>
      <c r="P21" s="302"/>
      <c r="Q21" s="302"/>
      <c r="R21" s="25"/>
      <c r="S21" s="302"/>
      <c r="T21" s="302"/>
      <c r="U21" s="302"/>
      <c r="V21" s="302"/>
      <c r="W21" s="25"/>
      <c r="X21" s="302"/>
      <c r="Y21" s="302"/>
      <c r="Z21" s="302"/>
      <c r="AA21" s="302"/>
      <c r="AB21" s="25"/>
      <c r="AC21" s="302"/>
      <c r="AD21" s="302"/>
      <c r="AE21" s="302"/>
      <c r="AF21" s="302"/>
      <c r="AG21" s="25"/>
      <c r="AH21" s="302"/>
      <c r="AI21" s="302"/>
      <c r="AJ21" s="302"/>
      <c r="AK21" s="302"/>
      <c r="AL21" s="25"/>
      <c r="AM21" s="302"/>
      <c r="AN21" s="302"/>
      <c r="AO21" s="302"/>
      <c r="AP21" s="302"/>
      <c r="AQ21" s="25"/>
      <c r="AR21" s="302"/>
      <c r="AS21" s="302"/>
      <c r="AT21" s="302"/>
      <c r="AU21" s="302"/>
      <c r="AV21" s="25"/>
      <c r="AW21" s="302"/>
      <c r="AX21" s="302"/>
      <c r="AY21" s="302"/>
      <c r="AZ21" s="302"/>
      <c r="BA21" s="25"/>
      <c r="BB21" s="302"/>
      <c r="BC21" s="302"/>
      <c r="BD21" s="302"/>
      <c r="BE21" s="302"/>
      <c r="BF21" s="25"/>
      <c r="BG21" s="302"/>
      <c r="BH21" s="302"/>
      <c r="BI21" s="302"/>
      <c r="BJ21" s="302"/>
      <c r="BK21" s="25"/>
      <c r="BL21" s="302"/>
      <c r="BM21" s="302"/>
      <c r="BN21" s="302"/>
      <c r="BO21" s="302"/>
      <c r="BP21" s="25"/>
      <c r="BQ21" s="299"/>
      <c r="BR21" s="299"/>
      <c r="BS21" s="299"/>
      <c r="BT21" s="299"/>
      <c r="BU21" s="25"/>
      <c r="BV21" s="302"/>
      <c r="BW21" s="302"/>
      <c r="BX21" s="302"/>
      <c r="BY21" s="302"/>
      <c r="BZ21" s="25"/>
      <c r="CA21" s="302"/>
      <c r="CB21" s="302"/>
      <c r="CC21" s="302"/>
      <c r="CD21" s="302"/>
      <c r="CE21" s="744"/>
      <c r="CF21" s="302"/>
      <c r="CG21" s="302"/>
      <c r="CH21" s="302"/>
      <c r="CI21" s="302"/>
      <c r="CJ21" s="25"/>
      <c r="CK21" s="302"/>
      <c r="CL21" s="302"/>
      <c r="CM21" s="302"/>
      <c r="CN21" s="302"/>
      <c r="CO21" s="25"/>
      <c r="CP21" s="302"/>
      <c r="CQ21" s="302"/>
      <c r="CR21" s="302"/>
      <c r="CS21" s="302"/>
      <c r="CT21" s="25"/>
      <c r="CU21" s="302"/>
      <c r="CV21" s="302"/>
      <c r="CW21" s="302"/>
      <c r="CX21" s="302"/>
      <c r="CY21" s="25"/>
      <c r="CZ21" s="302"/>
      <c r="DA21" s="302"/>
      <c r="DB21" s="302"/>
      <c r="DC21" s="302"/>
      <c r="DD21" s="25"/>
      <c r="DE21" s="302"/>
      <c r="DF21" s="302"/>
      <c r="DG21" s="302"/>
      <c r="DH21" s="302"/>
      <c r="DI21" s="25"/>
      <c r="DJ21" s="302"/>
      <c r="DK21" s="302"/>
      <c r="DL21" s="302"/>
      <c r="DM21" s="302"/>
      <c r="DN21" s="25"/>
      <c r="DO21" s="302"/>
      <c r="DP21" s="302"/>
      <c r="DQ21" s="302"/>
      <c r="DR21" s="302"/>
      <c r="DS21" s="25"/>
      <c r="DT21" s="302"/>
      <c r="DU21" s="302"/>
      <c r="DV21" s="302"/>
      <c r="DW21" s="302"/>
      <c r="DX21" s="25"/>
      <c r="DY21" s="302"/>
      <c r="DZ21" s="302"/>
      <c r="EA21" s="302"/>
      <c r="EB21" s="302"/>
      <c r="EC21" s="25"/>
      <c r="ED21" s="302"/>
      <c r="EE21" s="302"/>
      <c r="EF21" s="302"/>
      <c r="EG21" s="302"/>
      <c r="EH21" s="25"/>
      <c r="EI21" s="302"/>
      <c r="EJ21" s="302"/>
      <c r="EK21" s="302"/>
      <c r="EL21" s="302"/>
      <c r="EM21" s="25"/>
      <c r="EN21" s="302"/>
      <c r="EO21" s="302"/>
      <c r="EP21" s="302"/>
      <c r="EQ21" s="302"/>
      <c r="ER21" s="25"/>
    </row>
    <row r="22" spans="2:156" s="116" customFormat="1" ht="12.75" customHeight="1">
      <c r="B22" s="231" t="s">
        <v>140</v>
      </c>
      <c r="C22" s="116">
        <v>-13.98</v>
      </c>
      <c r="D22" s="298">
        <v>-3.4820000000000002</v>
      </c>
      <c r="E22" s="298">
        <v>-3.4550000000000001</v>
      </c>
      <c r="F22" s="298">
        <v>-3.4449999999999998</v>
      </c>
      <c r="G22" s="298">
        <v>-3.4710000000000001</v>
      </c>
      <c r="H22" s="116">
        <f>D22+E22+F22+G22</f>
        <v>-13.853</v>
      </c>
      <c r="I22" s="298">
        <v>-5.6139999999999999</v>
      </c>
      <c r="J22" s="298">
        <v>-5.569</v>
      </c>
      <c r="K22" s="298">
        <v>-5.5380000000000003</v>
      </c>
      <c r="L22" s="298">
        <v>-5.1760000000000002</v>
      </c>
      <c r="M22" s="116">
        <f>I22+J22+K22+L22</f>
        <v>-21.896999999999998</v>
      </c>
      <c r="N22" s="298">
        <v>-2.089</v>
      </c>
      <c r="O22" s="298">
        <v>-2.0710000000000002</v>
      </c>
      <c r="P22" s="298">
        <v>-2.0419999999999998</v>
      </c>
      <c r="Q22" s="298">
        <f>-1.145</f>
        <v>-1.145</v>
      </c>
      <c r="R22" s="116">
        <f>N22+O22+P22+Q22</f>
        <v>-7.3469999999999995</v>
      </c>
      <c r="S22" s="298">
        <v>-8.9999999999999993E-3</v>
      </c>
      <c r="T22" s="298">
        <v>-1.4999999999999999E-2</v>
      </c>
      <c r="U22" s="298">
        <v>-2.5999999999999999E-2</v>
      </c>
      <c r="V22" s="298">
        <v>-0.39200000000000002</v>
      </c>
      <c r="W22" s="116">
        <f>S22+T22+U22+V22</f>
        <v>-0.442</v>
      </c>
      <c r="X22" s="298">
        <v>-3.7240000000000002</v>
      </c>
      <c r="Y22" s="298">
        <v>-5.2069999999999999</v>
      </c>
      <c r="Z22" s="298">
        <v>-6.0810000000000004</v>
      </c>
      <c r="AA22" s="298">
        <v>-5.35</v>
      </c>
      <c r="AB22" s="116">
        <f>X22+Y22+Z22+AA22</f>
        <v>-20.362000000000002</v>
      </c>
      <c r="AC22" s="298">
        <v>-4.5469999999999997</v>
      </c>
      <c r="AD22" s="298">
        <v>-2.7069999999999999</v>
      </c>
      <c r="AE22" s="298">
        <v>-2.9889999999999999</v>
      </c>
      <c r="AF22" s="298">
        <v>-2.8570000000000002</v>
      </c>
      <c r="AG22" s="116">
        <f>AC22+AD22+AE22+AF22</f>
        <v>-13.099999999999998</v>
      </c>
      <c r="AH22" s="298">
        <v>-16.001000000000001</v>
      </c>
      <c r="AI22" s="298">
        <v>-16.428000000000001</v>
      </c>
      <c r="AJ22" s="298">
        <f>-16.382</f>
        <v>-16.382000000000001</v>
      </c>
      <c r="AK22" s="298">
        <v>-16.433</v>
      </c>
      <c r="AL22" s="116">
        <f>AH22+AI22+AJ22+AK22</f>
        <v>-65.244</v>
      </c>
      <c r="AM22" s="298">
        <v>-16.670999999999999</v>
      </c>
      <c r="AN22" s="298">
        <v>-18.484000000000002</v>
      </c>
      <c r="AO22" s="298">
        <f>-17.217</f>
        <v>-17.216999999999999</v>
      </c>
      <c r="AP22" s="298">
        <v>-17.29</v>
      </c>
      <c r="AQ22" s="116">
        <f>AM22+AN22+AO22+AP22</f>
        <v>-69.662000000000006</v>
      </c>
      <c r="AR22" s="298">
        <v>-16.954999999999998</v>
      </c>
      <c r="AS22" s="298">
        <v>-17.763999999999999</v>
      </c>
      <c r="AT22" s="298">
        <v>-33.619999999999997</v>
      </c>
      <c r="AU22" s="298">
        <v>-40.622</v>
      </c>
      <c r="AV22" s="116">
        <f>AR22+AS22+AT22+AU22</f>
        <v>-108.961</v>
      </c>
      <c r="AW22" s="298">
        <v>-41.216000000000001</v>
      </c>
      <c r="AX22" s="298">
        <v>-46.106999999999999</v>
      </c>
      <c r="AY22" s="298">
        <v>-43.097000000000001</v>
      </c>
      <c r="AZ22" s="298">
        <f>-74.998+23.817</f>
        <v>-51.181000000000004</v>
      </c>
      <c r="BA22" s="116">
        <f>AW22+AX22+AY22+AZ22</f>
        <v>-181.60100000000003</v>
      </c>
      <c r="BB22" s="298">
        <f>-97.27+7.333</f>
        <v>-89.936999999999998</v>
      </c>
      <c r="BC22" s="298">
        <v>-88.418000000000006</v>
      </c>
      <c r="BD22" s="298">
        <v>-89.322000000000003</v>
      </c>
      <c r="BE22" s="298">
        <v>-85.906000000000006</v>
      </c>
      <c r="BF22" s="116">
        <f>SUM(BB22:BE22)</f>
        <v>-353.58300000000003</v>
      </c>
      <c r="BG22" s="298">
        <v>-81.787000000000006</v>
      </c>
      <c r="BH22" s="298">
        <v>-78.007999999999996</v>
      </c>
      <c r="BI22" s="298">
        <v>-73.948999999999998</v>
      </c>
      <c r="BJ22" s="298">
        <v>-73.150000000000006</v>
      </c>
      <c r="BK22" s="116">
        <f>SUM(BG22:BJ22)</f>
        <v>-306.89400000000001</v>
      </c>
      <c r="BL22" s="299">
        <v>-76.269000000000005</v>
      </c>
      <c r="BM22" s="299">
        <v>-102.004</v>
      </c>
      <c r="BN22" s="299">
        <v>-103.366</v>
      </c>
      <c r="BO22" s="299">
        <v>-130</v>
      </c>
      <c r="BP22" s="116">
        <f>SUM(BL22:BO22)</f>
        <v>-411.63900000000001</v>
      </c>
      <c r="BQ22" s="299">
        <v>-153</v>
      </c>
      <c r="BR22" s="299">
        <v>-140</v>
      </c>
      <c r="BS22" s="299">
        <v>-165</v>
      </c>
      <c r="BT22" s="299">
        <v>-230</v>
      </c>
      <c r="BU22" s="116">
        <f>SUM(BQ22:BT22)</f>
        <v>-688</v>
      </c>
      <c r="BV22" s="299">
        <v>-230</v>
      </c>
      <c r="BW22" s="299">
        <v>-227</v>
      </c>
      <c r="BX22" s="299">
        <v>-242</v>
      </c>
      <c r="BY22" s="299">
        <v>-265</v>
      </c>
      <c r="BZ22" s="696">
        <f>SUM(BV22:BY22)</f>
        <v>-964</v>
      </c>
      <c r="CA22" s="299">
        <v>-261</v>
      </c>
      <c r="CB22" s="299">
        <v>-269</v>
      </c>
      <c r="CC22" s="299">
        <f>-291-CC66</f>
        <v>-273</v>
      </c>
      <c r="CD22" s="996">
        <f>-297-CD66</f>
        <v>-297</v>
      </c>
      <c r="CE22" s="116">
        <f>SUM(CA22:CD22)</f>
        <v>-1100</v>
      </c>
      <c r="CF22" s="298">
        <f>CJ22/4</f>
        <v>-272.27822500000002</v>
      </c>
      <c r="CG22" s="711">
        <f>CJ22/4</f>
        <v>-272.27822500000002</v>
      </c>
      <c r="CH22" s="711">
        <f>CJ22/4</f>
        <v>-272.27822500000002</v>
      </c>
      <c r="CI22" s="711">
        <f>CJ22-SUM(CF22:CH22)</f>
        <v>-272.27822500000002</v>
      </c>
      <c r="CJ22" s="116">
        <f>-DEBT!T210</f>
        <v>-1089.1129000000001</v>
      </c>
      <c r="CK22" s="298"/>
      <c r="CL22" s="298"/>
      <c r="CM22" s="298"/>
      <c r="CN22" s="298"/>
      <c r="CO22" s="116">
        <f>-DEBT!U210</f>
        <v>-1043.9784999999999</v>
      </c>
      <c r="CP22" s="298"/>
      <c r="CQ22" s="298"/>
      <c r="CR22" s="298"/>
      <c r="CS22" s="298"/>
      <c r="CT22" s="116">
        <f>-DEBT!V210</f>
        <v>-966.25850000000003</v>
      </c>
      <c r="CU22" s="298"/>
      <c r="CV22" s="298"/>
      <c r="CW22" s="298"/>
      <c r="CX22" s="298"/>
      <c r="CY22" s="116">
        <f>-DEBT!W210</f>
        <v>-966.25850000000003</v>
      </c>
      <c r="CZ22" s="298"/>
      <c r="DA22" s="298"/>
      <c r="DB22" s="298"/>
      <c r="DC22" s="298"/>
      <c r="DD22" s="116">
        <f>-DEBT!X210</f>
        <v>-787.01300000000003</v>
      </c>
      <c r="DE22" s="298"/>
      <c r="DF22" s="298"/>
      <c r="DG22" s="298"/>
      <c r="DH22" s="298"/>
      <c r="DI22" s="116">
        <f>-DEBT!Y210</f>
        <v>-768.38800000000003</v>
      </c>
      <c r="DJ22" s="298"/>
      <c r="DK22" s="298"/>
      <c r="DL22" s="298"/>
      <c r="DM22" s="298"/>
      <c r="DN22" s="116">
        <f>-DEBT!Z210</f>
        <v>-703.93399999999997</v>
      </c>
      <c r="DO22" s="298"/>
      <c r="DP22" s="298"/>
      <c r="DQ22" s="298"/>
      <c r="DR22" s="298"/>
      <c r="DS22" s="116">
        <f>-DEBT!AA210</f>
        <v>-642.68399999999997</v>
      </c>
      <c r="DT22" s="298"/>
      <c r="DU22" s="298"/>
      <c r="DV22" s="298"/>
      <c r="DW22" s="298"/>
      <c r="DX22" s="116">
        <f>-DEBT!AB210</f>
        <v>-542.30899999999997</v>
      </c>
      <c r="DY22" s="298"/>
      <c r="DZ22" s="298"/>
      <c r="EA22" s="298"/>
      <c r="EB22" s="298"/>
      <c r="EC22" s="116">
        <f>-DEBT!AC210</f>
        <v>-505.61100000000005</v>
      </c>
      <c r="ED22" s="298"/>
      <c r="EE22" s="298"/>
      <c r="EF22" s="298"/>
      <c r="EG22" s="298"/>
      <c r="EH22" s="116">
        <f>-DEBT!AD210</f>
        <v>-505.61100000000005</v>
      </c>
      <c r="EI22" s="298"/>
      <c r="EJ22" s="298"/>
      <c r="EK22" s="298"/>
      <c r="EL22" s="298"/>
      <c r="EM22" s="116">
        <f>-DEBT!AE210</f>
        <v>-505.61100000000005</v>
      </c>
      <c r="EN22" s="298"/>
      <c r="EO22" s="298"/>
      <c r="EP22" s="298"/>
      <c r="EQ22" s="298"/>
      <c r="ER22" s="116">
        <f>-DEBT!AF210</f>
        <v>-505.61100000000005</v>
      </c>
      <c r="EU22"/>
      <c r="EV22"/>
      <c r="EW22"/>
      <c r="EX22"/>
      <c r="EY22"/>
      <c r="EZ22"/>
    </row>
    <row r="23" spans="2:156" s="116" customFormat="1" ht="12.75" customHeight="1">
      <c r="B23" s="231" t="s">
        <v>141</v>
      </c>
      <c r="C23" s="116">
        <v>25.591000000000001</v>
      </c>
      <c r="D23" s="298">
        <v>5.6109999999999998</v>
      </c>
      <c r="E23" s="298">
        <v>4.6100000000000003</v>
      </c>
      <c r="F23" s="298">
        <v>4.883</v>
      </c>
      <c r="G23" s="298">
        <v>7.1870000000000003</v>
      </c>
      <c r="H23" s="116">
        <f>D23+E23+F23+G23</f>
        <v>22.291</v>
      </c>
      <c r="I23" s="298">
        <v>3.8170000000000002</v>
      </c>
      <c r="J23" s="298">
        <v>3.444</v>
      </c>
      <c r="K23" s="298">
        <v>3.3159999999999998</v>
      </c>
      <c r="L23" s="298">
        <v>2.4620000000000002</v>
      </c>
      <c r="M23" s="116">
        <f>I23+J23+K23+L23</f>
        <v>13.039</v>
      </c>
      <c r="N23" s="298">
        <v>2.9279999999999999</v>
      </c>
      <c r="O23" s="298">
        <v>5.4080000000000004</v>
      </c>
      <c r="P23" s="298">
        <v>4.8010000000000002</v>
      </c>
      <c r="Q23" s="298">
        <v>5.8029999999999999</v>
      </c>
      <c r="R23" s="116">
        <f>N23+O23+P23+Q23</f>
        <v>18.940000000000001</v>
      </c>
      <c r="S23" s="298">
        <v>7.319</v>
      </c>
      <c r="T23" s="298">
        <v>9.7870000000000008</v>
      </c>
      <c r="U23" s="298">
        <v>14.127000000000001</v>
      </c>
      <c r="V23" s="298">
        <v>17.940000000000001</v>
      </c>
      <c r="W23" s="116">
        <f>S23+T23+U23+V23</f>
        <v>49.173000000000002</v>
      </c>
      <c r="X23" s="298">
        <f>28.525</f>
        <v>28.524999999999999</v>
      </c>
      <c r="Y23" s="298">
        <f>37.36</f>
        <v>37.36</v>
      </c>
      <c r="Z23" s="298">
        <f>36.197</f>
        <v>36.197000000000003</v>
      </c>
      <c r="AA23" s="298">
        <f>32.56</f>
        <v>32.56</v>
      </c>
      <c r="AB23" s="116">
        <f>X23+Y23+Z23+AA23</f>
        <v>134.642</v>
      </c>
      <c r="AC23" s="298">
        <f>23.104</f>
        <v>23.103999999999999</v>
      </c>
      <c r="AD23" s="298">
        <f>27.689</f>
        <v>27.689</v>
      </c>
      <c r="AE23" s="298">
        <f>29.502</f>
        <v>29.501999999999999</v>
      </c>
      <c r="AF23" s="298">
        <f>29.528</f>
        <v>29.527999999999999</v>
      </c>
      <c r="AG23" s="116">
        <f>AC23+AD23+AE23+AF23</f>
        <v>109.82300000000001</v>
      </c>
      <c r="AH23" s="298">
        <f>22.7</f>
        <v>22.7</v>
      </c>
      <c r="AI23" s="298">
        <f>14.026</f>
        <v>14.026</v>
      </c>
      <c r="AJ23" s="298">
        <f>3.637</f>
        <v>3.637</v>
      </c>
      <c r="AK23" s="298">
        <f>19.038</f>
        <v>19.038</v>
      </c>
      <c r="AL23" s="116">
        <f>AH23+AI23+AJ23+AK23</f>
        <v>59.400999999999996</v>
      </c>
      <c r="AM23" s="298">
        <f>4.159</f>
        <v>4.1589999999999998</v>
      </c>
      <c r="AN23" s="298">
        <f>12.923</f>
        <v>12.923</v>
      </c>
      <c r="AO23" s="298">
        <f>14.017</f>
        <v>14.016999999999999</v>
      </c>
      <c r="AP23" s="298">
        <f>11.299</f>
        <v>11.298999999999999</v>
      </c>
      <c r="AQ23" s="116">
        <f>AM23+AN23+AO23+AP23</f>
        <v>42.397999999999996</v>
      </c>
      <c r="AR23" s="298">
        <f>15.645</f>
        <v>15.645</v>
      </c>
      <c r="AS23" s="298">
        <v>18.285</v>
      </c>
      <c r="AT23" s="298">
        <v>15.593</v>
      </c>
      <c r="AU23" s="298">
        <v>10.763999999999999</v>
      </c>
      <c r="AV23" s="116">
        <f>AR23+AS23+AT23+AU23</f>
        <v>60.286999999999992</v>
      </c>
      <c r="AW23" s="298">
        <v>13.832000000000001</v>
      </c>
      <c r="AX23" s="298">
        <v>11.978</v>
      </c>
      <c r="AY23" s="298">
        <v>14.406000000000001</v>
      </c>
      <c r="AZ23" s="298">
        <v>26.364999999999998</v>
      </c>
      <c r="BA23" s="116">
        <f>SUM(AW23:AZ23)</f>
        <v>66.581000000000003</v>
      </c>
      <c r="BB23" s="298">
        <f>-34.085</f>
        <v>-34.085000000000001</v>
      </c>
      <c r="BC23" s="298">
        <v>-1.075</v>
      </c>
      <c r="BD23" s="298">
        <v>-3.5049999999999999</v>
      </c>
      <c r="BE23" s="298">
        <v>1.3859999999999999</v>
      </c>
      <c r="BF23" s="116">
        <f>SUM(BB23:BE23)</f>
        <v>-37.279000000000003</v>
      </c>
      <c r="BG23" s="298">
        <v>-3.3239999999999998</v>
      </c>
      <c r="BH23" s="298">
        <f>-0.231</f>
        <v>-0.23100000000000001</v>
      </c>
      <c r="BI23" s="298">
        <v>5.7770000000000001</v>
      </c>
      <c r="BJ23" s="298">
        <v>-11.108000000000001</v>
      </c>
      <c r="BK23" s="116">
        <f>SUM(BG23:BJ23)</f>
        <v>-8.8859999999999992</v>
      </c>
      <c r="BL23" s="299">
        <f>-17.912+BL69</f>
        <v>-19.765000000000001</v>
      </c>
      <c r="BM23" s="299">
        <f>-3.645</f>
        <v>-3.645</v>
      </c>
      <c r="BN23" s="299">
        <v>-5.0369999999999999</v>
      </c>
      <c r="BO23" s="299">
        <v>30</v>
      </c>
      <c r="BP23" s="116">
        <f>SUM(BL23:BO23)</f>
        <v>1.5530000000000008</v>
      </c>
      <c r="BQ23" s="299">
        <v>21</v>
      </c>
      <c r="BR23" s="299">
        <f>35</f>
        <v>35</v>
      </c>
      <c r="BS23" s="299">
        <f>52+BS69</f>
        <v>53</v>
      </c>
      <c r="BT23" s="299">
        <v>46</v>
      </c>
      <c r="BU23" s="116">
        <f>SUM(BQ23:BT23)</f>
        <v>155</v>
      </c>
      <c r="BV23" s="299">
        <v>81</v>
      </c>
      <c r="BW23" s="299">
        <f>88-BW69</f>
        <v>93</v>
      </c>
      <c r="BX23" s="299">
        <f>119-BX69</f>
        <v>118</v>
      </c>
      <c r="BY23" s="299">
        <f>140-BY69</f>
        <v>139</v>
      </c>
      <c r="BZ23" s="696">
        <f>SUM(BV23:BY23)</f>
        <v>431</v>
      </c>
      <c r="CA23" s="299">
        <v>111</v>
      </c>
      <c r="CB23" s="299">
        <v>130</v>
      </c>
      <c r="CC23" s="299">
        <v>150</v>
      </c>
      <c r="CD23" s="996">
        <v>132</v>
      </c>
      <c r="CE23" s="116">
        <f>SUM(CA23:CD23)</f>
        <v>523</v>
      </c>
      <c r="CF23" s="711">
        <f>CJ23/4</f>
        <v>119.69499999999999</v>
      </c>
      <c r="CG23" s="711">
        <f>CJ23/4</f>
        <v>119.69499999999999</v>
      </c>
      <c r="CH23" s="711">
        <f>CJ23/4</f>
        <v>119.69499999999999</v>
      </c>
      <c r="CI23" s="711">
        <f>CJ23-SUM(CF23:CH23)</f>
        <v>119.69499999999999</v>
      </c>
      <c r="CJ23" s="116">
        <f>0.01*(BS!S3+BS!S4)+BS!S16*0.02</f>
        <v>478.78</v>
      </c>
      <c r="CK23" s="298"/>
      <c r="CL23" s="298"/>
      <c r="CM23" s="298"/>
      <c r="CN23" s="298"/>
      <c r="CO23" s="116">
        <f>0.01*(BS!T3+BS!T4)+BS!T16*0.02</f>
        <v>499.94264003386542</v>
      </c>
      <c r="CP23" s="298"/>
      <c r="CQ23" s="298"/>
      <c r="CR23" s="298"/>
      <c r="CS23" s="298"/>
      <c r="CT23" s="116">
        <f>0.01*(BS!U3+BS!U4)+BS!U16*0.02</f>
        <v>527.23291408828038</v>
      </c>
      <c r="CU23" s="298"/>
      <c r="CV23" s="298"/>
      <c r="CW23" s="298"/>
      <c r="CX23" s="298"/>
      <c r="CY23" s="116">
        <f>0.01*(BS!V3+BS!V4)+BS!V16*0.02</f>
        <v>503.89640477724839</v>
      </c>
      <c r="CZ23" s="298"/>
      <c r="DA23" s="298"/>
      <c r="DB23" s="298"/>
      <c r="DC23" s="298"/>
      <c r="DD23" s="116">
        <f>0.01*(BS!W3+BS!W4)+BS!W16*0.02</f>
        <v>511.25668566722544</v>
      </c>
      <c r="DE23" s="298"/>
      <c r="DF23" s="298"/>
      <c r="DG23" s="298"/>
      <c r="DH23" s="298"/>
      <c r="DI23" s="116">
        <f>0.01*(BS!X3+BS!X4)+BS!X16*0.02</f>
        <v>496.404407295525</v>
      </c>
      <c r="DJ23" s="298"/>
      <c r="DK23" s="298"/>
      <c r="DL23" s="298"/>
      <c r="DM23" s="298"/>
      <c r="DN23" s="116">
        <f>0.01*(BS!Y3+BS!Y4)+BS!Y16*0.02</f>
        <v>512.63630746348554</v>
      </c>
      <c r="DO23" s="298"/>
      <c r="DP23" s="298"/>
      <c r="DQ23" s="298"/>
      <c r="DR23" s="298"/>
      <c r="DS23" s="116">
        <f>0.01*(BS!Z3+BS!Z4)+BS!Z16*0.02</f>
        <v>573.52206536886729</v>
      </c>
      <c r="DT23" s="298"/>
      <c r="DU23" s="298"/>
      <c r="DV23" s="298"/>
      <c r="DW23" s="298"/>
      <c r="DX23" s="116">
        <f>0.01*(BS!AA3+BS!AA4)+BS!AA16*0.02</f>
        <v>622.85269707371822</v>
      </c>
      <c r="DY23" s="298"/>
      <c r="DZ23" s="298"/>
      <c r="EA23" s="298"/>
      <c r="EB23" s="298"/>
      <c r="EC23" s="116">
        <f>0.01*(BS!AB3+BS!AB4)+BS!AB16*0.02</f>
        <v>645.08381054977224</v>
      </c>
      <c r="ED23" s="298"/>
      <c r="EE23" s="298"/>
      <c r="EF23" s="298"/>
      <c r="EG23" s="298"/>
      <c r="EH23" s="116">
        <f>0.01*(BS!AC3+BS!AC4)+BS!AC16*0.02</f>
        <v>676.88631097026928</v>
      </c>
      <c r="EI23" s="298"/>
      <c r="EJ23" s="298"/>
      <c r="EK23" s="298"/>
      <c r="EL23" s="298"/>
      <c r="EM23" s="116">
        <f>0.01*(BS!AD3+BS!AD4)+BS!AD16*0.02</f>
        <v>719.17867122624739</v>
      </c>
      <c r="EN23" s="298"/>
      <c r="EO23" s="298"/>
      <c r="EP23" s="298"/>
      <c r="EQ23" s="298"/>
      <c r="ER23" s="116">
        <f>0.01*(BS!AE3+BS!AE4)+BS!AE16*0.02</f>
        <v>759.45183281013055</v>
      </c>
      <c r="EU23"/>
      <c r="EV23"/>
      <c r="EW23"/>
      <c r="EX23"/>
      <c r="EY23"/>
      <c r="EZ23"/>
    </row>
    <row r="24" spans="2:156" s="116" customFormat="1" ht="12.75" customHeight="1">
      <c r="B24" s="116" t="s">
        <v>142</v>
      </c>
      <c r="C24" s="116">
        <f t="shared" ref="C24:AH24" si="11">C20+C23+C22</f>
        <v>-111.07800000000002</v>
      </c>
      <c r="D24" s="298">
        <f t="shared" si="11"/>
        <v>-4.8140000000000054</v>
      </c>
      <c r="E24" s="298">
        <f t="shared" si="11"/>
        <v>20.348999999999997</v>
      </c>
      <c r="F24" s="298">
        <f t="shared" si="11"/>
        <v>37.354999999999983</v>
      </c>
      <c r="G24" s="298">
        <f t="shared" si="11"/>
        <v>36.555000000000049</v>
      </c>
      <c r="H24" s="116">
        <f t="shared" si="11"/>
        <v>89.445000000000036</v>
      </c>
      <c r="I24" s="298">
        <f t="shared" si="11"/>
        <v>53.205000000000005</v>
      </c>
      <c r="J24" s="298">
        <f t="shared" si="11"/>
        <v>105.64700000000002</v>
      </c>
      <c r="K24" s="298">
        <f t="shared" si="11"/>
        <v>63.701000000000022</v>
      </c>
      <c r="L24" s="298">
        <f t="shared" si="11"/>
        <v>96.185999999999993</v>
      </c>
      <c r="M24" s="116">
        <f t="shared" si="11"/>
        <v>318.73900000000015</v>
      </c>
      <c r="N24" s="298">
        <f t="shared" si="11"/>
        <v>145.26199999999994</v>
      </c>
      <c r="O24" s="298">
        <f t="shared" si="11"/>
        <v>161.53499999999997</v>
      </c>
      <c r="P24" s="298">
        <f t="shared" si="11"/>
        <v>166.52900000000002</v>
      </c>
      <c r="Q24" s="298">
        <f t="shared" si="11"/>
        <v>169.95700000000002</v>
      </c>
      <c r="R24" s="116">
        <f t="shared" si="11"/>
        <v>643.28300000000013</v>
      </c>
      <c r="S24" s="298">
        <f t="shared" si="11"/>
        <v>230.78699999999995</v>
      </c>
      <c r="T24" s="298">
        <f t="shared" si="11"/>
        <v>287.26999999999992</v>
      </c>
      <c r="U24" s="298">
        <f t="shared" si="11"/>
        <v>262.35100000000006</v>
      </c>
      <c r="V24" s="298">
        <f t="shared" si="11"/>
        <v>377.38900000000001</v>
      </c>
      <c r="W24" s="116">
        <f t="shared" si="11"/>
        <v>1157.7969999999998</v>
      </c>
      <c r="X24" s="298">
        <f t="shared" si="11"/>
        <v>426.08500000000004</v>
      </c>
      <c r="Y24" s="298">
        <f t="shared" si="11"/>
        <v>434.2349999999999</v>
      </c>
      <c r="Z24" s="298">
        <f t="shared" si="11"/>
        <v>474.96899999999988</v>
      </c>
      <c r="AA24" s="298">
        <f t="shared" si="11"/>
        <v>547.95199999999988</v>
      </c>
      <c r="AB24" s="116">
        <f t="shared" si="11"/>
        <v>1883.2410000000004</v>
      </c>
      <c r="AC24" s="298">
        <f t="shared" si="11"/>
        <v>635.62200000000007</v>
      </c>
      <c r="AD24" s="298">
        <f t="shared" si="11"/>
        <v>615.63700000000006</v>
      </c>
      <c r="AE24" s="298">
        <f t="shared" si="11"/>
        <v>619.60400000000004</v>
      </c>
      <c r="AF24" s="298">
        <f t="shared" si="11"/>
        <v>574.32300000000009</v>
      </c>
      <c r="AG24" s="116">
        <f t="shared" si="11"/>
        <v>2445.1859999999997</v>
      </c>
      <c r="AH24" s="298">
        <f t="shared" si="11"/>
        <v>710.8810000000002</v>
      </c>
      <c r="AI24" s="298">
        <f t="shared" ref="AI24:BJ24" si="12">AI20+AI23+AI22</f>
        <v>650.83899999999994</v>
      </c>
      <c r="AJ24" s="298">
        <f t="shared" si="12"/>
        <v>722.68300000000011</v>
      </c>
      <c r="AK24" s="298">
        <f t="shared" si="12"/>
        <v>752.50999999999976</v>
      </c>
      <c r="AL24" s="116">
        <f t="shared" si="12"/>
        <v>2836.9129999999991</v>
      </c>
      <c r="AM24" s="298">
        <f t="shared" si="12"/>
        <v>836.84900000000005</v>
      </c>
      <c r="AN24" s="298">
        <f t="shared" si="12"/>
        <v>857.82899999999984</v>
      </c>
      <c r="AO24" s="298">
        <f t="shared" si="12"/>
        <v>967.96200000000056</v>
      </c>
      <c r="AP24" s="298">
        <f t="shared" si="12"/>
        <v>1140.171</v>
      </c>
      <c r="AQ24" s="116">
        <f t="shared" si="12"/>
        <v>3802.8109999999997</v>
      </c>
      <c r="AR24" s="298">
        <f t="shared" si="12"/>
        <v>1241.318</v>
      </c>
      <c r="AS24" s="298">
        <f t="shared" si="12"/>
        <v>1061.2540000000004</v>
      </c>
      <c r="AT24" s="298">
        <f t="shared" si="12"/>
        <v>1035.9439999999997</v>
      </c>
      <c r="AU24" s="298">
        <f t="shared" si="12"/>
        <v>1018.045</v>
      </c>
      <c r="AV24" s="116">
        <f t="shared" si="12"/>
        <v>4356.5610000000006</v>
      </c>
      <c r="AW24" s="298">
        <f t="shared" si="12"/>
        <v>944.09200000000033</v>
      </c>
      <c r="AX24" s="298">
        <f t="shared" si="12"/>
        <v>1050.4829999999999</v>
      </c>
      <c r="AY24" s="298">
        <f t="shared" si="12"/>
        <v>1046.2589999999998</v>
      </c>
      <c r="AZ24" s="298">
        <f t="shared" si="12"/>
        <v>970.02299999999991</v>
      </c>
      <c r="BA24" s="116">
        <f t="shared" si="12"/>
        <v>4010.8569999999995</v>
      </c>
      <c r="BB24" s="298">
        <f t="shared" si="12"/>
        <v>956.35399999999993</v>
      </c>
      <c r="BC24" s="298">
        <f t="shared" si="12"/>
        <v>1046.1739999999995</v>
      </c>
      <c r="BD24" s="298">
        <f t="shared" si="12"/>
        <v>1100.9549999999995</v>
      </c>
      <c r="BE24" s="298">
        <f t="shared" si="12"/>
        <v>1143.1920000000002</v>
      </c>
      <c r="BF24" s="116">
        <f t="shared" si="12"/>
        <v>4189.1390000000019</v>
      </c>
      <c r="BG24" s="298">
        <f>BG20+BG23+BG22</f>
        <v>1042.1410000000001</v>
      </c>
      <c r="BH24" s="298">
        <f>BH20+BH23+BH22</f>
        <v>1164.2810000000004</v>
      </c>
      <c r="BI24" s="298">
        <f t="shared" si="12"/>
        <v>1190.5050000000001</v>
      </c>
      <c r="BJ24" s="298">
        <f t="shared" si="12"/>
        <v>1275.7340000000002</v>
      </c>
      <c r="BK24" s="116">
        <f>SUM(BG24:BJ24)</f>
        <v>4672.661000000001</v>
      </c>
      <c r="BL24" s="298">
        <f t="shared" ref="BL24:CI24" si="13">BL20+BL23+BL22</f>
        <v>3233.6790000000019</v>
      </c>
      <c r="BM24" s="298">
        <f t="shared" si="13"/>
        <v>4595.1760000000013</v>
      </c>
      <c r="BN24" s="298">
        <f t="shared" si="13"/>
        <v>3675.7630000000004</v>
      </c>
      <c r="BO24" s="298">
        <f>BO20+BO23+BO22</f>
        <v>4668.8721077385035</v>
      </c>
      <c r="BP24" s="116">
        <f t="shared" si="13"/>
        <v>16173.890107738505</v>
      </c>
      <c r="BQ24" s="298">
        <f t="shared" si="13"/>
        <v>5537</v>
      </c>
      <c r="BR24" s="298">
        <f t="shared" si="13"/>
        <v>5888</v>
      </c>
      <c r="BS24" s="298">
        <f t="shared" si="13"/>
        <v>5764</v>
      </c>
      <c r="BT24" s="298">
        <f t="shared" si="13"/>
        <v>5673</v>
      </c>
      <c r="BU24" s="116">
        <f t="shared" si="13"/>
        <v>22862</v>
      </c>
      <c r="BV24" s="298">
        <f t="shared" si="13"/>
        <v>5255</v>
      </c>
      <c r="BW24" s="298">
        <f t="shared" si="13"/>
        <v>5111</v>
      </c>
      <c r="BX24" s="298">
        <f t="shared" si="13"/>
        <v>4697</v>
      </c>
      <c r="BY24" s="298">
        <f t="shared" si="13"/>
        <v>4437</v>
      </c>
      <c r="BZ24" s="116">
        <f>BZ20+BZ23+BZ22</f>
        <v>19500</v>
      </c>
      <c r="CA24" s="711">
        <f t="shared" si="13"/>
        <v>3916</v>
      </c>
      <c r="CB24" s="711">
        <f t="shared" si="13"/>
        <v>4471</v>
      </c>
      <c r="CC24" s="711">
        <f t="shared" si="13"/>
        <v>4017</v>
      </c>
      <c r="CD24" s="711">
        <f t="shared" si="13"/>
        <v>3050</v>
      </c>
      <c r="CE24" s="116">
        <f>CE20+CE23+CE22</f>
        <v>15454</v>
      </c>
      <c r="CF24" s="711">
        <f t="shared" si="13"/>
        <v>2492.5601273457451</v>
      </c>
      <c r="CG24" s="711">
        <f t="shared" si="13"/>
        <v>2707.8014218788908</v>
      </c>
      <c r="CH24" s="711">
        <f t="shared" si="13"/>
        <v>2799.1138183045896</v>
      </c>
      <c r="CI24" s="711">
        <f t="shared" si="13"/>
        <v>2495.1251565292973</v>
      </c>
      <c r="CJ24" s="116">
        <f>CJ20+CJ23+CJ22</f>
        <v>10494.600524058524</v>
      </c>
      <c r="CK24" s="298"/>
      <c r="CL24" s="298"/>
      <c r="CM24" s="298"/>
      <c r="CN24" s="298"/>
      <c r="CO24" s="116">
        <f>CO20+CO23+CO22</f>
        <v>10699.24204026494</v>
      </c>
      <c r="CP24" s="298"/>
      <c r="CQ24" s="298"/>
      <c r="CR24" s="298"/>
      <c r="CS24" s="298"/>
      <c r="CT24" s="116">
        <f>CT20+CT23+CT22</f>
        <v>11924.039278510101</v>
      </c>
      <c r="CU24" s="298"/>
      <c r="CV24" s="298"/>
      <c r="CW24" s="298"/>
      <c r="CX24" s="298"/>
      <c r="CY24" s="116">
        <f>CY20+CY23+CY22</f>
        <v>10712.320741773676</v>
      </c>
      <c r="CZ24" s="298"/>
      <c r="DA24" s="298"/>
      <c r="DB24" s="298"/>
      <c r="DC24" s="298"/>
      <c r="DD24" s="116">
        <f>DD20+DD23+DD22</f>
        <v>11588.522203533033</v>
      </c>
      <c r="DE24" s="298"/>
      <c r="DF24" s="298"/>
      <c r="DG24" s="298"/>
      <c r="DH24" s="298"/>
      <c r="DI24" s="116">
        <f>DI20+DI23+DI22</f>
        <v>12415.652010680305</v>
      </c>
      <c r="DJ24" s="298"/>
      <c r="DK24" s="298"/>
      <c r="DL24" s="298"/>
      <c r="DM24" s="298"/>
      <c r="DN24" s="116">
        <f>DN20+DN23+DN22</f>
        <v>13352.752538536044</v>
      </c>
      <c r="DO24" s="298"/>
      <c r="DP24" s="298"/>
      <c r="DQ24" s="298"/>
      <c r="DR24" s="298"/>
      <c r="DS24" s="116">
        <f>DS20+DS23+DS22</f>
        <v>8896.8457475996565</v>
      </c>
      <c r="DT24" s="298"/>
      <c r="DU24" s="298"/>
      <c r="DV24" s="298"/>
      <c r="DW24" s="298"/>
      <c r="DX24" s="116">
        <f>DX20+DX23+DX22</f>
        <v>7583.6098800507179</v>
      </c>
      <c r="DY24" s="298"/>
      <c r="DZ24" s="298"/>
      <c r="EA24" s="298"/>
      <c r="EB24" s="298"/>
      <c r="EC24" s="116">
        <f>EC20+EC23+EC22</f>
        <v>7423.2978637656706</v>
      </c>
      <c r="ED24" s="298"/>
      <c r="EE24" s="298"/>
      <c r="EF24" s="298"/>
      <c r="EG24" s="298"/>
      <c r="EH24" s="116">
        <f>EH20+EH23+EH22</f>
        <v>8231.3767841357203</v>
      </c>
      <c r="EI24" s="298"/>
      <c r="EJ24" s="298"/>
      <c r="EK24" s="298"/>
      <c r="EL24" s="298"/>
      <c r="EM24" s="116">
        <f>EM20+EM23+EM22</f>
        <v>10825.520835483405</v>
      </c>
      <c r="EN24" s="298"/>
      <c r="EO24" s="298"/>
      <c r="EP24" s="298"/>
      <c r="EQ24" s="298"/>
      <c r="ER24" s="116">
        <f>ER20+ER23+ER22</f>
        <v>11106.45806562962</v>
      </c>
      <c r="EU24"/>
      <c r="EV24"/>
      <c r="EW24"/>
      <c r="EX24"/>
      <c r="EY24"/>
      <c r="EZ24"/>
    </row>
    <row r="25" spans="2:156" s="116" customFormat="1" ht="12.75" customHeight="1">
      <c r="B25" s="116" t="s">
        <v>143</v>
      </c>
      <c r="C25" s="116">
        <v>4.1349999999999998</v>
      </c>
      <c r="D25" s="298">
        <v>-0.96399999999999997</v>
      </c>
      <c r="E25" s="298">
        <v>0.63800000000000001</v>
      </c>
      <c r="F25" s="298">
        <v>0.55000000000000004</v>
      </c>
      <c r="G25" s="298">
        <v>1.0760000000000001</v>
      </c>
      <c r="H25" s="116">
        <f>D25+E25+F25+G25</f>
        <v>1.3000000000000003</v>
      </c>
      <c r="I25" s="298">
        <v>2.66</v>
      </c>
      <c r="J25" s="298">
        <v>5.2750000000000004</v>
      </c>
      <c r="K25" s="298">
        <f>3.855-0.663</f>
        <v>3.1920000000000002</v>
      </c>
      <c r="L25" s="298">
        <f>-107.32+112.129</f>
        <v>4.8090000000000117</v>
      </c>
      <c r="M25" s="116">
        <f>I25+J25+K25+L25</f>
        <v>15.936000000000012</v>
      </c>
      <c r="N25" s="298">
        <f>51.41-8.025</f>
        <v>43.384999999999998</v>
      </c>
      <c r="O25" s="298">
        <v>50.076000000000001</v>
      </c>
      <c r="P25" s="298">
        <v>53.289000000000001</v>
      </c>
      <c r="Q25" s="298">
        <f>52.276+2.901</f>
        <v>55.177000000000007</v>
      </c>
      <c r="R25" s="116">
        <f>N25+O25+P25+Q25</f>
        <v>201.92700000000002</v>
      </c>
      <c r="S25" s="298">
        <v>73.935000000000002</v>
      </c>
      <c r="T25" s="298">
        <v>92.216999999999999</v>
      </c>
      <c r="U25" s="298">
        <v>84.341999999999999</v>
      </c>
      <c r="V25" s="298">
        <f>97.384+25.081</f>
        <v>122.465</v>
      </c>
      <c r="W25" s="116">
        <f>S25+T25+U25+V25</f>
        <v>372.95899999999995</v>
      </c>
      <c r="X25" s="298">
        <f>134.743+X37</f>
        <v>140.87199999999999</v>
      </c>
      <c r="Y25" s="298">
        <f>133.562+Y37</f>
        <v>142.608</v>
      </c>
      <c r="Z25" s="298">
        <f>141.46+Z37</f>
        <v>147.625</v>
      </c>
      <c r="AA25" s="298">
        <f>141.986+AA37</f>
        <v>152.76399999999998</v>
      </c>
      <c r="AB25" s="116">
        <f>X25+Y25+Z25+AA25</f>
        <v>583.86900000000003</v>
      </c>
      <c r="AC25" s="298">
        <f>173.447+AC37</f>
        <v>190.55500000000001</v>
      </c>
      <c r="AD25" s="298">
        <f>162.301+AD37</f>
        <v>175.84799999999998</v>
      </c>
      <c r="AE25" s="298">
        <f>177.702+AE37</f>
        <v>191.98599999999999</v>
      </c>
      <c r="AF25" s="298">
        <f>141.59+AF37</f>
        <v>149.91200000000001</v>
      </c>
      <c r="AG25" s="116">
        <f>AC25+AD25+AE25+AF25</f>
        <v>708.30100000000004</v>
      </c>
      <c r="AH25" s="298">
        <f>188.32+AH37</f>
        <v>198.45499999999998</v>
      </c>
      <c r="AI25" s="298">
        <f>170.49+AI37+(10.851-7.769)</f>
        <v>184.03800000000001</v>
      </c>
      <c r="AJ25" s="298">
        <f>187.396+AJ37</f>
        <v>198.90899999999999</v>
      </c>
      <c r="AK25" s="298">
        <f>156.157+8.451</f>
        <v>164.608</v>
      </c>
      <c r="AL25" s="116">
        <f>AH25+AI25+AJ25+AK25</f>
        <v>746.01</v>
      </c>
      <c r="AM25" s="298">
        <f>209.227+10.757</f>
        <v>219.98400000000001</v>
      </c>
      <c r="AN25" s="298">
        <f>186.355+24.843</f>
        <v>211.19799999999998</v>
      </c>
      <c r="AO25" s="298">
        <f>220.728+19.506</f>
        <v>240.23400000000001</v>
      </c>
      <c r="AP25" s="298">
        <f>260.054+18.52</f>
        <v>278.57399999999996</v>
      </c>
      <c r="AQ25" s="116">
        <f>AM25+AN25+AO25+AP25</f>
        <v>949.99</v>
      </c>
      <c r="AR25" s="298">
        <f>307.737+21.621</f>
        <v>329.358</v>
      </c>
      <c r="AS25" s="298">
        <f>284.021+19.496</f>
        <v>303.517</v>
      </c>
      <c r="AT25" s="298">
        <f>258.883+20.108</f>
        <v>278.99099999999999</v>
      </c>
      <c r="AU25" s="298">
        <f>173.158+68.66</f>
        <v>241.81799999999998</v>
      </c>
      <c r="AV25" s="116">
        <f>AR25+AS25+AT25+AU25</f>
        <v>1153.684</v>
      </c>
      <c r="AW25" s="298">
        <f>227.282+17.849</f>
        <v>245.131</v>
      </c>
      <c r="AX25" s="298">
        <f>240.13+16.433</f>
        <v>256.56299999999999</v>
      </c>
      <c r="AY25" s="298">
        <f>237.449+17.223</f>
        <v>254.67200000000003</v>
      </c>
      <c r="AZ25" s="298">
        <f>157.084+73.221</f>
        <v>230.30500000000001</v>
      </c>
      <c r="BA25" s="116">
        <f>SUM(AW25:AZ25)</f>
        <v>986.67100000000005</v>
      </c>
      <c r="BB25" s="298">
        <f>231.3+25.09</f>
        <v>256.39</v>
      </c>
      <c r="BC25" s="298">
        <f>263.525+20.862</f>
        <v>284.387</v>
      </c>
      <c r="BD25" s="298">
        <f>280.052+18.922</f>
        <v>298.97400000000005</v>
      </c>
      <c r="BE25" s="298">
        <f>263.504+19.811</f>
        <v>283.315</v>
      </c>
      <c r="BF25" s="116">
        <f>SUM(BB25:BE25)</f>
        <v>1123.066</v>
      </c>
      <c r="BG25" s="298">
        <f>222.438+22.236</f>
        <v>244.67399999999998</v>
      </c>
      <c r="BH25" s="298">
        <f>307.981+21.562</f>
        <v>329.54300000000001</v>
      </c>
      <c r="BI25" s="298">
        <f>294.473-BI68</f>
        <v>314.81299999999999</v>
      </c>
      <c r="BJ25" s="298">
        <f>326.041-BJ68</f>
        <v>350.596</v>
      </c>
      <c r="BK25" s="116">
        <f>SUM(BG25:BJ25)</f>
        <v>1239.626</v>
      </c>
      <c r="BL25" s="299">
        <f>725.882-BL68</f>
        <v>750.69299999999998</v>
      </c>
      <c r="BM25" s="299">
        <f>656.621-BM68</f>
        <v>670.75299999999993</v>
      </c>
      <c r="BN25" s="299">
        <f>646.557-BN68</f>
        <v>669.08299999999997</v>
      </c>
      <c r="BO25" s="299">
        <f>768-BO68</f>
        <v>806</v>
      </c>
      <c r="BP25" s="116">
        <f>SUM(BL25:BO25)</f>
        <v>2896.529</v>
      </c>
      <c r="BQ25" s="299">
        <f>907-BQ68</f>
        <v>935</v>
      </c>
      <c r="BR25" s="299">
        <f>1014-BR68</f>
        <v>1038</v>
      </c>
      <c r="BS25" s="299">
        <f>880-BS68</f>
        <v>936</v>
      </c>
      <c r="BT25" s="299">
        <f>752-BT68</f>
        <v>782</v>
      </c>
      <c r="BU25" s="116">
        <f>SUM(BQ25:BT25)</f>
        <v>3691</v>
      </c>
      <c r="BV25" s="299">
        <f>935-BV68</f>
        <v>980</v>
      </c>
      <c r="BW25" s="299">
        <f>902-BW68</f>
        <v>934</v>
      </c>
      <c r="BX25" s="299">
        <f>951-BX68</f>
        <v>1025</v>
      </c>
      <c r="BY25" s="299">
        <f>821-BY68</f>
        <v>861</v>
      </c>
      <c r="BZ25" s="116">
        <f>SUM(BV25:BY25)</f>
        <v>3800</v>
      </c>
      <c r="CA25" s="299">
        <f>918-CA68</f>
        <v>970</v>
      </c>
      <c r="CB25" s="299">
        <f>1046-CB68</f>
        <v>1103</v>
      </c>
      <c r="CC25" s="299">
        <f>959-CC68</f>
        <v>1033</v>
      </c>
      <c r="CD25" s="996">
        <f>5962-CD68</f>
        <v>678</v>
      </c>
      <c r="CE25" s="116">
        <f>SUM(CA25:CD25)</f>
        <v>3784</v>
      </c>
      <c r="CF25" s="298">
        <f>CF24*CF26</f>
        <v>548.36322801606389</v>
      </c>
      <c r="CG25" s="711">
        <f t="shared" ref="CG25:CI25" si="14">CG24*CG26</f>
        <v>595.71631281335601</v>
      </c>
      <c r="CH25" s="711">
        <f t="shared" si="14"/>
        <v>615.80504002700968</v>
      </c>
      <c r="CI25" s="711">
        <f t="shared" si="14"/>
        <v>548.9275344364454</v>
      </c>
      <c r="CJ25" s="116">
        <f>CJ26*CJ24</f>
        <v>2308.8121152928752</v>
      </c>
      <c r="CK25" s="298"/>
      <c r="CL25" s="298"/>
      <c r="CM25" s="298"/>
      <c r="CN25" s="298"/>
      <c r="CO25" s="116">
        <f>CO26*CO24</f>
        <v>2353.8332488582869</v>
      </c>
      <c r="CP25" s="298"/>
      <c r="CQ25" s="298"/>
      <c r="CR25" s="298"/>
      <c r="CS25" s="298"/>
      <c r="CT25" s="116">
        <f>CT26*CT24</f>
        <v>2623.2886412722223</v>
      </c>
      <c r="CU25" s="298"/>
      <c r="CV25" s="298"/>
      <c r="CW25" s="298"/>
      <c r="CX25" s="298"/>
      <c r="CY25" s="116">
        <f>CY26*CY24</f>
        <v>2356.7105631902086</v>
      </c>
      <c r="CZ25" s="298"/>
      <c r="DA25" s="298"/>
      <c r="DB25" s="298"/>
      <c r="DC25" s="298"/>
      <c r="DD25" s="116">
        <f>DD26*DD24</f>
        <v>2549.4748847772676</v>
      </c>
      <c r="DE25" s="298"/>
      <c r="DF25" s="298"/>
      <c r="DG25" s="298"/>
      <c r="DH25" s="298"/>
      <c r="DI25" s="116">
        <f>DI26*DI24</f>
        <v>2731.4434423496673</v>
      </c>
      <c r="DJ25" s="298"/>
      <c r="DK25" s="298"/>
      <c r="DL25" s="298"/>
      <c r="DM25" s="298"/>
      <c r="DN25" s="116">
        <f>DN26*DN24</f>
        <v>2937.6055584779297</v>
      </c>
      <c r="DO25" s="298"/>
      <c r="DP25" s="298"/>
      <c r="DQ25" s="298"/>
      <c r="DR25" s="298"/>
      <c r="DS25" s="116">
        <f>DS26*DS24</f>
        <v>1957.3060644719244</v>
      </c>
      <c r="DT25" s="298"/>
      <c r="DU25" s="298"/>
      <c r="DV25" s="298"/>
      <c r="DW25" s="298"/>
      <c r="DX25" s="116">
        <f>DX26*DX24</f>
        <v>1668.3941736111581</v>
      </c>
      <c r="DY25" s="298"/>
      <c r="DZ25" s="298"/>
      <c r="EA25" s="298"/>
      <c r="EB25" s="298"/>
      <c r="EC25" s="116">
        <f>EC26*EC24</f>
        <v>1633.1255300284477</v>
      </c>
      <c r="ED25" s="298"/>
      <c r="EE25" s="298"/>
      <c r="EF25" s="298"/>
      <c r="EG25" s="298"/>
      <c r="EH25" s="116">
        <f>EH26*EH24</f>
        <v>1810.9028925098585</v>
      </c>
      <c r="EI25" s="298"/>
      <c r="EJ25" s="298"/>
      <c r="EK25" s="298"/>
      <c r="EL25" s="298"/>
      <c r="EM25" s="116">
        <f>EM26*EM24</f>
        <v>2381.6145838063489</v>
      </c>
      <c r="EN25" s="298"/>
      <c r="EO25" s="298"/>
      <c r="EP25" s="298"/>
      <c r="EQ25" s="298"/>
      <c r="ER25" s="116">
        <f>ER26*ER24</f>
        <v>2443.4207744385167</v>
      </c>
      <c r="EU25"/>
      <c r="EV25"/>
      <c r="EW25"/>
      <c r="EX25"/>
      <c r="EY25"/>
      <c r="EZ25"/>
    </row>
    <row r="26" spans="2:156" ht="12.75" customHeight="1" thickBot="1">
      <c r="B26" s="23" t="s">
        <v>133</v>
      </c>
      <c r="C26" s="31">
        <f t="shared" ref="C26:AH26" si="15">C25/C24</f>
        <v>-3.722609337582599E-2</v>
      </c>
      <c r="D26" s="303">
        <f t="shared" si="15"/>
        <v>0.20024927295388428</v>
      </c>
      <c r="E26" s="303">
        <f t="shared" si="15"/>
        <v>3.1352892034006589E-2</v>
      </c>
      <c r="F26" s="303">
        <f t="shared" si="15"/>
        <v>1.4723597911926123E-2</v>
      </c>
      <c r="G26" s="303">
        <f t="shared" si="15"/>
        <v>2.9435097797838834E-2</v>
      </c>
      <c r="H26" s="31">
        <f t="shared" si="15"/>
        <v>1.453407121694896E-2</v>
      </c>
      <c r="I26" s="303">
        <f t="shared" si="15"/>
        <v>4.9995301193496849E-2</v>
      </c>
      <c r="J26" s="303">
        <f t="shared" si="15"/>
        <v>4.9930428691775434E-2</v>
      </c>
      <c r="K26" s="303">
        <f t="shared" si="15"/>
        <v>5.0109103467763441E-2</v>
      </c>
      <c r="L26" s="303">
        <f t="shared" si="15"/>
        <v>4.9996881042979356E-2</v>
      </c>
      <c r="M26" s="31">
        <f t="shared" si="15"/>
        <v>4.9997019504986855E-2</v>
      </c>
      <c r="N26" s="303">
        <f t="shared" si="15"/>
        <v>0.2986672357533286</v>
      </c>
      <c r="O26" s="303">
        <f t="shared" si="15"/>
        <v>0.310000928591327</v>
      </c>
      <c r="P26" s="303">
        <f t="shared" si="15"/>
        <v>0.31999831861117278</v>
      </c>
      <c r="Q26" s="303">
        <f t="shared" si="15"/>
        <v>0.3246527062727631</v>
      </c>
      <c r="R26" s="31">
        <f t="shared" si="15"/>
        <v>0.31390072487536586</v>
      </c>
      <c r="S26" s="303">
        <f t="shared" si="15"/>
        <v>0.32036033225441651</v>
      </c>
      <c r="T26" s="303">
        <f t="shared" si="15"/>
        <v>0.32101159188220152</v>
      </c>
      <c r="U26" s="303">
        <f t="shared" si="15"/>
        <v>0.3214853383444316</v>
      </c>
      <c r="V26" s="303">
        <f t="shared" si="15"/>
        <v>0.32450601368879328</v>
      </c>
      <c r="W26" s="31">
        <f t="shared" si="15"/>
        <v>0.32212814508933779</v>
      </c>
      <c r="X26" s="303">
        <f t="shared" si="15"/>
        <v>0.33061947733433461</v>
      </c>
      <c r="Y26" s="303">
        <f t="shared" si="15"/>
        <v>0.32841203495802973</v>
      </c>
      <c r="Z26" s="303">
        <f t="shared" si="15"/>
        <v>0.31080975811052941</v>
      </c>
      <c r="AA26" s="303">
        <f t="shared" si="15"/>
        <v>0.27879084299354689</v>
      </c>
      <c r="AB26" s="31">
        <f t="shared" si="15"/>
        <v>0.31003413795685197</v>
      </c>
      <c r="AC26" s="303">
        <f t="shared" si="15"/>
        <v>0.29979295870816303</v>
      </c>
      <c r="AD26" s="303">
        <f t="shared" si="15"/>
        <v>0.28563585359554405</v>
      </c>
      <c r="AE26" s="303">
        <f t="shared" si="15"/>
        <v>0.30985274465626428</v>
      </c>
      <c r="AF26" s="303">
        <f t="shared" si="15"/>
        <v>0.26102384894911046</v>
      </c>
      <c r="AG26" s="31">
        <f t="shared" si="15"/>
        <v>0.28967162416274267</v>
      </c>
      <c r="AH26" s="303">
        <f t="shared" si="15"/>
        <v>0.27916768066666564</v>
      </c>
      <c r="AI26" s="303">
        <f t="shared" ref="AI26:BL26" si="16">AI25/AI24</f>
        <v>0.28277039329235037</v>
      </c>
      <c r="AJ26" s="303">
        <f t="shared" si="16"/>
        <v>0.27523686042151257</v>
      </c>
      <c r="AK26" s="303">
        <f t="shared" si="16"/>
        <v>0.21874526584364334</v>
      </c>
      <c r="AL26" s="31">
        <f t="shared" si="16"/>
        <v>0.26296541346174529</v>
      </c>
      <c r="AM26" s="303">
        <f t="shared" si="16"/>
        <v>0.26287179646507314</v>
      </c>
      <c r="AN26" s="303">
        <f t="shared" si="16"/>
        <v>0.24620058309989523</v>
      </c>
      <c r="AO26" s="303">
        <f t="shared" si="16"/>
        <v>0.24818536264853358</v>
      </c>
      <c r="AP26" s="303">
        <f t="shared" si="16"/>
        <v>0.24432650891839902</v>
      </c>
      <c r="AQ26" s="31">
        <f t="shared" si="16"/>
        <v>0.249812572857289</v>
      </c>
      <c r="AR26" s="303">
        <f t="shared" si="16"/>
        <v>0.26532927098455028</v>
      </c>
      <c r="AS26" s="303">
        <f t="shared" si="16"/>
        <v>0.28599845088923093</v>
      </c>
      <c r="AT26" s="303">
        <f t="shared" si="16"/>
        <v>0.26931088939170461</v>
      </c>
      <c r="AU26" s="303">
        <f t="shared" si="16"/>
        <v>0.23753173975610115</v>
      </c>
      <c r="AV26" s="31">
        <f t="shared" si="16"/>
        <v>0.2648152981216147</v>
      </c>
      <c r="AW26" s="303">
        <f t="shared" si="16"/>
        <v>0.25964736487545698</v>
      </c>
      <c r="AX26" s="303">
        <f t="shared" si="16"/>
        <v>0.2442333669369233</v>
      </c>
      <c r="AY26" s="303">
        <f t="shared" si="16"/>
        <v>0.24341200410223479</v>
      </c>
      <c r="AZ26" s="303">
        <f t="shared" si="16"/>
        <v>0.23742220545286041</v>
      </c>
      <c r="BA26" s="31">
        <f t="shared" si="16"/>
        <v>0.24600004437954287</v>
      </c>
      <c r="BB26" s="303">
        <f t="shared" si="16"/>
        <v>0.2680911043400247</v>
      </c>
      <c r="BC26" s="303">
        <f t="shared" si="16"/>
        <v>0.27183527787920569</v>
      </c>
      <c r="BD26" s="303">
        <f t="shared" si="16"/>
        <v>0.27155878305652836</v>
      </c>
      <c r="BE26" s="303">
        <f t="shared" si="16"/>
        <v>0.24782801139266189</v>
      </c>
      <c r="BF26" s="31">
        <f t="shared" si="16"/>
        <v>0.26808993447102125</v>
      </c>
      <c r="BG26" s="303">
        <f t="shared" si="16"/>
        <v>0.23478013051976648</v>
      </c>
      <c r="BH26" s="303">
        <f>BH25/BH24</f>
        <v>0.28304421355325726</v>
      </c>
      <c r="BI26" s="303">
        <f t="shared" si="16"/>
        <v>0.26443652063620054</v>
      </c>
      <c r="BJ26" s="303">
        <f>BE26</f>
        <v>0.24782801139266189</v>
      </c>
      <c r="BK26" s="31">
        <f>BK25/BK24</f>
        <v>0.26529337351885784</v>
      </c>
      <c r="BL26" s="303">
        <f t="shared" si="16"/>
        <v>0.23214827445766867</v>
      </c>
      <c r="BM26" s="303">
        <f>BM25/BM24</f>
        <v>0.14596894656483228</v>
      </c>
      <c r="BN26" s="587">
        <f>18.2%-0.5%</f>
        <v>0.17699999999999999</v>
      </c>
      <c r="BO26" s="303">
        <f>BN26-0.5%</f>
        <v>0.17199999999999999</v>
      </c>
      <c r="BP26" s="263">
        <f>AVERAGE(BL26:BO26)</f>
        <v>0.18177930525562525</v>
      </c>
      <c r="BQ26" s="587">
        <f>BQ25/BQ24</f>
        <v>0.16886400577930288</v>
      </c>
      <c r="BR26" s="587">
        <f>BR25/BR24</f>
        <v>0.17629076086956522</v>
      </c>
      <c r="BS26" s="303">
        <f>BR26</f>
        <v>0.17629076086956522</v>
      </c>
      <c r="BT26" s="303">
        <f>BS26</f>
        <v>0.17629076086956522</v>
      </c>
      <c r="BU26" s="588">
        <f>AVERAGE(BQ26:BT26)</f>
        <v>0.17443407209699963</v>
      </c>
      <c r="BV26" s="303">
        <f>BV25/BV24</f>
        <v>0.18648905803996194</v>
      </c>
      <c r="BW26" s="303">
        <f>BW25/BW24</f>
        <v>0.18274310311093719</v>
      </c>
      <c r="BX26" s="303">
        <v>0.19</v>
      </c>
      <c r="BY26" s="303">
        <v>0.19</v>
      </c>
      <c r="BZ26" s="31">
        <f t="shared" ref="BZ26:CE26" si="17">BZ25/BZ24</f>
        <v>0.19487179487179487</v>
      </c>
      <c r="CA26" s="303">
        <f t="shared" si="17"/>
        <v>0.24770173646578142</v>
      </c>
      <c r="CB26" s="303">
        <f t="shared" si="17"/>
        <v>0.24670096175352271</v>
      </c>
      <c r="CC26" s="745">
        <f t="shared" si="17"/>
        <v>0.25715708239980084</v>
      </c>
      <c r="CD26" s="745">
        <f t="shared" si="17"/>
        <v>0.22229508196721312</v>
      </c>
      <c r="CE26" s="263">
        <f t="shared" si="17"/>
        <v>0.24485570078943963</v>
      </c>
      <c r="CF26" s="303">
        <f>CJ26</f>
        <v>0.22</v>
      </c>
      <c r="CG26" s="303">
        <f>CJ26</f>
        <v>0.22</v>
      </c>
      <c r="CH26" s="303">
        <f>CJ26</f>
        <v>0.22</v>
      </c>
      <c r="CI26" s="303">
        <f>CJ26</f>
        <v>0.22</v>
      </c>
      <c r="CJ26" s="993">
        <v>0.22</v>
      </c>
      <c r="CK26" s="303"/>
      <c r="CL26" s="303"/>
      <c r="CM26" s="303"/>
      <c r="CN26" s="303"/>
      <c r="CO26" s="588">
        <f>CJ26</f>
        <v>0.22</v>
      </c>
      <c r="CP26" s="303"/>
      <c r="CQ26" s="303"/>
      <c r="CR26" s="303"/>
      <c r="CS26" s="303"/>
      <c r="CT26" s="588">
        <f>CO26</f>
        <v>0.22</v>
      </c>
      <c r="CU26" s="303"/>
      <c r="CV26" s="303"/>
      <c r="CW26" s="303"/>
      <c r="CX26" s="303"/>
      <c r="CY26" s="588">
        <f>CT26</f>
        <v>0.22</v>
      </c>
      <c r="CZ26" s="303"/>
      <c r="DA26" s="303"/>
      <c r="DB26" s="303"/>
      <c r="DC26" s="303"/>
      <c r="DD26" s="588">
        <f>CY26</f>
        <v>0.22</v>
      </c>
      <c r="DE26" s="303"/>
      <c r="DF26" s="303"/>
      <c r="DG26" s="303"/>
      <c r="DH26" s="303"/>
      <c r="DI26" s="588">
        <f>DD26</f>
        <v>0.22</v>
      </c>
      <c r="DJ26" s="303"/>
      <c r="DK26" s="303"/>
      <c r="DL26" s="303"/>
      <c r="DM26" s="303"/>
      <c r="DN26" s="588">
        <f>DI26</f>
        <v>0.22</v>
      </c>
      <c r="DO26" s="303"/>
      <c r="DP26" s="303"/>
      <c r="DQ26" s="303"/>
      <c r="DR26" s="303"/>
      <c r="DS26" s="588">
        <f>DN26</f>
        <v>0.22</v>
      </c>
      <c r="DT26" s="303"/>
      <c r="DU26" s="303"/>
      <c r="DV26" s="303"/>
      <c r="DW26" s="303"/>
      <c r="DX26" s="588">
        <f>DS26</f>
        <v>0.22</v>
      </c>
      <c r="DY26" s="303"/>
      <c r="DZ26" s="303"/>
      <c r="EA26" s="303"/>
      <c r="EB26" s="303"/>
      <c r="EC26" s="588">
        <f>DX26</f>
        <v>0.22</v>
      </c>
      <c r="ED26" s="303"/>
      <c r="EE26" s="303"/>
      <c r="EF26" s="303"/>
      <c r="EG26" s="303"/>
      <c r="EH26" s="588">
        <f>EC26</f>
        <v>0.22</v>
      </c>
      <c r="EI26" s="303"/>
      <c r="EJ26" s="303"/>
      <c r="EK26" s="303"/>
      <c r="EL26" s="303"/>
      <c r="EM26" s="588">
        <f>EH26</f>
        <v>0.22</v>
      </c>
      <c r="EN26" s="303"/>
      <c r="EO26" s="303"/>
      <c r="EP26" s="303"/>
      <c r="EQ26" s="303"/>
      <c r="ER26" s="588">
        <f>EM26</f>
        <v>0.22</v>
      </c>
    </row>
    <row r="27" spans="2:156" ht="12.75" customHeight="1" thickBot="1">
      <c r="B27" s="23"/>
      <c r="C27" s="31"/>
      <c r="D27" s="303"/>
      <c r="E27" s="303"/>
      <c r="F27" s="303"/>
      <c r="G27" s="303"/>
      <c r="H27" s="31"/>
      <c r="I27" s="303"/>
      <c r="J27" s="303"/>
      <c r="K27" s="303"/>
      <c r="L27" s="303"/>
      <c r="M27" s="31"/>
      <c r="N27" s="303"/>
      <c r="O27" s="303"/>
      <c r="P27" s="303"/>
      <c r="Q27" s="303"/>
      <c r="R27" s="31"/>
      <c r="S27" s="303"/>
      <c r="T27" s="303"/>
      <c r="U27" s="303"/>
      <c r="V27" s="303"/>
      <c r="W27" s="31"/>
      <c r="X27" s="303"/>
      <c r="Y27" s="303"/>
      <c r="Z27" s="303"/>
      <c r="AA27" s="303"/>
      <c r="AB27" s="31"/>
      <c r="AC27" s="303"/>
      <c r="AD27" s="303"/>
      <c r="AE27" s="303"/>
      <c r="AF27" s="303"/>
      <c r="AG27" s="31"/>
      <c r="AH27" s="303"/>
      <c r="AI27" s="303"/>
      <c r="AJ27" s="303"/>
      <c r="AK27" s="303"/>
      <c r="AL27" s="31"/>
      <c r="AM27" s="303"/>
      <c r="AN27" s="303"/>
      <c r="AO27" s="303"/>
      <c r="AP27" s="303"/>
      <c r="AQ27" s="31"/>
      <c r="AR27" s="303"/>
      <c r="AS27" s="303"/>
      <c r="AT27" s="303"/>
      <c r="AU27" s="303"/>
      <c r="AV27" s="31"/>
      <c r="AW27" s="303"/>
      <c r="AX27" s="303"/>
      <c r="AY27" s="303"/>
      <c r="AZ27" s="303"/>
      <c r="BA27" s="31"/>
      <c r="BB27" s="303"/>
      <c r="BC27" s="303"/>
      <c r="BD27" s="303"/>
      <c r="BE27" s="303"/>
      <c r="BF27" s="31"/>
      <c r="BG27" s="303"/>
      <c r="BH27" s="303"/>
      <c r="BI27" s="303"/>
      <c r="BJ27" s="303"/>
      <c r="BK27" s="31"/>
      <c r="BL27" s="303"/>
      <c r="BM27" s="303"/>
      <c r="BN27" s="298"/>
      <c r="BO27" s="298"/>
      <c r="BP27" s="278"/>
      <c r="BQ27" s="303"/>
      <c r="BR27" s="303"/>
      <c r="BS27" s="298"/>
      <c r="BT27" s="298"/>
      <c r="BU27" s="278"/>
      <c r="BV27" s="684"/>
      <c r="BW27" s="303"/>
      <c r="BX27" s="711"/>
      <c r="BY27" s="711"/>
      <c r="BZ27" s="13"/>
      <c r="CA27" s="303"/>
      <c r="CB27" s="303"/>
      <c r="CC27" s="303"/>
      <c r="CD27" s="303"/>
      <c r="CE27" s="13"/>
      <c r="CF27" s="303"/>
      <c r="CG27" s="303"/>
      <c r="CH27" s="361" t="s">
        <v>677</v>
      </c>
      <c r="CI27" s="362"/>
      <c r="CJ27" s="363" t="s">
        <v>1108</v>
      </c>
      <c r="CK27" s="303"/>
      <c r="CL27" s="303"/>
      <c r="CM27" s="303"/>
      <c r="CN27" s="303"/>
      <c r="CO27" s="31"/>
      <c r="CP27" s="303"/>
      <c r="CQ27" s="303"/>
      <c r="CR27" s="303"/>
      <c r="CS27" s="303"/>
      <c r="CT27" s="31"/>
      <c r="CU27" s="303"/>
      <c r="CV27" s="303"/>
      <c r="CW27" s="303"/>
      <c r="CX27" s="303"/>
      <c r="CY27" s="31"/>
      <c r="CZ27" s="303"/>
      <c r="DA27" s="303"/>
      <c r="DB27" s="303"/>
      <c r="DC27" s="303"/>
      <c r="DD27" s="31"/>
      <c r="DE27" s="303"/>
      <c r="DF27" s="303"/>
      <c r="DG27" s="303"/>
      <c r="DH27" s="303"/>
      <c r="DI27" s="31"/>
      <c r="DJ27" s="303"/>
      <c r="DK27" s="303"/>
      <c r="DL27" s="303"/>
      <c r="DM27" s="303"/>
      <c r="DN27" s="31"/>
      <c r="DO27" s="303"/>
      <c r="DP27" s="303"/>
      <c r="DQ27" s="303"/>
      <c r="DR27" s="303"/>
      <c r="DS27" s="31"/>
      <c r="DT27" s="303"/>
      <c r="DU27" s="303"/>
      <c r="DV27" s="303"/>
      <c r="DW27" s="303"/>
      <c r="DX27" s="31"/>
      <c r="DY27" s="303"/>
      <c r="DZ27" s="303"/>
      <c r="EA27" s="303"/>
      <c r="EB27" s="303"/>
      <c r="EC27" s="31"/>
      <c r="ED27" s="303"/>
      <c r="EE27" s="303"/>
      <c r="EF27" s="303"/>
      <c r="EG27" s="303"/>
      <c r="EH27" s="31"/>
      <c r="EI27" s="303"/>
      <c r="EJ27" s="303"/>
      <c r="EK27" s="303"/>
      <c r="EL27" s="303"/>
      <c r="EM27" s="31"/>
      <c r="EN27" s="303"/>
      <c r="EO27" s="303"/>
      <c r="EP27" s="303"/>
      <c r="EQ27" s="303"/>
      <c r="ER27" s="31"/>
    </row>
    <row r="28" spans="2:156" s="116" customFormat="1" ht="12.75" customHeight="1">
      <c r="B28" s="116" t="s">
        <v>144</v>
      </c>
      <c r="C28" s="116">
        <f t="shared" ref="C28:AH28" si="18">C24-C25</f>
        <v>-115.21300000000002</v>
      </c>
      <c r="D28" s="298">
        <f t="shared" si="18"/>
        <v>-3.8500000000000054</v>
      </c>
      <c r="E28" s="298">
        <f t="shared" si="18"/>
        <v>19.710999999999995</v>
      </c>
      <c r="F28" s="298">
        <f t="shared" si="18"/>
        <v>36.804999999999986</v>
      </c>
      <c r="G28" s="298">
        <f t="shared" si="18"/>
        <v>35.479000000000049</v>
      </c>
      <c r="H28" s="116">
        <f t="shared" si="18"/>
        <v>88.145000000000039</v>
      </c>
      <c r="I28" s="298">
        <f t="shared" si="18"/>
        <v>50.545000000000002</v>
      </c>
      <c r="J28" s="298">
        <f t="shared" si="18"/>
        <v>100.37200000000001</v>
      </c>
      <c r="K28" s="298">
        <f t="shared" si="18"/>
        <v>60.509000000000022</v>
      </c>
      <c r="L28" s="298">
        <f t="shared" si="18"/>
        <v>91.376999999999981</v>
      </c>
      <c r="M28" s="116">
        <f t="shared" si="18"/>
        <v>302.80300000000011</v>
      </c>
      <c r="N28" s="298">
        <f t="shared" si="18"/>
        <v>101.87699999999995</v>
      </c>
      <c r="O28" s="298">
        <f t="shared" si="18"/>
        <v>111.45899999999997</v>
      </c>
      <c r="P28" s="298">
        <f t="shared" si="18"/>
        <v>113.24000000000002</v>
      </c>
      <c r="Q28" s="298">
        <f t="shared" si="18"/>
        <v>114.78000000000002</v>
      </c>
      <c r="R28" s="116">
        <f t="shared" si="18"/>
        <v>441.35600000000011</v>
      </c>
      <c r="S28" s="298">
        <f t="shared" si="18"/>
        <v>156.85199999999995</v>
      </c>
      <c r="T28" s="298">
        <f t="shared" si="18"/>
        <v>195.05299999999994</v>
      </c>
      <c r="U28" s="298">
        <f t="shared" si="18"/>
        <v>178.00900000000007</v>
      </c>
      <c r="V28" s="298">
        <f t="shared" si="18"/>
        <v>254.92400000000001</v>
      </c>
      <c r="W28" s="116">
        <f t="shared" si="18"/>
        <v>784.83799999999985</v>
      </c>
      <c r="X28" s="298">
        <f t="shared" si="18"/>
        <v>285.21300000000008</v>
      </c>
      <c r="Y28" s="298">
        <f t="shared" si="18"/>
        <v>291.6269999999999</v>
      </c>
      <c r="Z28" s="298">
        <f t="shared" si="18"/>
        <v>327.34399999999988</v>
      </c>
      <c r="AA28" s="298">
        <f t="shared" si="18"/>
        <v>395.18799999999987</v>
      </c>
      <c r="AB28" s="116">
        <f t="shared" si="18"/>
        <v>1299.3720000000003</v>
      </c>
      <c r="AC28" s="298">
        <f t="shared" si="18"/>
        <v>445.06700000000006</v>
      </c>
      <c r="AD28" s="298">
        <f t="shared" si="18"/>
        <v>439.7890000000001</v>
      </c>
      <c r="AE28" s="298">
        <f t="shared" si="18"/>
        <v>427.61800000000005</v>
      </c>
      <c r="AF28" s="298">
        <f t="shared" si="18"/>
        <v>424.41100000000006</v>
      </c>
      <c r="AG28" s="116">
        <f t="shared" si="18"/>
        <v>1736.8849999999998</v>
      </c>
      <c r="AH28" s="298">
        <f t="shared" si="18"/>
        <v>512.42600000000016</v>
      </c>
      <c r="AI28" s="298">
        <f t="shared" ref="AI28:BK28" si="19">AI24-AI25</f>
        <v>466.80099999999993</v>
      </c>
      <c r="AJ28" s="298">
        <f t="shared" si="19"/>
        <v>523.77400000000011</v>
      </c>
      <c r="AK28" s="298">
        <f t="shared" si="19"/>
        <v>587.90199999999982</v>
      </c>
      <c r="AL28" s="116">
        <f t="shared" si="19"/>
        <v>2090.9029999999993</v>
      </c>
      <c r="AM28" s="298">
        <f t="shared" si="19"/>
        <v>616.86500000000001</v>
      </c>
      <c r="AN28" s="298">
        <f t="shared" si="19"/>
        <v>646.63099999999986</v>
      </c>
      <c r="AO28" s="298">
        <f t="shared" si="19"/>
        <v>727.72800000000052</v>
      </c>
      <c r="AP28" s="298">
        <f t="shared" si="19"/>
        <v>861.59700000000009</v>
      </c>
      <c r="AQ28" s="116">
        <f t="shared" si="19"/>
        <v>2852.8209999999999</v>
      </c>
      <c r="AR28" s="298">
        <f t="shared" si="19"/>
        <v>911.96</v>
      </c>
      <c r="AS28" s="298">
        <f t="shared" si="19"/>
        <v>757.73700000000031</v>
      </c>
      <c r="AT28" s="298">
        <f t="shared" si="19"/>
        <v>756.95299999999975</v>
      </c>
      <c r="AU28" s="298">
        <f t="shared" si="19"/>
        <v>776.22699999999998</v>
      </c>
      <c r="AV28" s="116">
        <f t="shared" si="19"/>
        <v>3202.8770000000004</v>
      </c>
      <c r="AW28" s="298">
        <f t="shared" si="19"/>
        <v>698.96100000000035</v>
      </c>
      <c r="AX28" s="298">
        <f t="shared" si="19"/>
        <v>793.92</v>
      </c>
      <c r="AY28" s="298">
        <f t="shared" si="19"/>
        <v>791.58699999999976</v>
      </c>
      <c r="AZ28" s="298">
        <f t="shared" si="19"/>
        <v>739.71799999999985</v>
      </c>
      <c r="BA28" s="116">
        <f t="shared" si="19"/>
        <v>3024.1859999999997</v>
      </c>
      <c r="BB28" s="298">
        <f t="shared" si="19"/>
        <v>699.96399999999994</v>
      </c>
      <c r="BC28" s="298">
        <f t="shared" si="19"/>
        <v>761.78699999999958</v>
      </c>
      <c r="BD28" s="298">
        <f t="shared" si="19"/>
        <v>801.98099999999943</v>
      </c>
      <c r="BE28" s="298">
        <f t="shared" si="19"/>
        <v>859.87700000000018</v>
      </c>
      <c r="BF28" s="116">
        <f t="shared" si="19"/>
        <v>3066.0730000000021</v>
      </c>
      <c r="BG28" s="298">
        <f>BG24-BG25</f>
        <v>797.4670000000001</v>
      </c>
      <c r="BH28" s="298">
        <f>BH24-BH25</f>
        <v>834.7380000000004</v>
      </c>
      <c r="BI28" s="298">
        <f t="shared" si="19"/>
        <v>875.69200000000012</v>
      </c>
      <c r="BJ28" s="298">
        <f t="shared" si="19"/>
        <v>925.13800000000015</v>
      </c>
      <c r="BK28" s="116">
        <f t="shared" si="19"/>
        <v>3433.0350000000008</v>
      </c>
      <c r="BL28" s="298">
        <f t="shared" ref="BL28:BV28" si="20">BL24-BL25</f>
        <v>2482.9860000000017</v>
      </c>
      <c r="BM28" s="298">
        <f t="shared" si="20"/>
        <v>3924.4230000000016</v>
      </c>
      <c r="BN28" s="298">
        <f t="shared" si="20"/>
        <v>3006.6800000000003</v>
      </c>
      <c r="BO28" s="298">
        <f>BO24-BO25</f>
        <v>3862.8721077385035</v>
      </c>
      <c r="BP28" s="116">
        <f>BP24-BP25</f>
        <v>13277.361107738505</v>
      </c>
      <c r="BQ28" s="298">
        <f>BQ24-BQ25</f>
        <v>4602</v>
      </c>
      <c r="BR28" s="298">
        <f t="shared" si="20"/>
        <v>4850</v>
      </c>
      <c r="BS28" s="298">
        <f t="shared" si="20"/>
        <v>4828</v>
      </c>
      <c r="BT28" s="298">
        <f t="shared" si="20"/>
        <v>4891</v>
      </c>
      <c r="BU28" s="116">
        <f>BU24-BU25</f>
        <v>19171</v>
      </c>
      <c r="BV28" s="298">
        <f t="shared" si="20"/>
        <v>4275</v>
      </c>
      <c r="BW28" s="298">
        <f>BW24-BW25</f>
        <v>4177</v>
      </c>
      <c r="BX28" s="298">
        <f>BX24-BX25</f>
        <v>3672</v>
      </c>
      <c r="BY28" s="298">
        <f>BY24-BY25</f>
        <v>3576</v>
      </c>
      <c r="BZ28" s="116">
        <f>BZ24-BZ25</f>
        <v>15700</v>
      </c>
      <c r="CA28" s="711">
        <f>CA24-CA25</f>
        <v>2946</v>
      </c>
      <c r="CB28" s="711">
        <f t="shared" ref="CB28:CD28" si="21">CB24-CB25</f>
        <v>3368</v>
      </c>
      <c r="CC28" s="711">
        <f t="shared" si="21"/>
        <v>2984</v>
      </c>
      <c r="CD28" s="711">
        <f t="shared" si="21"/>
        <v>2372</v>
      </c>
      <c r="CE28" s="116">
        <f>CE24-CE25</f>
        <v>11670</v>
      </c>
      <c r="CF28" s="711">
        <f>CF24-CF25</f>
        <v>1944.1968993296812</v>
      </c>
      <c r="CG28" s="711">
        <f t="shared" ref="CG28:CI28" si="22">CG24-CG25</f>
        <v>2112.0851090655347</v>
      </c>
      <c r="CH28" s="711">
        <f t="shared" si="22"/>
        <v>2183.3087782775801</v>
      </c>
      <c r="CI28" s="711">
        <f t="shared" si="22"/>
        <v>1946.1976220928518</v>
      </c>
      <c r="CJ28" s="116">
        <f>CJ24-CJ25</f>
        <v>8185.7884087656485</v>
      </c>
      <c r="CK28" s="298"/>
      <c r="CL28" s="298"/>
      <c r="CM28" s="298"/>
      <c r="CN28" s="298"/>
      <c r="CO28" s="116">
        <f>CO24-CO25</f>
        <v>8345.4087914066531</v>
      </c>
      <c r="CP28" s="298"/>
      <c r="CQ28" s="298"/>
      <c r="CR28" s="298"/>
      <c r="CS28" s="298"/>
      <c r="CT28" s="116">
        <f>CT24-CT25</f>
        <v>9300.7506372378793</v>
      </c>
      <c r="CU28" s="298"/>
      <c r="CV28" s="298"/>
      <c r="CW28" s="298"/>
      <c r="CX28" s="298"/>
      <c r="CY28" s="116">
        <f>CY24-CY25</f>
        <v>8355.6101785834671</v>
      </c>
      <c r="CZ28" s="298"/>
      <c r="DA28" s="298"/>
      <c r="DB28" s="298"/>
      <c r="DC28" s="298"/>
      <c r="DD28" s="116">
        <f>DD24-DD25</f>
        <v>9039.0473187557654</v>
      </c>
      <c r="DE28" s="298"/>
      <c r="DF28" s="298"/>
      <c r="DG28" s="298"/>
      <c r="DH28" s="298"/>
      <c r="DI28" s="116">
        <f>DI24-DI25</f>
        <v>9684.2085683306377</v>
      </c>
      <c r="DJ28" s="298"/>
      <c r="DK28" s="298"/>
      <c r="DL28" s="298"/>
      <c r="DM28" s="298"/>
      <c r="DN28" s="116">
        <f>DN24-DN25</f>
        <v>10415.146980058114</v>
      </c>
      <c r="DO28" s="298"/>
      <c r="DP28" s="298"/>
      <c r="DQ28" s="298"/>
      <c r="DR28" s="298"/>
      <c r="DS28" s="116">
        <f>DS24-DS25</f>
        <v>6939.5396831277321</v>
      </c>
      <c r="DT28" s="298"/>
      <c r="DU28" s="298"/>
      <c r="DV28" s="298"/>
      <c r="DW28" s="298"/>
      <c r="DX28" s="116">
        <f>DX24-DX25</f>
        <v>5915.2157064395597</v>
      </c>
      <c r="DY28" s="298"/>
      <c r="DZ28" s="298"/>
      <c r="EA28" s="298"/>
      <c r="EB28" s="298"/>
      <c r="EC28" s="116">
        <f>EC24-EC25</f>
        <v>5790.1723337372232</v>
      </c>
      <c r="ED28" s="298"/>
      <c r="EE28" s="298"/>
      <c r="EF28" s="298"/>
      <c r="EG28" s="298"/>
      <c r="EH28" s="116">
        <f>EH24-EH25</f>
        <v>6420.4738916258621</v>
      </c>
      <c r="EI28" s="298"/>
      <c r="EJ28" s="298"/>
      <c r="EK28" s="298"/>
      <c r="EL28" s="298"/>
      <c r="EM28" s="116">
        <f>EM24-EM25</f>
        <v>8443.9062516770555</v>
      </c>
      <c r="EN28" s="298"/>
      <c r="EO28" s="298"/>
      <c r="EP28" s="298"/>
      <c r="EQ28" s="298"/>
      <c r="ER28" s="116">
        <f>ER24-ER25</f>
        <v>8663.0372911911036</v>
      </c>
      <c r="EU28"/>
      <c r="EV28"/>
      <c r="EW28"/>
      <c r="EX28"/>
      <c r="EY28"/>
      <c r="EZ28"/>
    </row>
    <row r="29" spans="2:156" s="116" customFormat="1" ht="12.75" customHeight="1">
      <c r="B29" s="116" t="s">
        <v>145</v>
      </c>
      <c r="C29" s="116">
        <v>0</v>
      </c>
      <c r="D29" s="298">
        <v>0</v>
      </c>
      <c r="E29" s="298">
        <v>0</v>
      </c>
      <c r="F29" s="298">
        <v>0</v>
      </c>
      <c r="G29" s="298">
        <v>0</v>
      </c>
      <c r="H29" s="116">
        <f>D29+E29+F29+G29</f>
        <v>0</v>
      </c>
      <c r="I29" s="298">
        <v>0</v>
      </c>
      <c r="J29" s="298">
        <v>0</v>
      </c>
      <c r="K29" s="298">
        <v>0</v>
      </c>
      <c r="L29" s="298">
        <v>0</v>
      </c>
      <c r="M29" s="116">
        <f>I29+J29+K29+L29</f>
        <v>0</v>
      </c>
      <c r="N29" s="298">
        <v>0</v>
      </c>
      <c r="O29" s="298">
        <v>0</v>
      </c>
      <c r="P29" s="298">
        <v>0</v>
      </c>
      <c r="Q29" s="298">
        <v>0</v>
      </c>
      <c r="R29" s="116">
        <f>N29+O29+P29+Q29</f>
        <v>0</v>
      </c>
      <c r="S29" s="298">
        <v>-0.26100000000000001</v>
      </c>
      <c r="T29" s="298">
        <v>-0.91400000000000003</v>
      </c>
      <c r="U29" s="298">
        <v>-1.2230000000000001</v>
      </c>
      <c r="V29" s="298">
        <v>-1.597</v>
      </c>
      <c r="W29" s="116">
        <f>S29+T29+U29+V29</f>
        <v>-3.9950000000000001</v>
      </c>
      <c r="X29" s="298">
        <v>-0.99399999999999999</v>
      </c>
      <c r="Y29" s="298">
        <v>-1.244</v>
      </c>
      <c r="Z29" s="298">
        <v>-1.64</v>
      </c>
      <c r="AA29" s="298">
        <v>-2.3879999999999999</v>
      </c>
      <c r="AB29" s="116">
        <f>X29+Y29+Z29+AA29</f>
        <v>-6.266</v>
      </c>
      <c r="AC29" s="298">
        <v>-2.153</v>
      </c>
      <c r="AD29" s="298">
        <v>-2.4009999999999998</v>
      </c>
      <c r="AE29" s="298">
        <v>-2.4780000000000002</v>
      </c>
      <c r="AF29" s="298">
        <v>-2.0760000000000001</v>
      </c>
      <c r="AG29" s="116">
        <f>AC29+AD29+AE29+AF29</f>
        <v>-9.1080000000000005</v>
      </c>
      <c r="AH29" s="298">
        <v>-1.875</v>
      </c>
      <c r="AI29" s="298">
        <v>-2.16</v>
      </c>
      <c r="AJ29" s="298">
        <v>-2.16</v>
      </c>
      <c r="AK29" s="298">
        <v>-2.3690000000000002</v>
      </c>
      <c r="AL29" s="116">
        <f>AH29+AI29+AJ29+AK29</f>
        <v>-8.5640000000000001</v>
      </c>
      <c r="AM29" s="298">
        <v>-2.5350000000000001</v>
      </c>
      <c r="AN29" s="298">
        <v>-2.2530000000000001</v>
      </c>
      <c r="AO29" s="298">
        <f>-2.555</f>
        <v>-2.5550000000000002</v>
      </c>
      <c r="AP29" s="298">
        <v>-2.819</v>
      </c>
      <c r="AQ29" s="116">
        <f>AM29+AN29+AO29+AP29</f>
        <v>-10.161999999999999</v>
      </c>
      <c r="AR29" s="298">
        <v>-2.8069999999999999</v>
      </c>
      <c r="AS29" s="298">
        <v>-2.9340000000000002</v>
      </c>
      <c r="AT29" s="298">
        <v>-2.7130000000000001</v>
      </c>
      <c r="AU29" s="298">
        <v>-3.0539999999999998</v>
      </c>
      <c r="AV29" s="116">
        <f>AR29+AS29+AT29+AU29</f>
        <v>-11.508000000000001</v>
      </c>
      <c r="AW29" s="298">
        <v>-3.8380000000000001</v>
      </c>
      <c r="AX29" s="298">
        <v>-3.7679999999999998</v>
      </c>
      <c r="AY29" s="298">
        <v>-3.5859999999999999</v>
      </c>
      <c r="AZ29" s="298">
        <v>-3.3860000000000001</v>
      </c>
      <c r="BA29" s="116">
        <f>AW29+AX29+AY29+AZ29</f>
        <v>-14.577999999999999</v>
      </c>
      <c r="BB29" s="298">
        <v>-4.4249999999999998</v>
      </c>
      <c r="BC29" s="298">
        <v>-5.49</v>
      </c>
      <c r="BD29" s="298">
        <v>-4.47</v>
      </c>
      <c r="BE29" s="298">
        <v>-3.5819999999999999</v>
      </c>
      <c r="BF29" s="116">
        <f>BB29+BC29+BD29+BE29</f>
        <v>-17.966999999999999</v>
      </c>
      <c r="BG29" s="298">
        <v>-4.476</v>
      </c>
      <c r="BH29" s="298">
        <f>-4.987</f>
        <v>-4.9870000000000001</v>
      </c>
      <c r="BI29" s="298">
        <v>-3.39</v>
      </c>
      <c r="BJ29" s="298">
        <v>-4.6689999999999996</v>
      </c>
      <c r="BK29" s="116">
        <f>+BG29+BH29+BI29+BJ29</f>
        <v>-17.522000000000002</v>
      </c>
      <c r="BL29" s="299">
        <v>-4.8230000000000004</v>
      </c>
      <c r="BM29" s="299">
        <v>-5.1079999999999997</v>
      </c>
      <c r="BN29" s="299">
        <v>-7.0110000000000001</v>
      </c>
      <c r="BO29" s="299">
        <f>-25-BO70</f>
        <v>-20</v>
      </c>
      <c r="BP29" s="116">
        <f>+BL29+BM29+BN29+BO29</f>
        <v>-36.942</v>
      </c>
      <c r="BQ29" s="299">
        <f>-1-BQ70</f>
        <v>-1</v>
      </c>
      <c r="BR29" s="299">
        <v>5</v>
      </c>
      <c r="BS29" s="299">
        <v>-8</v>
      </c>
      <c r="BT29" s="299">
        <v>2</v>
      </c>
      <c r="BU29" s="116">
        <f>SUM(BQ29:BT29)</f>
        <v>-2</v>
      </c>
      <c r="BV29" s="299">
        <v>-1</v>
      </c>
      <c r="BW29" s="299">
        <v>0</v>
      </c>
      <c r="BX29" s="299">
        <v>-5</v>
      </c>
      <c r="BY29" s="299">
        <v>-9</v>
      </c>
      <c r="BZ29" s="696">
        <f>SUM(BV29:BY29)</f>
        <v>-15</v>
      </c>
      <c r="CA29" s="299">
        <v>-3</v>
      </c>
      <c r="CB29" s="299">
        <v>-4</v>
      </c>
      <c r="CC29" s="299">
        <v>-6</v>
      </c>
      <c r="CD29" s="996">
        <v>29</v>
      </c>
      <c r="CE29" s="116">
        <f>SUM(CA29:CD29)</f>
        <v>16</v>
      </c>
      <c r="CF29" s="298">
        <f>CJ29/4</f>
        <v>0</v>
      </c>
      <c r="CG29" s="298">
        <f>CJ29/4</f>
        <v>0</v>
      </c>
      <c r="CH29" s="298">
        <f>CJ29/4</f>
        <v>0</v>
      </c>
      <c r="CI29" s="298">
        <f>CJ29-SUM(CF29:CH29)</f>
        <v>0</v>
      </c>
      <c r="CJ29" s="385">
        <v>0</v>
      </c>
      <c r="CK29" s="298"/>
      <c r="CL29" s="298"/>
      <c r="CM29" s="298"/>
      <c r="CN29" s="298"/>
      <c r="CO29" s="116">
        <f>CJ29</f>
        <v>0</v>
      </c>
      <c r="CP29" s="298"/>
      <c r="CQ29" s="298"/>
      <c r="CR29" s="298"/>
      <c r="CS29" s="298"/>
      <c r="CT29" s="116">
        <f>CO29</f>
        <v>0</v>
      </c>
      <c r="CU29" s="298"/>
      <c r="CV29" s="298"/>
      <c r="CW29" s="298"/>
      <c r="CX29" s="298"/>
      <c r="CY29" s="116">
        <f>CT29</f>
        <v>0</v>
      </c>
      <c r="CZ29" s="298"/>
      <c r="DA29" s="298"/>
      <c r="DB29" s="298"/>
      <c r="DC29" s="298"/>
      <c r="DD29" s="116">
        <f>CY29</f>
        <v>0</v>
      </c>
      <c r="DE29" s="298"/>
      <c r="DF29" s="298"/>
      <c r="DG29" s="298"/>
      <c r="DH29" s="298"/>
      <c r="DI29" s="116">
        <f>DD29</f>
        <v>0</v>
      </c>
      <c r="DJ29" s="298"/>
      <c r="DK29" s="298"/>
      <c r="DL29" s="298"/>
      <c r="DM29" s="298"/>
      <c r="DN29" s="116">
        <f>DI29</f>
        <v>0</v>
      </c>
      <c r="DO29" s="298"/>
      <c r="DP29" s="298"/>
      <c r="DQ29" s="298"/>
      <c r="DR29" s="298"/>
      <c r="DS29" s="116">
        <f>DN29</f>
        <v>0</v>
      </c>
      <c r="DT29" s="298"/>
      <c r="DU29" s="298"/>
      <c r="DV29" s="298"/>
      <c r="DW29" s="298"/>
      <c r="DX29" s="116">
        <f>DS29</f>
        <v>0</v>
      </c>
      <c r="DY29" s="298"/>
      <c r="DZ29" s="298"/>
      <c r="EA29" s="298"/>
      <c r="EB29" s="298"/>
      <c r="EC29" s="116">
        <f>DX29</f>
        <v>0</v>
      </c>
      <c r="ED29" s="298"/>
      <c r="EE29" s="298"/>
      <c r="EF29" s="298"/>
      <c r="EG29" s="298"/>
      <c r="EH29" s="116">
        <f>EC29</f>
        <v>0</v>
      </c>
      <c r="EI29" s="298"/>
      <c r="EJ29" s="298"/>
      <c r="EK29" s="298"/>
      <c r="EL29" s="298"/>
      <c r="EM29" s="116">
        <f>EH29</f>
        <v>0</v>
      </c>
      <c r="EN29" s="298"/>
      <c r="EO29" s="298"/>
      <c r="EP29" s="298"/>
      <c r="EQ29" s="298"/>
      <c r="ER29" s="116">
        <f>EM29</f>
        <v>0</v>
      </c>
      <c r="EU29"/>
      <c r="EV29"/>
      <c r="EW29"/>
      <c r="EX29"/>
      <c r="EY29"/>
      <c r="EZ29"/>
    </row>
    <row r="30" spans="2:156" s="116" customFormat="1" ht="12.75" customHeight="1" thickBot="1">
      <c r="B30" s="279" t="s">
        <v>730</v>
      </c>
      <c r="C30" s="279">
        <f t="shared" ref="C30:AH30" si="23">+C28-C29</f>
        <v>-115.21300000000002</v>
      </c>
      <c r="D30" s="304">
        <f t="shared" si="23"/>
        <v>-3.8500000000000054</v>
      </c>
      <c r="E30" s="304">
        <f t="shared" si="23"/>
        <v>19.710999999999995</v>
      </c>
      <c r="F30" s="304">
        <f t="shared" si="23"/>
        <v>36.804999999999986</v>
      </c>
      <c r="G30" s="304">
        <f t="shared" si="23"/>
        <v>35.479000000000049</v>
      </c>
      <c r="H30" s="279">
        <f t="shared" si="23"/>
        <v>88.145000000000039</v>
      </c>
      <c r="I30" s="304">
        <f t="shared" si="23"/>
        <v>50.545000000000002</v>
      </c>
      <c r="J30" s="304">
        <f t="shared" si="23"/>
        <v>100.37200000000001</v>
      </c>
      <c r="K30" s="304">
        <f t="shared" si="23"/>
        <v>60.509000000000022</v>
      </c>
      <c r="L30" s="304">
        <f t="shared" si="23"/>
        <v>91.376999999999981</v>
      </c>
      <c r="M30" s="279">
        <f t="shared" si="23"/>
        <v>302.80300000000011</v>
      </c>
      <c r="N30" s="304">
        <f t="shared" si="23"/>
        <v>101.87699999999995</v>
      </c>
      <c r="O30" s="304">
        <f t="shared" si="23"/>
        <v>111.45899999999997</v>
      </c>
      <c r="P30" s="304">
        <f t="shared" si="23"/>
        <v>113.24000000000002</v>
      </c>
      <c r="Q30" s="304">
        <f t="shared" si="23"/>
        <v>114.78000000000002</v>
      </c>
      <c r="R30" s="279">
        <f t="shared" si="23"/>
        <v>441.35600000000011</v>
      </c>
      <c r="S30" s="304">
        <f t="shared" si="23"/>
        <v>157.11299999999994</v>
      </c>
      <c r="T30" s="304">
        <f t="shared" si="23"/>
        <v>195.96699999999993</v>
      </c>
      <c r="U30" s="304">
        <f t="shared" si="23"/>
        <v>179.23200000000008</v>
      </c>
      <c r="V30" s="304">
        <f t="shared" si="23"/>
        <v>256.52100000000002</v>
      </c>
      <c r="W30" s="279">
        <f t="shared" si="23"/>
        <v>788.83299999999986</v>
      </c>
      <c r="X30" s="304">
        <f t="shared" si="23"/>
        <v>286.20700000000011</v>
      </c>
      <c r="Y30" s="304">
        <f t="shared" si="23"/>
        <v>292.87099999999992</v>
      </c>
      <c r="Z30" s="304">
        <f t="shared" si="23"/>
        <v>328.98399999999987</v>
      </c>
      <c r="AA30" s="304">
        <f t="shared" si="23"/>
        <v>397.57599999999985</v>
      </c>
      <c r="AB30" s="279">
        <f t="shared" si="23"/>
        <v>1305.6380000000004</v>
      </c>
      <c r="AC30" s="304">
        <f t="shared" si="23"/>
        <v>447.22000000000008</v>
      </c>
      <c r="AD30" s="304">
        <f t="shared" si="23"/>
        <v>442.19000000000011</v>
      </c>
      <c r="AE30" s="304">
        <f t="shared" si="23"/>
        <v>430.09600000000006</v>
      </c>
      <c r="AF30" s="304">
        <f t="shared" si="23"/>
        <v>426.48700000000008</v>
      </c>
      <c r="AG30" s="279">
        <f t="shared" si="23"/>
        <v>1745.9929999999997</v>
      </c>
      <c r="AH30" s="304">
        <f t="shared" si="23"/>
        <v>514.30100000000016</v>
      </c>
      <c r="AI30" s="304">
        <f t="shared" ref="AI30:BK30" si="24">+AI28-AI29</f>
        <v>468.96099999999996</v>
      </c>
      <c r="AJ30" s="304">
        <f t="shared" si="24"/>
        <v>525.93400000000008</v>
      </c>
      <c r="AK30" s="304">
        <f t="shared" si="24"/>
        <v>590.27099999999984</v>
      </c>
      <c r="AL30" s="279">
        <f t="shared" si="24"/>
        <v>2099.4669999999992</v>
      </c>
      <c r="AM30" s="304">
        <f t="shared" si="24"/>
        <v>619.4</v>
      </c>
      <c r="AN30" s="304">
        <f t="shared" si="24"/>
        <v>648.8839999999999</v>
      </c>
      <c r="AO30" s="304">
        <f t="shared" si="24"/>
        <v>730.28300000000047</v>
      </c>
      <c r="AP30" s="304">
        <f t="shared" si="24"/>
        <v>864.41600000000005</v>
      </c>
      <c r="AQ30" s="279">
        <f t="shared" si="24"/>
        <v>2862.9829999999997</v>
      </c>
      <c r="AR30" s="304">
        <f t="shared" si="24"/>
        <v>914.76700000000005</v>
      </c>
      <c r="AS30" s="304">
        <f t="shared" si="24"/>
        <v>760.67100000000028</v>
      </c>
      <c r="AT30" s="304">
        <f t="shared" si="24"/>
        <v>759.66599999999971</v>
      </c>
      <c r="AU30" s="304">
        <f t="shared" si="24"/>
        <v>779.28099999999995</v>
      </c>
      <c r="AV30" s="279">
        <f t="shared" si="24"/>
        <v>3214.3850000000002</v>
      </c>
      <c r="AW30" s="304">
        <f t="shared" si="24"/>
        <v>702.79900000000032</v>
      </c>
      <c r="AX30" s="304">
        <f t="shared" si="24"/>
        <v>797.68799999999999</v>
      </c>
      <c r="AY30" s="304">
        <f t="shared" si="24"/>
        <v>795.17299999999977</v>
      </c>
      <c r="AZ30" s="304">
        <f t="shared" si="24"/>
        <v>743.10399999999981</v>
      </c>
      <c r="BA30" s="279">
        <f t="shared" si="24"/>
        <v>3038.7639999999997</v>
      </c>
      <c r="BB30" s="304">
        <f t="shared" si="24"/>
        <v>704.3889999999999</v>
      </c>
      <c r="BC30" s="304">
        <f t="shared" si="24"/>
        <v>767.27699999999959</v>
      </c>
      <c r="BD30" s="304">
        <f t="shared" si="24"/>
        <v>806.45099999999945</v>
      </c>
      <c r="BE30" s="304">
        <f t="shared" si="24"/>
        <v>863.45900000000017</v>
      </c>
      <c r="BF30" s="279">
        <f t="shared" si="24"/>
        <v>3084.0400000000022</v>
      </c>
      <c r="BG30" s="304">
        <f>+BG28-BG29</f>
        <v>801.9430000000001</v>
      </c>
      <c r="BH30" s="304">
        <f>+BH28-BH29</f>
        <v>839.72500000000036</v>
      </c>
      <c r="BI30" s="304">
        <f t="shared" si="24"/>
        <v>879.08200000000011</v>
      </c>
      <c r="BJ30" s="304">
        <f t="shared" si="24"/>
        <v>929.80700000000013</v>
      </c>
      <c r="BK30" s="279">
        <f t="shared" si="24"/>
        <v>3450.5570000000007</v>
      </c>
      <c r="BL30" s="304">
        <f t="shared" ref="BL30:BU30" si="25">+BL28-BL29</f>
        <v>2487.8090000000016</v>
      </c>
      <c r="BM30" s="304">
        <f t="shared" si="25"/>
        <v>3929.5310000000018</v>
      </c>
      <c r="BN30" s="304">
        <f t="shared" si="25"/>
        <v>3013.6910000000003</v>
      </c>
      <c r="BO30" s="304">
        <f t="shared" si="25"/>
        <v>3882.8721077385035</v>
      </c>
      <c r="BP30" s="279">
        <f t="shared" si="25"/>
        <v>13314.303107738504</v>
      </c>
      <c r="BQ30" s="304">
        <f t="shared" si="25"/>
        <v>4603</v>
      </c>
      <c r="BR30" s="304">
        <f t="shared" si="25"/>
        <v>4845</v>
      </c>
      <c r="BS30" s="304">
        <f t="shared" si="25"/>
        <v>4836</v>
      </c>
      <c r="BT30" s="304">
        <f t="shared" si="25"/>
        <v>4889</v>
      </c>
      <c r="BU30" s="279">
        <f t="shared" si="25"/>
        <v>19173</v>
      </c>
      <c r="BV30" s="304">
        <f t="shared" ref="BV30:CA30" si="26">+BV28-BV29</f>
        <v>4276</v>
      </c>
      <c r="BW30" s="304">
        <f t="shared" si="26"/>
        <v>4177</v>
      </c>
      <c r="BX30" s="304">
        <f t="shared" si="26"/>
        <v>3677</v>
      </c>
      <c r="BY30" s="304">
        <f t="shared" si="26"/>
        <v>3585</v>
      </c>
      <c r="BZ30" s="279">
        <f t="shared" si="26"/>
        <v>15715</v>
      </c>
      <c r="CA30" s="304">
        <f t="shared" si="26"/>
        <v>2949</v>
      </c>
      <c r="CB30" s="304">
        <f t="shared" ref="CB30:CD30" si="27">+CB28-CB29</f>
        <v>3372</v>
      </c>
      <c r="CC30" s="304">
        <f>+CC28-CC29</f>
        <v>2990</v>
      </c>
      <c r="CD30" s="304">
        <f t="shared" si="27"/>
        <v>2343</v>
      </c>
      <c r="CE30" s="279">
        <f>+CE28-CE29</f>
        <v>11654</v>
      </c>
      <c r="CF30" s="304">
        <f t="shared" ref="CF30:CI30" si="28">+CF28-CF29</f>
        <v>1944.1968993296812</v>
      </c>
      <c r="CG30" s="304">
        <f t="shared" si="28"/>
        <v>2112.0851090655347</v>
      </c>
      <c r="CH30" s="304">
        <f>+CH28-CH29</f>
        <v>2183.3087782775801</v>
      </c>
      <c r="CI30" s="304">
        <f t="shared" si="28"/>
        <v>1946.1976220928518</v>
      </c>
      <c r="CJ30" s="279">
        <f>+CJ28-CJ29</f>
        <v>8185.7884087656485</v>
      </c>
      <c r="CK30" s="304"/>
      <c r="CL30" s="304"/>
      <c r="CM30" s="304"/>
      <c r="CN30" s="304"/>
      <c r="CO30" s="279">
        <f>+CO28-CO29</f>
        <v>8345.4087914066531</v>
      </c>
      <c r="CP30" s="304"/>
      <c r="CQ30" s="304"/>
      <c r="CR30" s="304"/>
      <c r="CS30" s="304"/>
      <c r="CT30" s="279">
        <f>+CT28-CT29</f>
        <v>9300.7506372378793</v>
      </c>
      <c r="CU30" s="304"/>
      <c r="CV30" s="304"/>
      <c r="CW30" s="304"/>
      <c r="CX30" s="304"/>
      <c r="CY30" s="279">
        <f>+CY28-CY29</f>
        <v>8355.6101785834671</v>
      </c>
      <c r="CZ30" s="304"/>
      <c r="DA30" s="304"/>
      <c r="DB30" s="304"/>
      <c r="DC30" s="304"/>
      <c r="DD30" s="279">
        <f>+DD28-DD29</f>
        <v>9039.0473187557654</v>
      </c>
      <c r="DE30" s="304"/>
      <c r="DF30" s="304"/>
      <c r="DG30" s="304"/>
      <c r="DH30" s="304"/>
      <c r="DI30" s="279">
        <f>+DI28-DI29</f>
        <v>9684.2085683306377</v>
      </c>
      <c r="DJ30" s="304"/>
      <c r="DK30" s="304"/>
      <c r="DL30" s="304"/>
      <c r="DM30" s="304"/>
      <c r="DN30" s="279">
        <f>+DN28-DN29</f>
        <v>10415.146980058114</v>
      </c>
      <c r="DO30" s="304"/>
      <c r="DP30" s="304"/>
      <c r="DQ30" s="304"/>
      <c r="DR30" s="304"/>
      <c r="DS30" s="279">
        <f>+DS28-DS29</f>
        <v>6939.5396831277321</v>
      </c>
      <c r="DT30" s="304"/>
      <c r="DU30" s="304"/>
      <c r="DV30" s="304"/>
      <c r="DW30" s="304"/>
      <c r="DX30" s="279">
        <f>+DX28-DX29</f>
        <v>5915.2157064395597</v>
      </c>
      <c r="DY30" s="304"/>
      <c r="DZ30" s="304"/>
      <c r="EA30" s="304"/>
      <c r="EB30" s="304"/>
      <c r="EC30" s="279">
        <f>+EC28-EC29</f>
        <v>5790.1723337372232</v>
      </c>
      <c r="ED30" s="304"/>
      <c r="EE30" s="304"/>
      <c r="EF30" s="304"/>
      <c r="EG30" s="304"/>
      <c r="EH30" s="279">
        <f>+EH28-EH29</f>
        <v>6420.4738916258621</v>
      </c>
      <c r="EI30" s="304"/>
      <c r="EJ30" s="304"/>
      <c r="EK30" s="304"/>
      <c r="EL30" s="304"/>
      <c r="EM30" s="279">
        <f>+EM28-EM29</f>
        <v>8443.9062516770555</v>
      </c>
      <c r="EN30" s="304"/>
      <c r="EO30" s="304"/>
      <c r="EP30" s="304"/>
      <c r="EQ30" s="304"/>
      <c r="ER30" s="279">
        <f>+ER28-ER29</f>
        <v>8663.0372911911036</v>
      </c>
      <c r="EU30"/>
      <c r="EV30"/>
      <c r="EW30"/>
      <c r="EX30"/>
      <c r="EY30"/>
      <c r="EZ30"/>
    </row>
    <row r="31" spans="2:156" ht="12.75" customHeight="1">
      <c r="B31" s="24"/>
      <c r="C31" s="25"/>
      <c r="D31" s="302"/>
      <c r="E31" s="302"/>
      <c r="F31" s="302"/>
      <c r="G31" s="302"/>
      <c r="H31" s="25"/>
      <c r="I31" s="302"/>
      <c r="J31" s="302"/>
      <c r="K31" s="302"/>
      <c r="L31" s="302"/>
      <c r="M31" s="25"/>
      <c r="N31" s="302"/>
      <c r="O31" s="302"/>
      <c r="P31" s="302"/>
      <c r="Q31" s="302"/>
      <c r="R31" s="25"/>
      <c r="S31" s="302"/>
      <c r="T31" s="302"/>
      <c r="U31" s="302"/>
      <c r="V31" s="302"/>
      <c r="W31" s="25"/>
      <c r="X31" s="302"/>
      <c r="Y31" s="302"/>
      <c r="Z31" s="302"/>
      <c r="AA31" s="302"/>
      <c r="AB31" s="25"/>
      <c r="AC31" s="302"/>
      <c r="AD31" s="302"/>
      <c r="AE31" s="302"/>
      <c r="AF31" s="302"/>
      <c r="AG31" s="25"/>
      <c r="AH31" s="302"/>
      <c r="AI31" s="302"/>
      <c r="AJ31" s="302"/>
      <c r="AK31" s="302"/>
      <c r="AL31" s="25"/>
      <c r="AM31" s="302"/>
      <c r="AN31" s="302"/>
      <c r="AO31" s="302"/>
      <c r="AP31" s="302"/>
      <c r="AQ31" s="25"/>
      <c r="AR31" s="302"/>
      <c r="AS31" s="302"/>
      <c r="AT31" s="302"/>
      <c r="AU31" s="302"/>
      <c r="AV31" s="25"/>
      <c r="AW31" s="302"/>
      <c r="AX31" s="302"/>
      <c r="AY31" s="302"/>
      <c r="AZ31" s="302"/>
      <c r="BA31" s="25"/>
      <c r="BB31" s="302"/>
      <c r="BC31" s="302"/>
      <c r="BD31" s="302"/>
      <c r="BE31" s="302"/>
      <c r="BF31" s="25"/>
      <c r="BG31" s="302"/>
      <c r="BH31" s="302"/>
      <c r="BI31" s="302"/>
      <c r="BJ31" s="302"/>
      <c r="BK31" s="25"/>
      <c r="BL31" s="302"/>
      <c r="BM31" s="302"/>
      <c r="BN31" s="302"/>
      <c r="BO31" s="302"/>
      <c r="BP31" s="25"/>
      <c r="BQ31" s="302"/>
      <c r="BR31" s="302"/>
      <c r="BS31" s="302"/>
      <c r="BT31" s="302"/>
      <c r="BU31" s="25"/>
      <c r="BV31" s="683"/>
      <c r="BW31" s="302"/>
      <c r="BX31" s="302"/>
      <c r="BY31" s="302"/>
      <c r="BZ31" s="25"/>
      <c r="CA31" s="302"/>
      <c r="CB31" s="302"/>
      <c r="CC31" s="302"/>
      <c r="CD31" s="302"/>
      <c r="CE31" s="25"/>
      <c r="CF31" s="302"/>
      <c r="CG31" s="302"/>
      <c r="CH31" s="302"/>
      <c r="CI31" s="302"/>
      <c r="CJ31" s="25"/>
      <c r="CK31" s="302"/>
      <c r="CL31" s="302"/>
      <c r="CM31" s="302"/>
      <c r="CN31" s="302"/>
      <c r="CO31" s="25"/>
      <c r="CP31" s="302"/>
      <c r="CQ31" s="302"/>
      <c r="CR31" s="302"/>
      <c r="CS31" s="302"/>
      <c r="CT31" s="25"/>
      <c r="CU31" s="302"/>
      <c r="CV31" s="302"/>
      <c r="CW31" s="302"/>
      <c r="CX31" s="302"/>
      <c r="CY31" s="25"/>
      <c r="CZ31" s="302"/>
      <c r="DA31" s="302"/>
      <c r="DB31" s="302"/>
      <c r="DC31" s="302"/>
      <c r="DD31" s="25"/>
      <c r="DE31" s="302"/>
      <c r="DF31" s="302"/>
      <c r="DG31" s="302"/>
      <c r="DH31" s="302"/>
      <c r="DI31" s="25"/>
      <c r="DJ31" s="302"/>
      <c r="DK31" s="302"/>
      <c r="DL31" s="302"/>
      <c r="DM31" s="302"/>
      <c r="DN31" s="25"/>
      <c r="DO31" s="302"/>
      <c r="DP31" s="302"/>
      <c r="DQ31" s="302"/>
      <c r="DR31" s="302"/>
      <c r="DS31" s="25"/>
      <c r="DT31" s="302"/>
      <c r="DU31" s="302"/>
      <c r="DV31" s="302"/>
      <c r="DW31" s="302"/>
      <c r="DX31" s="25"/>
      <c r="DY31" s="302"/>
      <c r="DZ31" s="302"/>
      <c r="EA31" s="302"/>
      <c r="EB31" s="302"/>
      <c r="EC31" s="25"/>
      <c r="ED31" s="302"/>
      <c r="EE31" s="302"/>
      <c r="EF31" s="302"/>
      <c r="EG31" s="302"/>
      <c r="EH31" s="25"/>
      <c r="EI31" s="302"/>
      <c r="EJ31" s="302"/>
      <c r="EK31" s="302"/>
      <c r="EL31" s="302"/>
      <c r="EM31" s="25"/>
      <c r="EN31" s="302"/>
      <c r="EO31" s="302"/>
      <c r="EP31" s="302"/>
      <c r="EQ31" s="302"/>
      <c r="ER31" s="25"/>
    </row>
    <row r="32" spans="2:156" s="281" customFormat="1" ht="12.75" customHeight="1" thickBot="1">
      <c r="B32" s="280" t="s">
        <v>731</v>
      </c>
      <c r="C32" s="280">
        <f t="shared" ref="C32:M32" si="29">C30/C88</f>
        <v>-7.1182057225893519E-2</v>
      </c>
      <c r="D32" s="306">
        <f t="shared" si="29"/>
        <v>-2.48323013415893E-3</v>
      </c>
      <c r="E32" s="306">
        <f t="shared" si="29"/>
        <v>1.1938246481091161E-2</v>
      </c>
      <c r="F32" s="306">
        <f t="shared" si="29"/>
        <v>2.2315798409002708E-2</v>
      </c>
      <c r="G32" s="306">
        <f t="shared" si="29"/>
        <v>2.1384021563030427E-2</v>
      </c>
      <c r="H32" s="280">
        <f t="shared" si="29"/>
        <v>5.3362481051158261E-2</v>
      </c>
      <c r="I32" s="306">
        <f t="shared" si="29"/>
        <v>3.0331998713387966E-2</v>
      </c>
      <c r="J32" s="306">
        <f t="shared" si="29"/>
        <v>5.4469479899279333E-2</v>
      </c>
      <c r="K32" s="306">
        <f t="shared" si="29"/>
        <v>3.3879012246141177E-2</v>
      </c>
      <c r="L32" s="306">
        <f t="shared" si="29"/>
        <v>4.9667675489518233E-2</v>
      </c>
      <c r="M32" s="280">
        <f t="shared" si="29"/>
        <v>0.16590127109357886</v>
      </c>
      <c r="N32" s="306">
        <f>(N30+N111)/N88</f>
        <v>5.6026581118240125E-2</v>
      </c>
      <c r="O32" s="306">
        <f>(O30+O111)/O88</f>
        <v>6.1021713108171574E-2</v>
      </c>
      <c r="P32" s="306">
        <f>(P30+P111)/P88</f>
        <v>6.1520084902701347E-2</v>
      </c>
      <c r="Q32" s="306">
        <f>(Q30+Q111)/Q88</f>
        <v>6.4144220019537734E-2</v>
      </c>
      <c r="R32" s="305">
        <f>(R30+R111)/R88</f>
        <v>0.2407564561053242</v>
      </c>
      <c r="S32" s="306">
        <f t="shared" ref="S32:AX32" si="30">S30/S88</f>
        <v>8.3996266191065774E-2</v>
      </c>
      <c r="T32" s="306">
        <f t="shared" si="30"/>
        <v>0.10366540060728527</v>
      </c>
      <c r="U32" s="306">
        <f t="shared" si="30"/>
        <v>9.4141375941508357E-2</v>
      </c>
      <c r="V32" s="306">
        <f t="shared" si="30"/>
        <v>0.13383471591798404</v>
      </c>
      <c r="W32" s="280">
        <f t="shared" si="30"/>
        <v>0.41580203000733729</v>
      </c>
      <c r="X32" s="306">
        <f t="shared" si="30"/>
        <v>0.14820562691207517</v>
      </c>
      <c r="Y32" s="306">
        <f t="shared" si="30"/>
        <v>0.15357827184525072</v>
      </c>
      <c r="Z32" s="306">
        <f t="shared" si="30"/>
        <v>0.17248748487384202</v>
      </c>
      <c r="AA32" s="306">
        <f t="shared" si="30"/>
        <v>0.20722819724561667</v>
      </c>
      <c r="AB32" s="280">
        <f t="shared" si="30"/>
        <v>0.68143661195569138</v>
      </c>
      <c r="AC32" s="306">
        <f t="shared" si="30"/>
        <v>0.23180740527265703</v>
      </c>
      <c r="AD32" s="306">
        <f t="shared" si="30"/>
        <v>0.22776228537992665</v>
      </c>
      <c r="AE32" s="306">
        <f t="shared" si="30"/>
        <v>0.22381645734958472</v>
      </c>
      <c r="AF32" s="306">
        <f t="shared" si="30"/>
        <v>0.21949900205969941</v>
      </c>
      <c r="AG32" s="280">
        <f t="shared" si="30"/>
        <v>0.90327518756227487</v>
      </c>
      <c r="AH32" s="306">
        <f t="shared" si="30"/>
        <v>0.26546622964358541</v>
      </c>
      <c r="AI32" s="306">
        <f t="shared" si="30"/>
        <v>0.24221540680077594</v>
      </c>
      <c r="AJ32" s="306">
        <f t="shared" si="30"/>
        <v>0.27320991284237345</v>
      </c>
      <c r="AK32" s="306">
        <f t="shared" si="30"/>
        <v>0.31280259030015256</v>
      </c>
      <c r="AL32" s="280">
        <f t="shared" si="30"/>
        <v>1.0928906592428402</v>
      </c>
      <c r="AM32" s="306">
        <f t="shared" si="30"/>
        <v>0.32832314545658858</v>
      </c>
      <c r="AN32" s="306">
        <f t="shared" si="30"/>
        <v>0.34718022142179927</v>
      </c>
      <c r="AO32" s="306">
        <f t="shared" si="30"/>
        <v>0.39165455510803893</v>
      </c>
      <c r="AP32" s="306">
        <f t="shared" si="30"/>
        <v>0.46658857947890298</v>
      </c>
      <c r="AQ32" s="280">
        <f t="shared" si="30"/>
        <v>1.5324213686001089</v>
      </c>
      <c r="AR32" s="306">
        <f t="shared" si="30"/>
        <v>0.4930481369891071</v>
      </c>
      <c r="AS32" s="306">
        <f t="shared" si="30"/>
        <v>0.42391478804009836</v>
      </c>
      <c r="AT32" s="306">
        <f t="shared" si="30"/>
        <v>0.44949586992023843</v>
      </c>
      <c r="AU32" s="306">
        <f t="shared" si="30"/>
        <v>0.47407807117975498</v>
      </c>
      <c r="AV32" s="280">
        <f t="shared" si="30"/>
        <v>1.8438401661207704</v>
      </c>
      <c r="AW32" s="306">
        <f t="shared" si="30"/>
        <v>0.43391921978397874</v>
      </c>
      <c r="AX32" s="306">
        <f t="shared" si="30"/>
        <v>0.49931020668761505</v>
      </c>
      <c r="AY32" s="306">
        <f t="shared" ref="AY32:CI32" si="31">AY30/AY88</f>
        <v>0.51023913780004504</v>
      </c>
      <c r="AZ32" s="306">
        <f t="shared" si="31"/>
        <v>0.48620178410427722</v>
      </c>
      <c r="BA32" s="280">
        <f t="shared" si="31"/>
        <v>1.9281338415355709</v>
      </c>
      <c r="BB32" s="306">
        <f t="shared" si="31"/>
        <v>0.4542393757657831</v>
      </c>
      <c r="BC32" s="306">
        <f t="shared" si="31"/>
        <v>0.49251797009498866</v>
      </c>
      <c r="BD32" s="306">
        <f t="shared" si="31"/>
        <v>0.50977061772908483</v>
      </c>
      <c r="BE32" s="306">
        <f t="shared" si="31"/>
        <v>0.52811787832711721</v>
      </c>
      <c r="BF32" s="280">
        <f t="shared" si="31"/>
        <v>1.9518906955387485</v>
      </c>
      <c r="BG32" s="306">
        <f t="shared" si="31"/>
        <v>0.48212696832405089</v>
      </c>
      <c r="BH32" s="306">
        <f t="shared" si="31"/>
        <v>0.49589600253698463</v>
      </c>
      <c r="BI32" s="306">
        <f t="shared" si="31"/>
        <v>0.51993335537471641</v>
      </c>
      <c r="BJ32" s="306">
        <f t="shared" si="31"/>
        <v>0.54913861836393607</v>
      </c>
      <c r="BK32" s="280">
        <f t="shared" si="31"/>
        <v>2.047607193477436</v>
      </c>
      <c r="BL32" s="306">
        <f t="shared" si="31"/>
        <v>1.4817559679801791</v>
      </c>
      <c r="BM32" s="306">
        <f t="shared" si="31"/>
        <v>2.362277796146564</v>
      </c>
      <c r="BN32" s="306">
        <f t="shared" si="31"/>
        <v>1.8422107573155002</v>
      </c>
      <c r="BO32" s="306">
        <f t="shared" si="31"/>
        <v>2.4328772604877842</v>
      </c>
      <c r="BP32" s="280">
        <f t="shared" si="31"/>
        <v>8.0888840265726021</v>
      </c>
      <c r="BQ32" s="306">
        <f t="shared" si="31"/>
        <v>2.9355867346938775</v>
      </c>
      <c r="BR32" s="306">
        <f t="shared" si="31"/>
        <v>3.1461038961038961</v>
      </c>
      <c r="BS32" s="306">
        <f t="shared" si="31"/>
        <v>3.2197070572569908</v>
      </c>
      <c r="BT32" s="306">
        <f t="shared" si="31"/>
        <v>3.3213315217391304</v>
      </c>
      <c r="BU32" s="280">
        <f t="shared" si="31"/>
        <v>12.605522682445759</v>
      </c>
      <c r="BV32" s="306">
        <f t="shared" si="31"/>
        <v>3.0304748405386253</v>
      </c>
      <c r="BW32" s="306">
        <f t="shared" si="31"/>
        <v>3.08493353028065</v>
      </c>
      <c r="BX32" s="306">
        <f t="shared" si="31"/>
        <v>2.7481315396113604</v>
      </c>
      <c r="BY32" s="306">
        <f t="shared" si="31"/>
        <v>2.7036199095022626</v>
      </c>
      <c r="BZ32" s="280">
        <f t="shared" si="31"/>
        <v>11.572164948453608</v>
      </c>
      <c r="CA32" s="306">
        <f t="shared" si="31"/>
        <v>2.2340909090909089</v>
      </c>
      <c r="CB32" s="306">
        <f t="shared" si="31"/>
        <v>2.560364464692483</v>
      </c>
      <c r="CC32" s="306">
        <f t="shared" si="31"/>
        <v>2.2668688400303258</v>
      </c>
      <c r="CD32" s="306">
        <f t="shared" si="31"/>
        <v>1.7749999999999999</v>
      </c>
      <c r="CE32" s="280">
        <f t="shared" si="31"/>
        <v>8.8354814253222145</v>
      </c>
      <c r="CF32" s="306">
        <f t="shared" si="31"/>
        <v>1.4742440714855987</v>
      </c>
      <c r="CG32" s="306">
        <f t="shared" si="31"/>
        <v>1.6015502090279168</v>
      </c>
      <c r="CH32" s="306">
        <f t="shared" si="31"/>
        <v>1.6555576360130702</v>
      </c>
      <c r="CI32" s="306">
        <f t="shared" si="31"/>
        <v>1.4757611779439559</v>
      </c>
      <c r="CJ32" s="280">
        <f>CJ30/CJ88</f>
        <v>6.2071130944705422</v>
      </c>
      <c r="CK32" s="306"/>
      <c r="CL32" s="306"/>
      <c r="CM32" s="306"/>
      <c r="CN32" s="306"/>
      <c r="CO32" s="280">
        <f>CO30/CO88</f>
        <v>6.442340865011829</v>
      </c>
      <c r="CP32" s="306"/>
      <c r="CQ32" s="306"/>
      <c r="CR32" s="306"/>
      <c r="CS32" s="306"/>
      <c r="CT32" s="280">
        <f>CT30/CT88</f>
        <v>7.5193138550725642</v>
      </c>
      <c r="CU32" s="306"/>
      <c r="CV32" s="306"/>
      <c r="CW32" s="306"/>
      <c r="CX32" s="306"/>
      <c r="CY32" s="280">
        <f>CY30/CY88</f>
        <v>7.1008398257720113</v>
      </c>
      <c r="CZ32" s="306"/>
      <c r="DA32" s="306"/>
      <c r="DB32" s="306"/>
      <c r="DC32" s="306"/>
      <c r="DD32" s="280">
        <f>DD30/DD88</f>
        <v>8.0072589653462156</v>
      </c>
      <c r="DE32" s="306"/>
      <c r="DF32" s="306"/>
      <c r="DG32" s="306"/>
      <c r="DH32" s="306"/>
      <c r="DI32" s="280">
        <f>DI30/DI88</f>
        <v>8.960461547187121</v>
      </c>
      <c r="DJ32" s="306"/>
      <c r="DK32" s="306"/>
      <c r="DL32" s="306"/>
      <c r="DM32" s="306"/>
      <c r="DN32" s="280">
        <f>DN30/DN88</f>
        <v>9.8941626205362532</v>
      </c>
      <c r="DO32" s="306"/>
      <c r="DP32" s="306"/>
      <c r="DQ32" s="306"/>
      <c r="DR32" s="306"/>
      <c r="DS32" s="280">
        <f>DS30/DS88</f>
        <v>6.6436990116592476</v>
      </c>
      <c r="DT32" s="306"/>
      <c r="DU32" s="306"/>
      <c r="DV32" s="306"/>
      <c r="DW32" s="306"/>
      <c r="DX32" s="280">
        <f>DX30/DX88</f>
        <v>5.7084202533227888</v>
      </c>
      <c r="DY32" s="306"/>
      <c r="DZ32" s="306"/>
      <c r="EA32" s="306"/>
      <c r="EB32" s="306"/>
      <c r="EC32" s="280">
        <f>EC30/EC88</f>
        <v>5.6337661160966102</v>
      </c>
      <c r="ED32" s="306"/>
      <c r="EE32" s="306"/>
      <c r="EF32" s="306"/>
      <c r="EG32" s="306"/>
      <c r="EH32" s="280">
        <f>EH30/EH88</f>
        <v>6.2998216841903796</v>
      </c>
      <c r="EI32" s="306"/>
      <c r="EJ32" s="306"/>
      <c r="EK32" s="306"/>
      <c r="EL32" s="306"/>
      <c r="EM32" s="280">
        <f>EM30/EM88</f>
        <v>8.3569291847245246</v>
      </c>
      <c r="EN32" s="306"/>
      <c r="EO32" s="306"/>
      <c r="EP32" s="306"/>
      <c r="EQ32" s="306"/>
      <c r="ER32" s="280">
        <f>ER30/ER88</f>
        <v>8.649694625492053</v>
      </c>
      <c r="EU32"/>
      <c r="EV32"/>
      <c r="EW32"/>
      <c r="EX32"/>
      <c r="EY32"/>
      <c r="EZ32"/>
    </row>
    <row r="33" spans="2:156" customFormat="1" ht="12.75" customHeight="1">
      <c r="B33" s="592" t="s">
        <v>162</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93"/>
      <c r="AX33" s="593"/>
      <c r="AY33" s="593"/>
      <c r="AZ33" s="593"/>
      <c r="BA33" s="593"/>
      <c r="BB33" s="593"/>
      <c r="BC33" s="594"/>
      <c r="BD33" s="593"/>
      <c r="BE33" s="593"/>
      <c r="BF33" s="593"/>
      <c r="BG33" s="593"/>
      <c r="BH33" s="594"/>
      <c r="BI33" s="658"/>
      <c r="BJ33" s="658"/>
      <c r="BK33" s="593"/>
      <c r="BL33" s="595"/>
      <c r="BM33" s="595"/>
      <c r="BN33" s="595"/>
      <c r="BO33" s="595"/>
      <c r="BP33" s="595"/>
      <c r="BQ33" s="595"/>
      <c r="BR33" s="595"/>
      <c r="BS33" s="595"/>
      <c r="BT33" s="595"/>
      <c r="BU33" s="595"/>
      <c r="BV33" s="685"/>
      <c r="BW33" s="685"/>
      <c r="BX33" s="685"/>
      <c r="BY33" s="685"/>
      <c r="BZ33" s="595"/>
      <c r="CA33" s="685"/>
      <c r="CB33" s="685"/>
      <c r="CC33" s="685"/>
      <c r="CD33" s="685"/>
      <c r="CE33" s="595"/>
      <c r="CF33" s="685" t="e">
        <f ca="1">_xll.TR($FC$1,"TR.EPSMean","Period=#1 Curn=#2 Null=-",,LEFT(CF2,1)&amp;"CQ20"&amp;MID(CF2,3,2),$FC$2)</f>
        <v>#NAME?</v>
      </c>
      <c r="CG33" s="685" t="e">
        <f ca="1">_xll.TR($FC$1,"TR.EPSMean","Period=#1 Curn=#2 Null=-",,LEFT(CG2,1)&amp;"CQ20"&amp;MID(CG2,3,2),$FC$2)</f>
        <v>#NAME?</v>
      </c>
      <c r="CH33" s="685" t="e">
        <f ca="1">_xll.TR($FC$1,"TR.EPSMean","Period=#1 Curn=#2 Null=-",,LEFT(CH2,1)&amp;"CQ20"&amp;MID(CH2,3,2),$FC$2)</f>
        <v>#NAME?</v>
      </c>
      <c r="CI33" s="685" t="e">
        <f ca="1">_xll.TR($FC$1,"TR.EPSMean","Period=#1 Curn=#2 Null=-",,LEFT(CI2,1)&amp;"CQ20"&amp;MID(CI2,3,2),$FC$2)</f>
        <v>#NAME?</v>
      </c>
      <c r="CJ33" s="595" t="e">
        <f ca="1">_xll.TR($FC$1,"Avail(TR.EPSMean(Methodology=WeightedAnnual),TR.EPSMean(Methodology=InterimSum))","Period=#1 Curn=#2 Null=-",,"CY"&amp;LEFT(CF1,4),$FC$2)</f>
        <v>#NAME?</v>
      </c>
      <c r="CK33" s="596"/>
      <c r="CL33" s="596"/>
      <c r="CM33" s="596"/>
      <c r="CN33" s="596"/>
      <c r="CO33" s="595" t="e">
        <f ca="1">_xll.TR($FC$1,"Avail(TR.EPSMean(Methodology=WeightedAnnual),TR.EPSMean(Methodology=InterimSum))","Period=#1 Curn=#2 Null=-",,"CY"&amp;LEFT(CK1,4),$FC$2)</f>
        <v>#NAME?</v>
      </c>
      <c r="CP33" s="596"/>
      <c r="CQ33" s="596"/>
      <c r="CR33" s="596"/>
      <c r="CS33" s="596"/>
      <c r="CT33" s="595" t="e">
        <f ca="1">_xll.TR($FC$1,"Avail(TR.EPSMean(Methodology=WeightedAnnual),TR.EPSMean(Methodology=InterimSum))","Period=#1 Curn=#2 Null=-",,"CY"&amp;LEFT(CP1,4),$FC$2)</f>
        <v>#NAME?</v>
      </c>
      <c r="CU33" s="596"/>
      <c r="CV33" s="596"/>
      <c r="CW33" s="596"/>
      <c r="CX33" s="596"/>
      <c r="CY33" s="597"/>
      <c r="CZ33" s="596"/>
      <c r="DA33" s="596"/>
      <c r="DB33" s="596"/>
      <c r="DC33" s="596"/>
      <c r="DD33" s="597"/>
      <c r="DE33" s="596"/>
      <c r="DF33" s="596"/>
      <c r="DG33" s="596"/>
      <c r="DH33" s="596"/>
      <c r="DI33" s="597"/>
      <c r="DJ33" s="596"/>
      <c r="DK33" s="596"/>
      <c r="DL33" s="596"/>
      <c r="DM33" s="596"/>
      <c r="DN33" s="597"/>
      <c r="DO33" s="596"/>
      <c r="DP33" s="596"/>
      <c r="DQ33" s="596"/>
      <c r="DR33" s="596"/>
      <c r="DS33" s="597"/>
      <c r="DT33" s="596"/>
      <c r="DU33" s="596"/>
      <c r="DV33" s="596"/>
      <c r="DW33" s="596"/>
      <c r="DX33" s="597"/>
      <c r="DY33" s="596"/>
      <c r="DZ33" s="596"/>
      <c r="EA33" s="596"/>
      <c r="EB33" s="596"/>
      <c r="EC33" s="597"/>
      <c r="ED33" s="596"/>
      <c r="EE33" s="596"/>
      <c r="EF33" s="596"/>
      <c r="EG33" s="596"/>
      <c r="EH33" s="597"/>
      <c r="EI33" s="596"/>
      <c r="EJ33" s="596"/>
      <c r="EK33" s="596"/>
      <c r="EL33" s="596"/>
      <c r="EM33" s="597"/>
      <c r="EN33" s="596"/>
      <c r="EO33" s="596"/>
      <c r="EP33" s="596"/>
      <c r="EQ33" s="596"/>
      <c r="ER33" s="597"/>
    </row>
    <row r="34" spans="2:156" ht="12.75" customHeight="1">
      <c r="B34" s="9"/>
      <c r="C34" s="15"/>
      <c r="D34" s="307"/>
      <c r="E34" s="307"/>
      <c r="F34" s="307"/>
      <c r="G34" s="307"/>
      <c r="H34" s="15"/>
      <c r="I34" s="307"/>
      <c r="J34" s="307"/>
      <c r="K34" s="307"/>
      <c r="L34" s="307"/>
      <c r="M34" s="15"/>
      <c r="N34" s="307"/>
      <c r="O34" s="307"/>
      <c r="P34" s="307"/>
      <c r="Q34" s="307"/>
      <c r="R34" s="15"/>
      <c r="S34" s="307"/>
      <c r="T34" s="307"/>
      <c r="U34" s="307"/>
      <c r="V34" s="307"/>
      <c r="W34" s="15"/>
      <c r="X34" s="307"/>
      <c r="Y34" s="307"/>
      <c r="Z34" s="307"/>
      <c r="AA34" s="307"/>
      <c r="AB34" s="15"/>
      <c r="AC34" s="307"/>
      <c r="AD34" s="307"/>
      <c r="AE34" s="307"/>
      <c r="AF34" s="307"/>
      <c r="AG34" s="15"/>
      <c r="AH34" s="307"/>
      <c r="AI34" s="307"/>
      <c r="AJ34" s="307"/>
      <c r="AK34" s="307"/>
      <c r="AL34" s="15"/>
      <c r="AM34" s="307"/>
      <c r="AN34" s="307"/>
      <c r="AO34" s="307"/>
      <c r="AP34" s="307"/>
      <c r="AQ34" s="15"/>
      <c r="AR34" s="307"/>
      <c r="AS34" s="307"/>
      <c r="AT34" s="307"/>
      <c r="AU34" s="307"/>
      <c r="AV34" s="15"/>
      <c r="AW34" s="307"/>
      <c r="AX34" s="307"/>
      <c r="AY34" s="307"/>
      <c r="AZ34" s="307"/>
      <c r="BA34" s="15"/>
      <c r="BB34" s="307"/>
      <c r="BC34" s="307"/>
      <c r="BD34" s="307"/>
      <c r="BE34" s="307"/>
      <c r="BF34" s="15"/>
      <c r="BG34" s="307"/>
      <c r="BH34" s="307"/>
      <c r="BI34" s="307"/>
      <c r="BJ34" s="307"/>
      <c r="BK34" s="15"/>
      <c r="BL34" s="307"/>
      <c r="BM34" s="307"/>
      <c r="BN34" s="307"/>
      <c r="BO34" s="307"/>
      <c r="BP34" s="15"/>
      <c r="BQ34" s="307"/>
      <c r="BR34" s="307"/>
      <c r="BS34" s="307"/>
      <c r="BT34" s="307"/>
      <c r="BU34" s="15"/>
      <c r="BV34" s="307"/>
      <c r="BW34" s="307"/>
      <c r="BX34" s="307"/>
      <c r="BY34" s="307"/>
      <c r="BZ34" s="15"/>
      <c r="CA34" s="307"/>
      <c r="CB34" s="307"/>
      <c r="CC34" s="307"/>
      <c r="CD34" s="307"/>
      <c r="CE34" s="15"/>
      <c r="CF34" s="307"/>
      <c r="CG34" s="307"/>
      <c r="CH34" s="307"/>
      <c r="CI34" s="307"/>
      <c r="CJ34" s="15"/>
      <c r="CK34" s="307"/>
      <c r="CL34" s="307"/>
      <c r="CM34" s="307"/>
      <c r="CN34" s="307"/>
      <c r="CO34" s="15"/>
      <c r="CP34" s="307"/>
      <c r="CQ34" s="307"/>
      <c r="CR34" s="307"/>
      <c r="CS34" s="307"/>
      <c r="CT34" s="15"/>
      <c r="CU34" s="307"/>
      <c r="CV34" s="307"/>
      <c r="CW34" s="307"/>
      <c r="CX34" s="307"/>
      <c r="CY34" s="15"/>
      <c r="CZ34" s="307"/>
      <c r="DA34" s="307"/>
      <c r="DB34" s="307"/>
      <c r="DC34" s="307"/>
      <c r="DD34" s="15"/>
      <c r="DE34" s="307"/>
      <c r="DF34" s="307"/>
      <c r="DG34" s="307"/>
      <c r="DH34" s="307"/>
      <c r="DI34" s="15"/>
      <c r="DJ34" s="307"/>
      <c r="DK34" s="307"/>
      <c r="DL34" s="307"/>
      <c r="DM34" s="307"/>
      <c r="DN34" s="15"/>
      <c r="DO34" s="307"/>
      <c r="DP34" s="307"/>
      <c r="DQ34" s="307"/>
      <c r="DR34" s="307"/>
      <c r="DS34" s="15"/>
      <c r="DT34" s="307"/>
      <c r="DU34" s="307"/>
      <c r="DV34" s="307"/>
      <c r="DW34" s="307"/>
      <c r="DX34" s="15"/>
      <c r="DY34" s="307"/>
      <c r="DZ34" s="307"/>
      <c r="EA34" s="307"/>
      <c r="EB34" s="307"/>
      <c r="EC34" s="15"/>
      <c r="ED34" s="307"/>
      <c r="EE34" s="307"/>
      <c r="EF34" s="307"/>
      <c r="EG34" s="307"/>
      <c r="EH34" s="15"/>
      <c r="EI34" s="307"/>
      <c r="EJ34" s="307"/>
      <c r="EK34" s="307"/>
      <c r="EL34" s="307"/>
      <c r="EM34" s="15"/>
      <c r="EN34" s="307"/>
      <c r="EO34" s="307"/>
      <c r="EP34" s="307"/>
      <c r="EQ34" s="307"/>
      <c r="ER34" s="15"/>
    </row>
    <row r="35" spans="2:156" s="116" customFormat="1" ht="12.75" hidden="1" customHeight="1" outlineLevel="1">
      <c r="B35" s="116" t="s">
        <v>146</v>
      </c>
      <c r="D35" s="298"/>
      <c r="E35" s="298"/>
      <c r="F35" s="298"/>
      <c r="G35" s="298"/>
      <c r="I35" s="298"/>
      <c r="J35" s="298"/>
      <c r="K35" s="298"/>
      <c r="L35" s="298"/>
      <c r="N35" s="298"/>
      <c r="O35" s="298"/>
      <c r="P35" s="298"/>
      <c r="Q35" s="298"/>
      <c r="S35" s="298"/>
      <c r="T35" s="298"/>
      <c r="U35" s="298"/>
      <c r="V35" s="298"/>
      <c r="X35" s="298">
        <f>(3.187+11.949+14.496)</f>
        <v>29.631999999999998</v>
      </c>
      <c r="Y35" s="298">
        <f>(2.526+12.892+21.349)</f>
        <v>36.766999999999996</v>
      </c>
      <c r="Z35" s="298">
        <f>(2.524+13.267+15.954)</f>
        <v>31.745000000000001</v>
      </c>
      <c r="AA35" s="298">
        <f>(2.634+14.055+18.993)</f>
        <v>35.682000000000002</v>
      </c>
      <c r="AB35" s="116">
        <f>X35+Y35+Z35+AA35</f>
        <v>133.82600000000002</v>
      </c>
      <c r="AC35" s="298">
        <f>(2.53+21.108+33.656)</f>
        <v>57.293999999999997</v>
      </c>
      <c r="AD35" s="298">
        <f>(2.682+16.661+28.464)</f>
        <v>47.807000000000002</v>
      </c>
      <c r="AE35" s="298">
        <f>(3.138+18.36+24.563)</f>
        <v>46.060999999999993</v>
      </c>
      <c r="AF35" s="298">
        <f>(2.874+15.953+14.616)</f>
        <v>33.442999999999998</v>
      </c>
      <c r="AG35" s="116">
        <f>AC35+AD35+AE35+AF35</f>
        <v>184.60499999999996</v>
      </c>
      <c r="AH35" s="298">
        <f>(1.694+16.895+17.547)</f>
        <v>36.135999999999996</v>
      </c>
      <c r="AI35" s="298">
        <f>(2.848+15.37+18.657)</f>
        <v>36.875</v>
      </c>
      <c r="AJ35" s="298">
        <f>(2.592+17.68+21.322)</f>
        <v>41.593999999999994</v>
      </c>
      <c r="AK35" s="298">
        <f>(3.178+16.578+19.003)</f>
        <v>38.759</v>
      </c>
      <c r="AL35" s="116">
        <f>AH35+AI35+AJ35+AK35</f>
        <v>153.36399999999998</v>
      </c>
      <c r="AM35" s="298">
        <f>(3.254+16.955+20.836)</f>
        <v>41.045000000000002</v>
      </c>
      <c r="AN35" s="298">
        <f>(2.771+24.321+27.189)</f>
        <v>54.281000000000006</v>
      </c>
      <c r="AO35" s="298">
        <f>(2.461+21.916+24.23)</f>
        <v>48.606999999999999</v>
      </c>
      <c r="AP35" s="298">
        <f>(2.373+19.701+19.751)</f>
        <v>41.825000000000003</v>
      </c>
      <c r="AQ35" s="116">
        <f>AM35+AN35+AO35+AP35</f>
        <v>185.75799999999998</v>
      </c>
      <c r="AR35" s="298">
        <f>(2.853+20.069+23.919)</f>
        <v>46.841000000000001</v>
      </c>
      <c r="AS35" s="298">
        <f>(2.967+21.521+23.559)</f>
        <v>48.046999999999997</v>
      </c>
      <c r="AT35" s="298">
        <f>(2.728+20.946+28.128)</f>
        <v>51.802000000000007</v>
      </c>
      <c r="AU35" s="298">
        <f>(1.632+21.512+30.207)</f>
        <v>53.350999999999999</v>
      </c>
      <c r="AV35" s="116">
        <f>AR35+AS35+AT35+AU35</f>
        <v>200.041</v>
      </c>
      <c r="AW35" s="298">
        <f>(2.644+16.72+30.106)</f>
        <v>49.47</v>
      </c>
      <c r="AX35" s="298">
        <f>2.887+19.42+27.818</f>
        <v>50.125</v>
      </c>
      <c r="AY35" s="298">
        <f>2.234+18.389+25.897</f>
        <v>46.519999999999996</v>
      </c>
      <c r="AZ35" s="298">
        <f>0.668+18.961+26.634</f>
        <v>46.262999999999998</v>
      </c>
      <c r="BA35" s="116">
        <f>SUM(AW35:AZ35)</f>
        <v>192.37800000000001</v>
      </c>
      <c r="BB35" s="298">
        <f>2.101+118.623+121.944</f>
        <v>242.66800000000001</v>
      </c>
      <c r="BC35" s="298">
        <f>2.119+20.355+25.929</f>
        <v>48.402999999999999</v>
      </c>
      <c r="BD35" s="298">
        <f>1.864+23.236+29.364</f>
        <v>54.463999999999999</v>
      </c>
      <c r="BE35" s="298">
        <f>0.977+24.886+31.264</f>
        <v>57.126999999999995</v>
      </c>
      <c r="BF35" s="116">
        <f>SUM(BB35:BE35)</f>
        <v>402.66200000000003</v>
      </c>
      <c r="BG35" s="298">
        <f>1.841+26.875+33.051</f>
        <v>61.767000000000003</v>
      </c>
      <c r="BH35" s="298">
        <f>2.632+24.646+28.675</f>
        <v>55.953000000000003</v>
      </c>
      <c r="BI35" s="298">
        <f>-(BI44+BI49+BI58)</f>
        <v>62.572999999999993</v>
      </c>
      <c r="BJ35" s="298">
        <f>-(BJ44+BJ49+BJ58)</f>
        <v>71.918000000000006</v>
      </c>
      <c r="BK35" s="116">
        <f>SUM(BG35:BJ35)</f>
        <v>252.21100000000001</v>
      </c>
      <c r="BL35" s="298">
        <f>-BL44-BL49-BL58</f>
        <v>82.224999999999994</v>
      </c>
      <c r="BM35" s="298">
        <f>-BM44-BM49-BM58</f>
        <v>83.13300000000001</v>
      </c>
      <c r="BN35" s="298">
        <f>-BN44-BN49-BN58</f>
        <v>99.335999999999999</v>
      </c>
      <c r="BO35" s="298">
        <f>-BO44-BO49-BO58</f>
        <v>95</v>
      </c>
      <c r="BP35" s="116">
        <f>SUM(BL35:BO35)</f>
        <v>359.69400000000002</v>
      </c>
      <c r="BQ35" s="298">
        <f t="shared" ref="BQ35:BV35" si="32">-BQ44-BQ49-BQ58</f>
        <v>92</v>
      </c>
      <c r="BR35" s="298">
        <f t="shared" si="32"/>
        <v>96</v>
      </c>
      <c r="BS35" s="298">
        <f t="shared" si="32"/>
        <v>97</v>
      </c>
      <c r="BT35" s="298">
        <f t="shared" si="32"/>
        <v>97</v>
      </c>
      <c r="BU35" s="116">
        <f t="shared" si="32"/>
        <v>382</v>
      </c>
      <c r="BV35" s="298">
        <f t="shared" si="32"/>
        <v>88</v>
      </c>
      <c r="BW35" s="298">
        <f>-BW44-BW49-BW58</f>
        <v>95</v>
      </c>
      <c r="BX35" s="298">
        <f>-BX44-BX49-BX58</f>
        <v>95</v>
      </c>
      <c r="BY35" s="298">
        <f>-BY44-BY49-BY58</f>
        <v>102</v>
      </c>
      <c r="BZ35" s="116">
        <f>-BZ44-BZ49-BZ58</f>
        <v>380</v>
      </c>
      <c r="CA35" s="711">
        <f t="shared" ref="CA35" si="33">-CA44-CA49-CA58</f>
        <v>89</v>
      </c>
      <c r="CB35" s="711">
        <f>-CB44-CB49-CB58</f>
        <v>102</v>
      </c>
      <c r="CC35" s="711">
        <f>-CC44-CC49-CC58</f>
        <v>113</v>
      </c>
      <c r="CD35" s="711">
        <f>-CD44-CD49-CD58</f>
        <v>345</v>
      </c>
      <c r="CE35" s="116">
        <f>-CE44-CE49-CE58</f>
        <v>649</v>
      </c>
      <c r="CF35" s="711">
        <f t="shared" ref="CF35" si="34">-CF44-CF49-CF58</f>
        <v>178.47500000000002</v>
      </c>
      <c r="CG35" s="711">
        <f>-CG44-CG49-CG58</f>
        <v>178.47500000000002</v>
      </c>
      <c r="CH35" s="711">
        <f>-CH44-CH49-CH58</f>
        <v>178.47500000000002</v>
      </c>
      <c r="CI35" s="711">
        <f>-CI44-CI49-CI58</f>
        <v>178.47499999999999</v>
      </c>
      <c r="CJ35" s="116">
        <f>-CJ44-CJ49-CJ58</f>
        <v>713.90000000000009</v>
      </c>
      <c r="CK35" s="298"/>
      <c r="CL35" s="298"/>
      <c r="CM35" s="298"/>
      <c r="CN35" s="298"/>
      <c r="CO35" s="116">
        <f>-CO44-CO49-CO58</f>
        <v>785.29000000000008</v>
      </c>
      <c r="CP35" s="298"/>
      <c r="CQ35" s="298"/>
      <c r="CR35" s="298"/>
      <c r="CS35" s="298"/>
      <c r="CT35" s="116">
        <f>-CT44-CT49-CT58</f>
        <v>863.81900000000019</v>
      </c>
      <c r="CU35" s="298"/>
      <c r="CV35" s="298"/>
      <c r="CW35" s="298"/>
      <c r="CX35" s="298"/>
      <c r="CY35" s="116">
        <f>-CY44-CY49-CY58</f>
        <v>950.20090000000016</v>
      </c>
      <c r="CZ35" s="298"/>
      <c r="DA35" s="298"/>
      <c r="DB35" s="298"/>
      <c r="DC35" s="298"/>
      <c r="DD35" s="116">
        <f>-DD44-DD49-DD58</f>
        <v>1045.2209900000003</v>
      </c>
      <c r="DE35" s="298"/>
      <c r="DF35" s="298"/>
      <c r="DG35" s="298"/>
      <c r="DH35" s="298"/>
      <c r="DI35" s="116">
        <f>-DI44-DI49-DI58</f>
        <v>1149.7430890000005</v>
      </c>
      <c r="DJ35" s="298"/>
      <c r="DK35" s="298"/>
      <c r="DL35" s="298"/>
      <c r="DM35" s="298"/>
      <c r="DN35" s="116">
        <f>-DN44-DN49-DN58</f>
        <v>1264.7173979000006</v>
      </c>
      <c r="DO35" s="298"/>
      <c r="DP35" s="298"/>
      <c r="DQ35" s="298"/>
      <c r="DR35" s="298"/>
      <c r="DS35" s="116">
        <f>-DS44-DS49-DS58</f>
        <v>1391.1891376900007</v>
      </c>
      <c r="DT35" s="298"/>
      <c r="DU35" s="298"/>
      <c r="DV35" s="298"/>
      <c r="DW35" s="298"/>
      <c r="DX35" s="116">
        <f>-DX44-DX49-DX58</f>
        <v>1530.308051459001</v>
      </c>
      <c r="DY35" s="298"/>
      <c r="DZ35" s="298"/>
      <c r="EA35" s="298"/>
      <c r="EB35" s="298"/>
      <c r="EC35" s="116">
        <f>-EC44-EC49-EC58</f>
        <v>1683.3388566049011</v>
      </c>
      <c r="ED35" s="298"/>
      <c r="EE35" s="298"/>
      <c r="EF35" s="298"/>
      <c r="EG35" s="298"/>
      <c r="EH35" s="116">
        <f>-EH44-EH49-EH58</f>
        <v>1851.6727422653917</v>
      </c>
      <c r="EI35" s="298"/>
      <c r="EJ35" s="298"/>
      <c r="EK35" s="298"/>
      <c r="EL35" s="298"/>
      <c r="EM35" s="116">
        <f>-EM44-EM49-EM58</f>
        <v>2036.8400164919308</v>
      </c>
      <c r="EN35" s="298"/>
      <c r="EO35" s="298"/>
      <c r="EP35" s="298"/>
      <c r="EQ35" s="298"/>
      <c r="ER35" s="116">
        <f>-ER44-ER49-ER58</f>
        <v>2240.5240181411241</v>
      </c>
      <c r="EU35"/>
      <c r="EV35"/>
      <c r="EW35"/>
      <c r="EX35"/>
      <c r="EY35"/>
      <c r="EZ35"/>
    </row>
    <row r="36" spans="2:156" ht="12.75" hidden="1" customHeight="1" outlineLevel="1">
      <c r="B36" s="29" t="s">
        <v>107</v>
      </c>
      <c r="C36" s="30"/>
      <c r="D36" s="575"/>
      <c r="E36" s="575"/>
      <c r="F36" s="575"/>
      <c r="G36" s="575"/>
      <c r="H36" s="30"/>
      <c r="I36" s="575"/>
      <c r="J36" s="575"/>
      <c r="K36" s="575"/>
      <c r="L36" s="575"/>
      <c r="M36" s="30"/>
      <c r="N36" s="575"/>
      <c r="O36" s="575"/>
      <c r="P36" s="575"/>
      <c r="Q36" s="575"/>
      <c r="R36" s="30"/>
      <c r="S36" s="575"/>
      <c r="T36" s="575"/>
      <c r="U36" s="575"/>
      <c r="V36" s="575"/>
      <c r="W36" s="30"/>
      <c r="X36" s="303">
        <f t="shared" ref="X36:BP36" si="35">X35/(X12+X18)</f>
        <v>0.14495362579736232</v>
      </c>
      <c r="Y36" s="303">
        <f t="shared" si="35"/>
        <v>0.17688092637939407</v>
      </c>
      <c r="Z36" s="303">
        <f t="shared" si="35"/>
        <v>0.16145931347367673</v>
      </c>
      <c r="AA36" s="303">
        <f t="shared" si="35"/>
        <v>0.15811933618416682</v>
      </c>
      <c r="AB36" s="31">
        <f t="shared" si="35"/>
        <v>0.1603541964975766</v>
      </c>
      <c r="AC36" s="303">
        <f t="shared" si="35"/>
        <v>0.23686560500074416</v>
      </c>
      <c r="AD36" s="303">
        <f t="shared" si="35"/>
        <v>0.17259779410437387</v>
      </c>
      <c r="AE36" s="303">
        <f t="shared" si="35"/>
        <v>0.17035023484596323</v>
      </c>
      <c r="AF36" s="303">
        <f t="shared" si="35"/>
        <v>0.10009068408120264</v>
      </c>
      <c r="AG36" s="31">
        <f t="shared" si="35"/>
        <v>0.16432909080227096</v>
      </c>
      <c r="AH36" s="303">
        <f t="shared" si="35"/>
        <v>0.11442105529802163</v>
      </c>
      <c r="AI36" s="303">
        <f t="shared" si="35"/>
        <v>0.10185113576100406</v>
      </c>
      <c r="AJ36" s="303">
        <f t="shared" si="35"/>
        <v>0.12296858231657741</v>
      </c>
      <c r="AK36" s="303">
        <f t="shared" si="35"/>
        <v>0.10767974173975613</v>
      </c>
      <c r="AL36" s="31">
        <f t="shared" si="35"/>
        <v>0.11145153554350827</v>
      </c>
      <c r="AM36" s="303">
        <f t="shared" si="35"/>
        <v>0.11563958877440912</v>
      </c>
      <c r="AN36" s="303">
        <f t="shared" si="35"/>
        <v>0.12946611713748724</v>
      </c>
      <c r="AO36" s="303">
        <f t="shared" si="35"/>
        <v>0.10984756889908361</v>
      </c>
      <c r="AP36" s="303">
        <f t="shared" si="35"/>
        <v>9.6219322542352617E-2</v>
      </c>
      <c r="AQ36" s="31">
        <f t="shared" si="35"/>
        <v>0.11248611772171981</v>
      </c>
      <c r="AR36" s="303">
        <f t="shared" si="35"/>
        <v>0.11005615469561335</v>
      </c>
      <c r="AS36" s="303">
        <f t="shared" si="35"/>
        <v>0.11148933997902337</v>
      </c>
      <c r="AT36" s="303">
        <f t="shared" si="35"/>
        <v>0.12222930086595411</v>
      </c>
      <c r="AU36" s="303">
        <f t="shared" si="35"/>
        <v>0.11325733452214155</v>
      </c>
      <c r="AV36" s="31">
        <f t="shared" si="35"/>
        <v>0.11421542094601231</v>
      </c>
      <c r="AW36" s="303">
        <f t="shared" si="35"/>
        <v>9.8829706048050373E-2</v>
      </c>
      <c r="AX36" s="303">
        <f t="shared" si="35"/>
        <v>9.2983696085687823E-2</v>
      </c>
      <c r="AY36" s="303">
        <f t="shared" si="35"/>
        <v>8.7057088640285024E-2</v>
      </c>
      <c r="AZ36" s="303">
        <f t="shared" si="35"/>
        <v>7.2380144782193082E-2</v>
      </c>
      <c r="BA36" s="31">
        <f t="shared" si="35"/>
        <v>8.6924578430840976E-2</v>
      </c>
      <c r="BB36" s="303">
        <f t="shared" si="35"/>
        <v>0.37971518388180497</v>
      </c>
      <c r="BC36" s="303">
        <f t="shared" si="35"/>
        <v>7.2229376731942657E-2</v>
      </c>
      <c r="BD36" s="303">
        <f t="shared" si="35"/>
        <v>8.1197689777833426E-2</v>
      </c>
      <c r="BE36" s="303">
        <f t="shared" si="35"/>
        <v>7.7032716014422992E-2</v>
      </c>
      <c r="BF36" s="31">
        <f t="shared" si="35"/>
        <v>0.14795264480665501</v>
      </c>
      <c r="BG36" s="303">
        <f t="shared" si="35"/>
        <v>7.7886361343690105E-2</v>
      </c>
      <c r="BH36" s="303">
        <f t="shared" si="35"/>
        <v>6.4752397561876021E-2</v>
      </c>
      <c r="BI36" s="303">
        <f t="shared" si="35"/>
        <v>7.2307297637096465E-2</v>
      </c>
      <c r="BJ36" s="303">
        <f t="shared" si="35"/>
        <v>7.3210159311854234E-2</v>
      </c>
      <c r="BK36" s="31">
        <f t="shared" si="35"/>
        <v>7.1960096699652171E-2</v>
      </c>
      <c r="BL36" s="303">
        <f t="shared" si="35"/>
        <v>7.772400298702159E-2</v>
      </c>
      <c r="BM36" s="303">
        <f t="shared" si="35"/>
        <v>7.48134455959482E-2</v>
      </c>
      <c r="BN36" s="303">
        <f t="shared" si="35"/>
        <v>6.7365805492561923E-2</v>
      </c>
      <c r="BO36" s="303">
        <f t="shared" si="35"/>
        <v>5.5948174322732629E-2</v>
      </c>
      <c r="BP36" s="31">
        <f t="shared" si="35"/>
        <v>6.7337116156122867E-2</v>
      </c>
      <c r="BQ36" s="303">
        <f t="shared" ref="BQ36:BV36" si="36">BQ35/(BQ12+BQ18)</f>
        <v>7.3541167066346919E-2</v>
      </c>
      <c r="BR36" s="303">
        <f t="shared" si="36"/>
        <v>6.5618591934381409E-2</v>
      </c>
      <c r="BS36" s="303">
        <f t="shared" si="36"/>
        <v>6.2060140754958415E-2</v>
      </c>
      <c r="BT36" s="303">
        <f t="shared" si="36"/>
        <v>5.4129464285714288E-2</v>
      </c>
      <c r="BU36" s="31">
        <f>BU35/(BU12+BU18)</f>
        <v>6.2942824188498933E-2</v>
      </c>
      <c r="BV36" s="303">
        <f t="shared" si="36"/>
        <v>6.2544420753375976E-2</v>
      </c>
      <c r="BW36" s="303">
        <f>BW35/(BW12+BW18)</f>
        <v>5.0585729499467519E-2</v>
      </c>
      <c r="BX36" s="303">
        <f>BX35/(BX12+BX18)</f>
        <v>5.3946621237932993E-2</v>
      </c>
      <c r="BY36" s="303">
        <f>BY35/(BY12+BY18)</f>
        <v>5.3769109119662623E-2</v>
      </c>
      <c r="BZ36" s="31">
        <f>BZ35/(BZ12+BZ18)</f>
        <v>5.4731384127898602E-2</v>
      </c>
      <c r="CA36" s="303">
        <f t="shared" ref="CA36" si="37">CA35/(CA12+CA18)</f>
        <v>5.2476415094339625E-2</v>
      </c>
      <c r="CB36" s="303">
        <f>CB35/(CB12+CB18)</f>
        <v>6.2233068944478338E-2</v>
      </c>
      <c r="CC36" s="303">
        <f>CC35/(CC12+CC18)</f>
        <v>7.2856221792392012E-2</v>
      </c>
      <c r="CD36" s="303">
        <f>CD35/(CD12+CD18)</f>
        <v>0.19513574660633484</v>
      </c>
      <c r="CE36" s="31">
        <f>CE35/(CE12+CE18)</f>
        <v>9.7535317102494745E-2</v>
      </c>
      <c r="CF36" s="303">
        <f t="shared" ref="CF36" si="38">CF35/(CF12+CF18)</f>
        <v>9.9638237412280964E-2</v>
      </c>
      <c r="CG36" s="303">
        <f>CG35/(CG12+CG18)</f>
        <v>0.10882621951219514</v>
      </c>
      <c r="CH36" s="303">
        <f>CH35/(CH12+CH18)</f>
        <v>0.11174592242431833</v>
      </c>
      <c r="CI36" s="303">
        <f>CI35/(CI12+CI18)</f>
        <v>9.0522007283350747E-2</v>
      </c>
      <c r="CJ36" s="31">
        <f>CJ35/(CJ12+CJ18)</f>
        <v>0.1019857142857143</v>
      </c>
      <c r="CK36" s="303"/>
      <c r="CL36" s="303"/>
      <c r="CM36" s="303"/>
      <c r="CN36" s="303"/>
      <c r="CO36" s="31">
        <f>CO35/(CO12+CO18)</f>
        <v>0.11079929453262788</v>
      </c>
      <c r="CP36" s="303"/>
      <c r="CQ36" s="303"/>
      <c r="CR36" s="303"/>
      <c r="CS36" s="303"/>
      <c r="CT36" s="31">
        <f>CT35/(CT12+CT18)</f>
        <v>0.12187922398589068</v>
      </c>
      <c r="CU36" s="303"/>
      <c r="CV36" s="303"/>
      <c r="CW36" s="303"/>
      <c r="CX36" s="303"/>
      <c r="CY36" s="31">
        <f>CY35/(CY12+CY18)</f>
        <v>0.13243218118466904</v>
      </c>
      <c r="CZ36" s="303"/>
      <c r="DA36" s="303"/>
      <c r="DB36" s="303"/>
      <c r="DC36" s="303"/>
      <c r="DD36" s="31">
        <f>DD35/(DD12+DD18)</f>
        <v>0.14567539930313597</v>
      </c>
      <c r="DE36" s="303"/>
      <c r="DF36" s="303"/>
      <c r="DG36" s="303"/>
      <c r="DH36" s="303"/>
      <c r="DI36" s="31">
        <f>DI35/(DI12+DI18)</f>
        <v>0.162219995427725</v>
      </c>
      <c r="DJ36" s="303"/>
      <c r="DK36" s="303"/>
      <c r="DL36" s="303"/>
      <c r="DM36" s="303"/>
      <c r="DN36" s="31">
        <f>DN35/(DN12+DN18)</f>
        <v>0.18061468506848199</v>
      </c>
      <c r="DO36" s="303"/>
      <c r="DP36" s="303"/>
      <c r="DQ36" s="303"/>
      <c r="DR36" s="303"/>
      <c r="DS36" s="31">
        <f>DS35/(DS12+DS18)</f>
        <v>0.19634524245745902</v>
      </c>
      <c r="DT36" s="303"/>
      <c r="DU36" s="303"/>
      <c r="DV36" s="303"/>
      <c r="DW36" s="303"/>
      <c r="DX36" s="31">
        <f>DX35/(DX12+DX18)</f>
        <v>0.21341336024588181</v>
      </c>
      <c r="DY36" s="303"/>
      <c r="DZ36" s="303"/>
      <c r="EA36" s="303"/>
      <c r="EB36" s="303"/>
      <c r="EC36" s="31">
        <f>EC35/(EC12+EC18)</f>
        <v>0.23192986242926322</v>
      </c>
      <c r="ED36" s="303"/>
      <c r="EE36" s="303"/>
      <c r="EF36" s="303"/>
      <c r="EG36" s="303"/>
      <c r="EH36" s="31">
        <f>EH35/(EH12+EH18)</f>
        <v>0.28805517616151616</v>
      </c>
      <c r="EI36" s="303"/>
      <c r="EJ36" s="303"/>
      <c r="EK36" s="303"/>
      <c r="EL36" s="303"/>
      <c r="EM36" s="31">
        <f>EM35/(EM12+EM18)</f>
        <v>1.2674427751106709</v>
      </c>
      <c r="EN36" s="303"/>
      <c r="EO36" s="303"/>
      <c r="EP36" s="303"/>
      <c r="EQ36" s="303"/>
      <c r="ER36" s="31">
        <f>ER35/(ER12+ER18)</f>
        <v>2.7883741052434763</v>
      </c>
    </row>
    <row r="37" spans="2:156" s="116" customFormat="1" ht="12.75" hidden="1" customHeight="1" outlineLevel="1">
      <c r="B37" s="116" t="s">
        <v>147</v>
      </c>
      <c r="D37" s="298"/>
      <c r="E37" s="298"/>
      <c r="F37" s="298"/>
      <c r="G37" s="298"/>
      <c r="I37" s="298"/>
      <c r="J37" s="298"/>
      <c r="K37" s="298"/>
      <c r="L37" s="298"/>
      <c r="N37" s="298"/>
      <c r="O37" s="298"/>
      <c r="P37" s="298"/>
      <c r="Q37" s="298"/>
      <c r="S37" s="298"/>
      <c r="T37" s="298"/>
      <c r="U37" s="298"/>
      <c r="V37" s="298"/>
      <c r="X37" s="298">
        <v>6.1289999999999996</v>
      </c>
      <c r="Y37" s="298">
        <v>9.0459999999999994</v>
      </c>
      <c r="Z37" s="298">
        <v>6.165</v>
      </c>
      <c r="AA37" s="298">
        <v>10.778</v>
      </c>
      <c r="AB37" s="116">
        <f>X37+Y37+Z37+AA37</f>
        <v>32.118000000000002</v>
      </c>
      <c r="AC37" s="298">
        <v>17.108000000000001</v>
      </c>
      <c r="AD37" s="298">
        <v>13.547000000000001</v>
      </c>
      <c r="AE37" s="298">
        <v>14.284000000000001</v>
      </c>
      <c r="AF37" s="298">
        <v>8.3219999999999992</v>
      </c>
      <c r="AG37" s="116">
        <f>AC37+AD37+AE37+AF37</f>
        <v>53.260999999999996</v>
      </c>
      <c r="AH37" s="298">
        <v>10.135</v>
      </c>
      <c r="AI37" s="298">
        <f>10.466</f>
        <v>10.465999999999999</v>
      </c>
      <c r="AJ37" s="298">
        <v>11.513</v>
      </c>
      <c r="AK37" s="298">
        <f>40.565-32.114</f>
        <v>8.4510000000000005</v>
      </c>
      <c r="AL37" s="116">
        <f>AH37+AI37+AJ37+AK37</f>
        <v>40.564999999999998</v>
      </c>
      <c r="AM37" s="298">
        <v>10.757</v>
      </c>
      <c r="AN37" s="298">
        <v>14.32</v>
      </c>
      <c r="AO37" s="298">
        <v>12.388999999999999</v>
      </c>
      <c r="AP37" s="298">
        <f>46.486-37.466</f>
        <v>9.019999999999996</v>
      </c>
      <c r="AQ37" s="116">
        <f>AM37+AN37+AO37+AP37</f>
        <v>46.48599999999999</v>
      </c>
      <c r="AR37" s="298">
        <v>12.428000000000001</v>
      </c>
      <c r="AS37" s="298">
        <f>13.652</f>
        <v>13.651999999999999</v>
      </c>
      <c r="AT37" s="298">
        <f>13.99</f>
        <v>13.99</v>
      </c>
      <c r="AU37" s="298">
        <f>52.331-40.07</f>
        <v>12.261000000000003</v>
      </c>
      <c r="AV37" s="116">
        <f>AR37+AS37+AT37+AU37</f>
        <v>52.331000000000003</v>
      </c>
      <c r="AW37" s="298">
        <v>12.856</v>
      </c>
      <c r="AX37" s="298">
        <v>12.21</v>
      </c>
      <c r="AY37" s="298">
        <f>AY35-35.221</f>
        <v>11.298999999999999</v>
      </c>
      <c r="AZ37" s="298">
        <f>AZ35-35.303</f>
        <v>10.96</v>
      </c>
      <c r="BA37" s="116">
        <f>AW37+AX37+AY37+AZ37</f>
        <v>47.325000000000003</v>
      </c>
      <c r="BB37" s="298">
        <f>BB35-229.604</f>
        <v>13.063999999999993</v>
      </c>
      <c r="BC37" s="298">
        <f>BC35-35.236</f>
        <v>13.167000000000002</v>
      </c>
      <c r="BD37" s="298">
        <f>BD35-39.442</f>
        <v>15.021999999999998</v>
      </c>
      <c r="BE37" s="298">
        <f>BE35-42.423</f>
        <v>14.703999999999994</v>
      </c>
      <c r="BF37" s="116">
        <f>SUM(BB37:BE37)</f>
        <v>55.956999999999987</v>
      </c>
      <c r="BG37" s="298">
        <f>BG35-45.38</f>
        <v>16.387</v>
      </c>
      <c r="BH37" s="298">
        <f>BH35-40.379</f>
        <v>15.574000000000005</v>
      </c>
      <c r="BI37" s="298">
        <f>BI35-46.576</f>
        <v>15.996999999999993</v>
      </c>
      <c r="BJ37" s="298">
        <f>BJ35*BJ26</f>
        <v>17.82329492333746</v>
      </c>
      <c r="BK37" s="116">
        <f>+BK35*BK26</f>
        <v>66.90990702856466</v>
      </c>
      <c r="BL37" s="298">
        <f>BL35-63.136</f>
        <v>19.088999999999992</v>
      </c>
      <c r="BM37" s="298">
        <f>BM35-72.199</f>
        <v>10.934000000000012</v>
      </c>
      <c r="BN37" s="298">
        <f>BN35*BN26</f>
        <v>17.582471999999999</v>
      </c>
      <c r="BO37" s="298">
        <f>BO35*BO26</f>
        <v>16.34</v>
      </c>
      <c r="BP37" s="116">
        <f>SUM(BL37:BO37)</f>
        <v>63.945472000000009</v>
      </c>
      <c r="BQ37" s="298">
        <f>BQ35*BQ26</f>
        <v>15.535488531695865</v>
      </c>
      <c r="BR37" s="298">
        <f>BR35*BR26</f>
        <v>16.923913043478262</v>
      </c>
      <c r="BS37" s="298">
        <f>BS35*BS26</f>
        <v>17.100203804347824</v>
      </c>
      <c r="BT37" s="298">
        <f>BT35*BT26</f>
        <v>17.100203804347824</v>
      </c>
      <c r="BU37" s="116">
        <f>SUM(BQ37:BT37)</f>
        <v>66.659809183869783</v>
      </c>
      <c r="BV37" s="298">
        <f>BV35*BV26</f>
        <v>16.411037107516652</v>
      </c>
      <c r="BW37" s="298">
        <f>BW35*BW26</f>
        <v>17.360594795539033</v>
      </c>
      <c r="BX37" s="298">
        <f>BX35*BX26</f>
        <v>18.05</v>
      </c>
      <c r="BY37" s="298">
        <f>BY35*BY26</f>
        <v>19.38</v>
      </c>
      <c r="BZ37" s="116">
        <f>SUM(BV37:BY37)</f>
        <v>71.201631903055684</v>
      </c>
      <c r="CA37" s="711">
        <f>CA35*CA26</f>
        <v>22.045454545454547</v>
      </c>
      <c r="CB37" s="711">
        <f>CB35*CB26</f>
        <v>25.163498098859318</v>
      </c>
      <c r="CC37" s="711">
        <f>CC35*CC26</f>
        <v>29.058750311177494</v>
      </c>
      <c r="CD37" s="711">
        <f>CD35*CD26</f>
        <v>76.691803278688525</v>
      </c>
      <c r="CE37" s="116">
        <f>SUM(CA37:CD37)</f>
        <v>152.95950623417988</v>
      </c>
      <c r="CF37" s="711">
        <f>CF35*CF26</f>
        <v>39.264500000000005</v>
      </c>
      <c r="CG37" s="711">
        <f>CG35*CG26</f>
        <v>39.264500000000005</v>
      </c>
      <c r="CH37" s="711">
        <f>CH35*CH26</f>
        <v>39.264500000000005</v>
      </c>
      <c r="CI37" s="711">
        <f>CI35*CI26</f>
        <v>39.264499999999998</v>
      </c>
      <c r="CJ37" s="116">
        <f>SUM(CF37:CI37)</f>
        <v>157.05800000000002</v>
      </c>
      <c r="CK37" s="298"/>
      <c r="CL37" s="298"/>
      <c r="CM37" s="298"/>
      <c r="CN37" s="298"/>
      <c r="CO37" s="116">
        <f>SUM(CK37:CN37)</f>
        <v>0</v>
      </c>
      <c r="CP37" s="298"/>
      <c r="CQ37" s="298"/>
      <c r="CR37" s="298"/>
      <c r="CS37" s="298"/>
      <c r="CT37" s="116">
        <f>SUM(CP37:CS37)</f>
        <v>0</v>
      </c>
      <c r="CU37" s="298"/>
      <c r="CV37" s="298"/>
      <c r="CW37" s="298"/>
      <c r="CX37" s="298"/>
      <c r="CY37" s="116">
        <f>SUM(CU37:CX37)</f>
        <v>0</v>
      </c>
      <c r="CZ37" s="298"/>
      <c r="DA37" s="298"/>
      <c r="DB37" s="298"/>
      <c r="DC37" s="298"/>
      <c r="DD37" s="116">
        <f>SUM(CZ37:DC37)</f>
        <v>0</v>
      </c>
      <c r="DE37" s="298"/>
      <c r="DF37" s="298"/>
      <c r="DG37" s="298"/>
      <c r="DH37" s="298"/>
      <c r="DI37" s="116">
        <f>SUM(DE37:DH37)</f>
        <v>0</v>
      </c>
      <c r="DJ37" s="298"/>
      <c r="DK37" s="298"/>
      <c r="DL37" s="298"/>
      <c r="DM37" s="298"/>
      <c r="DN37" s="116">
        <f>SUM(DJ37:DM37)</f>
        <v>0</v>
      </c>
      <c r="DO37" s="298"/>
      <c r="DP37" s="298"/>
      <c r="DQ37" s="298"/>
      <c r="DR37" s="298"/>
      <c r="DS37" s="116">
        <f>SUM(DO37:DR37)</f>
        <v>0</v>
      </c>
      <c r="DT37" s="298"/>
      <c r="DU37" s="298"/>
      <c r="DV37" s="298"/>
      <c r="DW37" s="298"/>
      <c r="DX37" s="116">
        <f>SUM(DT37:DW37)</f>
        <v>0</v>
      </c>
      <c r="DY37" s="298"/>
      <c r="DZ37" s="298"/>
      <c r="EA37" s="298"/>
      <c r="EB37" s="298"/>
      <c r="EC37" s="116">
        <f>SUM(DY37:EB37)</f>
        <v>0</v>
      </c>
      <c r="ED37" s="298"/>
      <c r="EE37" s="298"/>
      <c r="EF37" s="298"/>
      <c r="EG37" s="298"/>
      <c r="EH37" s="116">
        <f>SUM(ED37:EG37)</f>
        <v>0</v>
      </c>
      <c r="EI37" s="298"/>
      <c r="EJ37" s="298"/>
      <c r="EK37" s="298"/>
      <c r="EL37" s="298"/>
      <c r="EM37" s="116">
        <f>SUM(EI37:EL37)</f>
        <v>0</v>
      </c>
      <c r="EN37" s="298"/>
      <c r="EO37" s="298"/>
      <c r="EP37" s="298"/>
      <c r="EQ37" s="298"/>
      <c r="ER37" s="116">
        <f>SUM(EN37:EQ37)</f>
        <v>0</v>
      </c>
      <c r="EU37"/>
      <c r="EV37"/>
      <c r="EW37"/>
      <c r="EX37"/>
      <c r="EY37"/>
      <c r="EZ37"/>
    </row>
    <row r="38" spans="2:156" s="235" customFormat="1" ht="12.75" hidden="1" customHeight="1" outlineLevel="1">
      <c r="B38" s="116" t="s">
        <v>160</v>
      </c>
      <c r="C38" s="116">
        <f t="shared" ref="C38:AH38" si="39">+C30-C35+C37</f>
        <v>-115.21300000000002</v>
      </c>
      <c r="D38" s="298">
        <f t="shared" si="39"/>
        <v>-3.8500000000000054</v>
      </c>
      <c r="E38" s="298">
        <f t="shared" si="39"/>
        <v>19.710999999999995</v>
      </c>
      <c r="F38" s="298">
        <f t="shared" si="39"/>
        <v>36.804999999999986</v>
      </c>
      <c r="G38" s="298">
        <f t="shared" si="39"/>
        <v>35.479000000000049</v>
      </c>
      <c r="H38" s="116">
        <f t="shared" si="39"/>
        <v>88.145000000000039</v>
      </c>
      <c r="I38" s="298">
        <f t="shared" si="39"/>
        <v>50.545000000000002</v>
      </c>
      <c r="J38" s="298">
        <f t="shared" si="39"/>
        <v>100.37200000000001</v>
      </c>
      <c r="K38" s="298">
        <f t="shared" si="39"/>
        <v>60.509000000000022</v>
      </c>
      <c r="L38" s="298">
        <f t="shared" si="39"/>
        <v>91.376999999999981</v>
      </c>
      <c r="M38" s="116">
        <f t="shared" si="39"/>
        <v>302.80300000000011</v>
      </c>
      <c r="N38" s="298">
        <f t="shared" si="39"/>
        <v>101.87699999999995</v>
      </c>
      <c r="O38" s="298">
        <f t="shared" si="39"/>
        <v>111.45899999999997</v>
      </c>
      <c r="P38" s="298">
        <f t="shared" si="39"/>
        <v>113.24000000000002</v>
      </c>
      <c r="Q38" s="298">
        <f t="shared" si="39"/>
        <v>114.78000000000002</v>
      </c>
      <c r="R38" s="116">
        <f t="shared" si="39"/>
        <v>441.35600000000011</v>
      </c>
      <c r="S38" s="298">
        <f t="shared" si="39"/>
        <v>157.11299999999994</v>
      </c>
      <c r="T38" s="298">
        <f t="shared" si="39"/>
        <v>195.96699999999993</v>
      </c>
      <c r="U38" s="298">
        <f t="shared" si="39"/>
        <v>179.23200000000008</v>
      </c>
      <c r="V38" s="298">
        <f t="shared" si="39"/>
        <v>256.52100000000002</v>
      </c>
      <c r="W38" s="116">
        <f t="shared" si="39"/>
        <v>788.83299999999986</v>
      </c>
      <c r="X38" s="298">
        <f t="shared" si="39"/>
        <v>262.70400000000012</v>
      </c>
      <c r="Y38" s="298">
        <f t="shared" si="39"/>
        <v>265.14999999999992</v>
      </c>
      <c r="Z38" s="298">
        <f t="shared" si="39"/>
        <v>303.40399999999988</v>
      </c>
      <c r="AA38" s="298">
        <f t="shared" si="39"/>
        <v>372.67199999999985</v>
      </c>
      <c r="AB38" s="116">
        <f t="shared" si="39"/>
        <v>1203.9300000000003</v>
      </c>
      <c r="AC38" s="298">
        <f t="shared" si="39"/>
        <v>407.03400000000011</v>
      </c>
      <c r="AD38" s="298">
        <f t="shared" si="39"/>
        <v>407.93000000000012</v>
      </c>
      <c r="AE38" s="298">
        <f t="shared" si="39"/>
        <v>398.31900000000007</v>
      </c>
      <c r="AF38" s="298">
        <f t="shared" si="39"/>
        <v>401.3660000000001</v>
      </c>
      <c r="AG38" s="116">
        <f t="shared" si="39"/>
        <v>1614.6489999999997</v>
      </c>
      <c r="AH38" s="298">
        <f t="shared" si="39"/>
        <v>488.30000000000018</v>
      </c>
      <c r="AI38" s="298">
        <f t="shared" ref="AI38:BM38" si="40">+AI30-AI35+AI37</f>
        <v>442.55199999999996</v>
      </c>
      <c r="AJ38" s="298">
        <f t="shared" si="40"/>
        <v>495.85300000000007</v>
      </c>
      <c r="AK38" s="298">
        <f t="shared" si="40"/>
        <v>559.96299999999985</v>
      </c>
      <c r="AL38" s="116">
        <f t="shared" si="40"/>
        <v>1986.6679999999992</v>
      </c>
      <c r="AM38" s="298">
        <f t="shared" si="40"/>
        <v>589.11199999999997</v>
      </c>
      <c r="AN38" s="298">
        <f t="shared" si="40"/>
        <v>608.92299999999989</v>
      </c>
      <c r="AO38" s="298">
        <f t="shared" si="40"/>
        <v>694.06500000000051</v>
      </c>
      <c r="AP38" s="298">
        <f t="shared" si="40"/>
        <v>831.61099999999999</v>
      </c>
      <c r="AQ38" s="116">
        <f t="shared" si="40"/>
        <v>2723.7109999999998</v>
      </c>
      <c r="AR38" s="298">
        <f t="shared" si="40"/>
        <v>880.35400000000004</v>
      </c>
      <c r="AS38" s="298">
        <f t="shared" si="40"/>
        <v>726.27600000000029</v>
      </c>
      <c r="AT38" s="298">
        <f t="shared" si="40"/>
        <v>721.8539999999997</v>
      </c>
      <c r="AU38" s="298">
        <f t="shared" si="40"/>
        <v>738.19099999999992</v>
      </c>
      <c r="AV38" s="116">
        <f t="shared" si="40"/>
        <v>3066.6750000000002</v>
      </c>
      <c r="AW38" s="298">
        <f t="shared" si="40"/>
        <v>666.18500000000029</v>
      </c>
      <c r="AX38" s="298">
        <f t="shared" si="40"/>
        <v>759.77300000000002</v>
      </c>
      <c r="AY38" s="298">
        <f t="shared" si="40"/>
        <v>759.95199999999977</v>
      </c>
      <c r="AZ38" s="298">
        <f t="shared" si="40"/>
        <v>707.80099999999982</v>
      </c>
      <c r="BA38" s="116">
        <f t="shared" si="40"/>
        <v>2893.7109999999993</v>
      </c>
      <c r="BB38" s="298">
        <f t="shared" si="40"/>
        <v>474.78499999999985</v>
      </c>
      <c r="BC38" s="298">
        <f t="shared" si="40"/>
        <v>732.0409999999996</v>
      </c>
      <c r="BD38" s="298">
        <f t="shared" si="40"/>
        <v>767.00899999999945</v>
      </c>
      <c r="BE38" s="298">
        <f t="shared" si="40"/>
        <v>821.03600000000017</v>
      </c>
      <c r="BF38" s="116">
        <f t="shared" si="40"/>
        <v>2737.3350000000023</v>
      </c>
      <c r="BG38" s="298">
        <f t="shared" si="40"/>
        <v>756.5630000000001</v>
      </c>
      <c r="BH38" s="298">
        <f t="shared" si="40"/>
        <v>799.34600000000034</v>
      </c>
      <c r="BI38" s="298">
        <f t="shared" si="40"/>
        <v>832.50600000000009</v>
      </c>
      <c r="BJ38" s="298">
        <f t="shared" si="40"/>
        <v>875.71229492333759</v>
      </c>
      <c r="BK38" s="116">
        <f t="shared" si="40"/>
        <v>3265.2559070285652</v>
      </c>
      <c r="BL38" s="298">
        <f t="shared" si="40"/>
        <v>2424.6730000000016</v>
      </c>
      <c r="BM38" s="298">
        <f t="shared" si="40"/>
        <v>3857.3320000000022</v>
      </c>
      <c r="BN38" s="298">
        <f>+BN30-BN35+BN37</f>
        <v>2931.9374720000005</v>
      </c>
      <c r="BO38" s="298">
        <f>+BO30-BO35+BO37</f>
        <v>3804.2121077385036</v>
      </c>
      <c r="BP38" s="116">
        <f>+BP30-BP35+BP37</f>
        <v>13018.554579738504</v>
      </c>
      <c r="BQ38" s="298">
        <f t="shared" ref="BQ38:BV38" si="41">+BQ30-BQ35+BQ37</f>
        <v>4526.5354885316956</v>
      </c>
      <c r="BR38" s="298">
        <f t="shared" si="41"/>
        <v>4765.923913043478</v>
      </c>
      <c r="BS38" s="298">
        <f t="shared" si="41"/>
        <v>4756.100203804348</v>
      </c>
      <c r="BT38" s="298">
        <f t="shared" si="41"/>
        <v>4809.100203804348</v>
      </c>
      <c r="BU38" s="116">
        <f t="shared" si="41"/>
        <v>18857.659809183871</v>
      </c>
      <c r="BV38" s="298">
        <f t="shared" si="41"/>
        <v>4204.4110371075167</v>
      </c>
      <c r="BW38" s="298">
        <f>+BW30-BW35+BW37</f>
        <v>4099.3605947955393</v>
      </c>
      <c r="BX38" s="298">
        <f>+BX30-BX35+BX37</f>
        <v>3600.05</v>
      </c>
      <c r="BY38" s="298">
        <f>+BY30-BY35+BY37</f>
        <v>3502.38</v>
      </c>
      <c r="BZ38" s="116">
        <f>+BZ30-BZ35+BZ37</f>
        <v>15406.201631903055</v>
      </c>
      <c r="CA38" s="711">
        <f t="shared" ref="CA38" si="42">+CA30-CA35+CA37</f>
        <v>2882.0454545454545</v>
      </c>
      <c r="CB38" s="711">
        <f>+CB30-CB35+CB37</f>
        <v>3295.1634980988592</v>
      </c>
      <c r="CC38" s="711">
        <f>+CC30-CC35+CC37</f>
        <v>2906.0587503111774</v>
      </c>
      <c r="CD38" s="711">
        <f>+CD30-CD35+CD37</f>
        <v>2074.6918032786884</v>
      </c>
      <c r="CE38" s="116">
        <f>+CE30-CE35+CE37</f>
        <v>11157.95950623418</v>
      </c>
      <c r="CF38" s="711">
        <f t="shared" ref="CF38" si="43">+CF30-CF35+CF37</f>
        <v>1804.986399329681</v>
      </c>
      <c r="CG38" s="711">
        <f>+CG30-CG35+CG37</f>
        <v>1972.8746090655347</v>
      </c>
      <c r="CH38" s="711">
        <f>+CH30-CH35+CH37</f>
        <v>2044.0982782775802</v>
      </c>
      <c r="CI38" s="711">
        <f>+CI30-CI35+CI37</f>
        <v>1806.9871220928519</v>
      </c>
      <c r="CJ38" s="116">
        <f>+CJ30-CJ35+CJ37</f>
        <v>7628.9464087656479</v>
      </c>
      <c r="CK38" s="298"/>
      <c r="CL38" s="298"/>
      <c r="CM38" s="298"/>
      <c r="CN38" s="298"/>
      <c r="CO38" s="116">
        <f>+CO30-CO35+CO37</f>
        <v>7560.1187914066531</v>
      </c>
      <c r="CP38" s="298"/>
      <c r="CQ38" s="298"/>
      <c r="CR38" s="298"/>
      <c r="CS38" s="298"/>
      <c r="CT38" s="116">
        <f>+CT30-CT35+CT37</f>
        <v>8436.9316372378798</v>
      </c>
      <c r="CU38" s="298"/>
      <c r="CV38" s="298"/>
      <c r="CW38" s="298"/>
      <c r="CX38" s="298"/>
      <c r="CY38" s="116">
        <f>+CY30-CY35+CY37</f>
        <v>7405.4092785834673</v>
      </c>
      <c r="CZ38" s="298"/>
      <c r="DA38" s="298"/>
      <c r="DB38" s="298"/>
      <c r="DC38" s="298"/>
      <c r="DD38" s="116">
        <f>+DD30-DD35+DD37</f>
        <v>7993.8263287557656</v>
      </c>
      <c r="DE38" s="298"/>
      <c r="DF38" s="298"/>
      <c r="DG38" s="298"/>
      <c r="DH38" s="298"/>
      <c r="DI38" s="116">
        <f>+DI30-DI35+DI37</f>
        <v>8534.4654793306363</v>
      </c>
      <c r="DJ38" s="298"/>
      <c r="DK38" s="298"/>
      <c r="DL38" s="298"/>
      <c r="DM38" s="298"/>
      <c r="DN38" s="116">
        <f>+DN30-DN35+DN37</f>
        <v>9150.4295821581145</v>
      </c>
      <c r="DO38" s="298"/>
      <c r="DP38" s="298"/>
      <c r="DQ38" s="298"/>
      <c r="DR38" s="298"/>
      <c r="DS38" s="116">
        <f>+DS30-DS35+DS37</f>
        <v>5548.3505454377319</v>
      </c>
      <c r="DT38" s="298"/>
      <c r="DU38" s="298"/>
      <c r="DV38" s="298"/>
      <c r="DW38" s="298"/>
      <c r="DX38" s="116">
        <f>+DX30-DX35+DX37</f>
        <v>4384.9076549805586</v>
      </c>
      <c r="DY38" s="298"/>
      <c r="DZ38" s="298"/>
      <c r="EA38" s="298"/>
      <c r="EB38" s="298"/>
      <c r="EC38" s="116">
        <f>+EC30-EC35+EC37</f>
        <v>4106.8334771323225</v>
      </c>
      <c r="ED38" s="298"/>
      <c r="EE38" s="298"/>
      <c r="EF38" s="298"/>
      <c r="EG38" s="298"/>
      <c r="EH38" s="116">
        <f>+EH30-EH35+EH37</f>
        <v>4568.8011493604699</v>
      </c>
      <c r="EI38" s="298"/>
      <c r="EJ38" s="298"/>
      <c r="EK38" s="298"/>
      <c r="EL38" s="298"/>
      <c r="EM38" s="116">
        <f>+EM30-EM35+EM37</f>
        <v>6407.0662351851242</v>
      </c>
      <c r="EN38" s="298"/>
      <c r="EO38" s="298"/>
      <c r="EP38" s="298"/>
      <c r="EQ38" s="298"/>
      <c r="ER38" s="116">
        <f>+ER30-ER35+ER37</f>
        <v>6422.513273049979</v>
      </c>
      <c r="EU38"/>
      <c r="EV38"/>
      <c r="EW38"/>
      <c r="EX38"/>
      <c r="EY38"/>
      <c r="EZ38"/>
    </row>
    <row r="39" spans="2:156" s="281" customFormat="1" ht="12.75" customHeight="1" collapsed="1">
      <c r="B39" s="281" t="s">
        <v>148</v>
      </c>
      <c r="C39" s="281">
        <f t="shared" ref="C39:M39" si="44">C38/C88</f>
        <v>-7.1182057225893519E-2</v>
      </c>
      <c r="D39" s="586">
        <f t="shared" si="44"/>
        <v>-2.48323013415893E-3</v>
      </c>
      <c r="E39" s="586">
        <f t="shared" si="44"/>
        <v>1.1938246481091161E-2</v>
      </c>
      <c r="F39" s="586">
        <f t="shared" si="44"/>
        <v>2.2315798409002708E-2</v>
      </c>
      <c r="G39" s="586">
        <f t="shared" si="44"/>
        <v>2.1384021563030427E-2</v>
      </c>
      <c r="H39" s="281">
        <f t="shared" si="44"/>
        <v>5.3362481051158261E-2</v>
      </c>
      <c r="I39" s="586">
        <f t="shared" si="44"/>
        <v>3.0331998713387966E-2</v>
      </c>
      <c r="J39" s="586">
        <f t="shared" si="44"/>
        <v>5.4469479899279333E-2</v>
      </c>
      <c r="K39" s="586">
        <f t="shared" si="44"/>
        <v>3.3879012246141177E-2</v>
      </c>
      <c r="L39" s="586">
        <f t="shared" si="44"/>
        <v>4.9667675489518233E-2</v>
      </c>
      <c r="M39" s="281">
        <f t="shared" si="44"/>
        <v>0.16590127109357886</v>
      </c>
      <c r="N39" s="586">
        <f>(N38+N111)/N88</f>
        <v>5.6026581118240125E-2</v>
      </c>
      <c r="O39" s="586">
        <f>(O38+O111)/O88</f>
        <v>6.1021713108171574E-2</v>
      </c>
      <c r="P39" s="586">
        <f>(P38+P111)/P88</f>
        <v>6.1520084902701347E-2</v>
      </c>
      <c r="Q39" s="586">
        <f>(Q38+Q111)/Q88</f>
        <v>6.4144220019537734E-2</v>
      </c>
      <c r="R39" s="281">
        <f>(R38+R111)/R88</f>
        <v>0.2407564561053242</v>
      </c>
      <c r="S39" s="586">
        <f t="shared" ref="S39:AX39" si="45">S38/S88</f>
        <v>8.3996266191065774E-2</v>
      </c>
      <c r="T39" s="586">
        <f t="shared" si="45"/>
        <v>0.10366540060728527</v>
      </c>
      <c r="U39" s="586">
        <f t="shared" si="45"/>
        <v>9.4141375941508357E-2</v>
      </c>
      <c r="V39" s="586">
        <f t="shared" si="45"/>
        <v>0.13383471591798404</v>
      </c>
      <c r="W39" s="281">
        <f t="shared" si="45"/>
        <v>0.41580203000733729</v>
      </c>
      <c r="X39" s="586">
        <f t="shared" si="45"/>
        <v>0.13603514593392124</v>
      </c>
      <c r="Y39" s="586">
        <f t="shared" si="45"/>
        <v>0.1390416899582691</v>
      </c>
      <c r="Z39" s="586">
        <f t="shared" si="45"/>
        <v>0.15907579961537086</v>
      </c>
      <c r="AA39" s="586">
        <f t="shared" si="45"/>
        <v>0.19424750670040056</v>
      </c>
      <c r="AB39" s="281">
        <f t="shared" si="45"/>
        <v>0.62835332629091334</v>
      </c>
      <c r="AC39" s="586">
        <f t="shared" si="45"/>
        <v>0.2109778082325269</v>
      </c>
      <c r="AD39" s="586">
        <f t="shared" si="45"/>
        <v>0.21011571739531307</v>
      </c>
      <c r="AE39" s="586">
        <f t="shared" si="45"/>
        <v>0.207280112986471</v>
      </c>
      <c r="AF39" s="586">
        <f t="shared" si="45"/>
        <v>0.20657003955734482</v>
      </c>
      <c r="AG39" s="281">
        <f t="shared" si="45"/>
        <v>0.83532544421554922</v>
      </c>
      <c r="AH39" s="586">
        <f t="shared" si="45"/>
        <v>0.25204531963764948</v>
      </c>
      <c r="AI39" s="586">
        <f t="shared" si="45"/>
        <v>0.22857532440969933</v>
      </c>
      <c r="AJ39" s="586">
        <f t="shared" si="45"/>
        <v>0.25758356545237504</v>
      </c>
      <c r="AK39" s="586">
        <f t="shared" si="45"/>
        <v>0.29674145752077319</v>
      </c>
      <c r="AL39" s="281">
        <f t="shared" si="45"/>
        <v>1.0341724352974611</v>
      </c>
      <c r="AM39" s="586">
        <f t="shared" si="45"/>
        <v>0.31226849348760383</v>
      </c>
      <c r="AN39" s="586">
        <f t="shared" si="45"/>
        <v>0.32579940631734838</v>
      </c>
      <c r="AO39" s="586">
        <f t="shared" si="45"/>
        <v>0.37223065413142725</v>
      </c>
      <c r="AP39" s="586">
        <f t="shared" si="45"/>
        <v>0.44888132006930687</v>
      </c>
      <c r="AQ39" s="281">
        <f t="shared" si="45"/>
        <v>1.4578755578678502</v>
      </c>
      <c r="AR39" s="586">
        <f t="shared" si="45"/>
        <v>0.47449995418604779</v>
      </c>
      <c r="AS39" s="586">
        <f t="shared" si="45"/>
        <v>0.40474677830311723</v>
      </c>
      <c r="AT39" s="586">
        <f t="shared" si="45"/>
        <v>0.42712243497195318</v>
      </c>
      <c r="AU39" s="586">
        <f t="shared" si="45"/>
        <v>0.44908083918670477</v>
      </c>
      <c r="AV39" s="281">
        <f t="shared" si="45"/>
        <v>1.7591105425885243</v>
      </c>
      <c r="AW39" s="586">
        <f t="shared" si="45"/>
        <v>0.41131315700760795</v>
      </c>
      <c r="AX39" s="586">
        <f t="shared" si="45"/>
        <v>0.47557743587175605</v>
      </c>
      <c r="AY39" s="586">
        <f t="shared" ref="AY39:CD39" si="46">AY38/AY88</f>
        <v>0.48763885751832597</v>
      </c>
      <c r="AZ39" s="586">
        <f t="shared" si="46"/>
        <v>0.46310356153484777</v>
      </c>
      <c r="BA39" s="281">
        <f t="shared" si="46"/>
        <v>1.8360958951480726</v>
      </c>
      <c r="BB39" s="586">
        <f t="shared" si="46"/>
        <v>0.30617463081189128</v>
      </c>
      <c r="BC39" s="586">
        <f t="shared" si="46"/>
        <v>0.46989985017966862</v>
      </c>
      <c r="BD39" s="586">
        <f t="shared" si="46"/>
        <v>0.48483869662728124</v>
      </c>
      <c r="BE39" s="586">
        <f t="shared" si="46"/>
        <v>0.50217067672024152</v>
      </c>
      <c r="BF39" s="281">
        <f t="shared" si="46"/>
        <v>1.7324609009846048</v>
      </c>
      <c r="BG39" s="586">
        <f t="shared" si="46"/>
        <v>0.45484457815100188</v>
      </c>
      <c r="BH39" s="586">
        <f t="shared" si="46"/>
        <v>0.47205035701441367</v>
      </c>
      <c r="BI39" s="586">
        <f t="shared" si="46"/>
        <v>0.49238596393690648</v>
      </c>
      <c r="BJ39" s="586">
        <f t="shared" si="46"/>
        <v>0.51719059946689283</v>
      </c>
      <c r="BK39" s="281">
        <f t="shared" si="46"/>
        <v>1.937647018662894</v>
      </c>
      <c r="BL39" s="586">
        <f t="shared" si="46"/>
        <v>1.4441517367894421</v>
      </c>
      <c r="BM39" s="586">
        <f t="shared" si="46"/>
        <v>2.3188746280321033</v>
      </c>
      <c r="BN39" s="586">
        <f t="shared" si="46"/>
        <v>1.7922364139836546</v>
      </c>
      <c r="BO39" s="586">
        <f t="shared" si="46"/>
        <v>2.3835915462020698</v>
      </c>
      <c r="BP39" s="281">
        <f t="shared" si="46"/>
        <v>7.9092069135713876</v>
      </c>
      <c r="BQ39" s="586">
        <f t="shared" si="46"/>
        <v>2.886821102379908</v>
      </c>
      <c r="BR39" s="586">
        <f t="shared" si="46"/>
        <v>3.0947557876905702</v>
      </c>
      <c r="BS39" s="586">
        <f t="shared" si="46"/>
        <v>3.1665114539309909</v>
      </c>
      <c r="BT39" s="586">
        <f t="shared" si="46"/>
        <v>3.2670517688888232</v>
      </c>
      <c r="BU39" s="281">
        <f t="shared" si="46"/>
        <v>12.398198428128778</v>
      </c>
      <c r="BV39" s="586">
        <f t="shared" si="46"/>
        <v>2.9797385096438815</v>
      </c>
      <c r="BW39" s="586">
        <f t="shared" si="46"/>
        <v>3.0275927583423483</v>
      </c>
      <c r="BX39" s="586">
        <f t="shared" si="46"/>
        <v>2.6906203288490285</v>
      </c>
      <c r="BY39" s="586">
        <f t="shared" si="46"/>
        <v>2.6413122171945704</v>
      </c>
      <c r="BZ39" s="281">
        <f t="shared" si="46"/>
        <v>11.344772924818155</v>
      </c>
      <c r="CA39" s="586">
        <f t="shared" si="46"/>
        <v>2.1833677685950414</v>
      </c>
      <c r="CB39" s="586">
        <f t="shared" si="46"/>
        <v>2.5020223979490197</v>
      </c>
      <c r="CC39" s="586">
        <f t="shared" si="46"/>
        <v>2.2032287720327348</v>
      </c>
      <c r="CD39" s="586">
        <f t="shared" si="46"/>
        <v>1.5717362146050671</v>
      </c>
      <c r="CE39" s="281">
        <f t="shared" ref="CE39:CI39" si="47">CE38/CE88</f>
        <v>8.459408268562683</v>
      </c>
      <c r="CF39" s="586">
        <f t="shared" si="47"/>
        <v>1.3686836447694029</v>
      </c>
      <c r="CG39" s="586">
        <f t="shared" si="47"/>
        <v>1.495989782311721</v>
      </c>
      <c r="CH39" s="586">
        <f t="shared" si="47"/>
        <v>1.5499972092968746</v>
      </c>
      <c r="CI39" s="586">
        <f t="shared" si="47"/>
        <v>1.3702007512277601</v>
      </c>
      <c r="CJ39" s="281">
        <f>CJ38/CJ88</f>
        <v>5.784871387605758</v>
      </c>
      <c r="CK39" s="586"/>
      <c r="CL39" s="586"/>
      <c r="CM39" s="586"/>
      <c r="CN39" s="586"/>
      <c r="CO39" s="281">
        <f>CO38/CO88</f>
        <v>5.8361265998586882</v>
      </c>
      <c r="CP39" s="586"/>
      <c r="CQ39" s="586"/>
      <c r="CR39" s="586"/>
      <c r="CS39" s="586"/>
      <c r="CT39" s="281">
        <f>CT38/CT88</f>
        <v>6.8209480533953037</v>
      </c>
      <c r="CU39" s="586"/>
      <c r="CV39" s="586"/>
      <c r="CW39" s="586"/>
      <c r="CX39" s="586"/>
      <c r="CY39" s="281">
        <f>CY38/CY88</f>
        <v>6.2933315470231497</v>
      </c>
      <c r="CZ39" s="586"/>
      <c r="DA39" s="586"/>
      <c r="DB39" s="586"/>
      <c r="DC39" s="586"/>
      <c r="DD39" s="281">
        <f>DD38/DD88</f>
        <v>7.0813477661007633</v>
      </c>
      <c r="DE39" s="586"/>
      <c r="DF39" s="586"/>
      <c r="DG39" s="586"/>
      <c r="DH39" s="586"/>
      <c r="DI39" s="281">
        <f>DI38/DI88</f>
        <v>7.8966442341421432</v>
      </c>
      <c r="DJ39" s="586"/>
      <c r="DK39" s="586"/>
      <c r="DL39" s="586"/>
      <c r="DM39" s="586"/>
      <c r="DN39" s="281">
        <f>DN38/DN88</f>
        <v>8.6927086585515294</v>
      </c>
      <c r="DO39" s="586"/>
      <c r="DP39" s="586"/>
      <c r="DQ39" s="586"/>
      <c r="DR39" s="586"/>
      <c r="DS39" s="281">
        <f>DS38/DS88</f>
        <v>5.3118178896917501</v>
      </c>
      <c r="DT39" s="586"/>
      <c r="DU39" s="586"/>
      <c r="DV39" s="586"/>
      <c r="DW39" s="586"/>
      <c r="DX39" s="281">
        <f>DX38/DX88</f>
        <v>4.2316116450988321</v>
      </c>
      <c r="DY39" s="586"/>
      <c r="DZ39" s="586"/>
      <c r="EA39" s="586"/>
      <c r="EB39" s="586"/>
      <c r="EC39" s="281">
        <f>EC38/EC88</f>
        <v>3.995898214135837</v>
      </c>
      <c r="ED39" s="586"/>
      <c r="EE39" s="586"/>
      <c r="EF39" s="586"/>
      <c r="EG39" s="586"/>
      <c r="EH39" s="281">
        <f>EH38/EH88</f>
        <v>4.4829451902352284</v>
      </c>
      <c r="EI39" s="586"/>
      <c r="EJ39" s="586"/>
      <c r="EK39" s="586"/>
      <c r="EL39" s="586"/>
      <c r="EM39" s="281">
        <f>EM38/EM88</f>
        <v>6.3410697861131897</v>
      </c>
      <c r="EN39" s="586"/>
      <c r="EO39" s="586"/>
      <c r="EP39" s="586"/>
      <c r="EQ39" s="586"/>
      <c r="ER39" s="281">
        <f>ER38/ER88</f>
        <v>6.4126214251137865</v>
      </c>
      <c r="EU39"/>
      <c r="EV39"/>
      <c r="EW39"/>
      <c r="EX39"/>
      <c r="EY39"/>
      <c r="EZ39"/>
    </row>
    <row r="40" spans="2:156" ht="12.75" hidden="1" customHeight="1" outlineLevel="1">
      <c r="C40" s="16"/>
      <c r="D40" s="308"/>
      <c r="E40" s="308"/>
      <c r="F40" s="308"/>
      <c r="G40" s="308"/>
      <c r="H40" s="16"/>
      <c r="I40" s="308"/>
      <c r="J40" s="308"/>
      <c r="K40" s="308"/>
      <c r="L40" s="308"/>
      <c r="M40" s="16"/>
      <c r="N40" s="308"/>
      <c r="O40" s="308"/>
      <c r="P40" s="308"/>
      <c r="Q40" s="308"/>
      <c r="R40" s="16"/>
      <c r="S40" s="308"/>
      <c r="T40" s="308"/>
      <c r="U40" s="308"/>
      <c r="V40" s="308"/>
      <c r="W40" s="16"/>
      <c r="X40" s="308"/>
      <c r="Y40" s="308"/>
      <c r="Z40" s="308"/>
      <c r="AA40" s="308"/>
      <c r="AB40" s="16"/>
      <c r="AC40" s="308"/>
      <c r="AD40" s="308"/>
      <c r="AE40" s="308"/>
      <c r="AF40" s="308"/>
      <c r="AG40" s="16"/>
      <c r="AH40" s="308"/>
      <c r="AI40" s="308"/>
      <c r="AJ40" s="308"/>
      <c r="AK40" s="308"/>
      <c r="AL40" s="16"/>
      <c r="AM40" s="308"/>
      <c r="AN40" s="308"/>
      <c r="AO40" s="308"/>
      <c r="AP40" s="308"/>
      <c r="AQ40" s="16"/>
      <c r="AR40" s="308"/>
      <c r="AS40" s="308"/>
      <c r="AT40" s="308"/>
      <c r="AU40" s="308"/>
      <c r="AV40" s="16"/>
      <c r="AW40" s="308"/>
      <c r="AX40" s="308"/>
      <c r="AY40" s="308"/>
      <c r="AZ40" s="308"/>
      <c r="BA40" s="16"/>
      <c r="BB40" s="308"/>
      <c r="BC40" s="308"/>
      <c r="BD40" s="308"/>
      <c r="BE40" s="308"/>
      <c r="BF40" s="16"/>
      <c r="BG40" s="308"/>
      <c r="BH40" s="308"/>
      <c r="BI40" s="308"/>
      <c r="BJ40" s="308"/>
      <c r="BK40" s="16"/>
      <c r="BL40" s="308"/>
      <c r="BM40" s="308"/>
      <c r="BN40" s="308"/>
      <c r="BO40" s="308"/>
      <c r="BP40" s="16"/>
      <c r="BQ40" s="308"/>
      <c r="BR40" s="308"/>
      <c r="BS40" s="308"/>
      <c r="BT40" s="308"/>
      <c r="BU40" s="16"/>
      <c r="BV40" s="308"/>
      <c r="BW40" s="308"/>
      <c r="BX40" s="308"/>
      <c r="BY40" s="308"/>
      <c r="BZ40" s="16"/>
      <c r="CA40" s="308"/>
      <c r="CB40" s="308"/>
      <c r="CC40" s="308"/>
      <c r="CD40" s="308"/>
      <c r="CE40" s="16"/>
      <c r="CF40" s="308"/>
      <c r="CG40" s="308"/>
      <c r="CH40" s="308"/>
      <c r="CI40" s="308"/>
      <c r="CJ40" s="16"/>
      <c r="CK40" s="308"/>
      <c r="CL40" s="308"/>
      <c r="CM40" s="308"/>
      <c r="CN40" s="308"/>
      <c r="CO40" s="16"/>
      <c r="CP40" s="308"/>
      <c r="CQ40" s="308"/>
      <c r="CR40" s="308"/>
      <c r="CS40" s="308"/>
      <c r="CT40" s="16"/>
      <c r="CU40" s="308"/>
      <c r="CV40" s="308"/>
      <c r="CW40" s="308"/>
      <c r="CX40" s="308"/>
      <c r="CY40" s="16"/>
      <c r="CZ40" s="308"/>
      <c r="DA40" s="308"/>
      <c r="DB40" s="308"/>
      <c r="DC40" s="308"/>
      <c r="DD40" s="16"/>
      <c r="DE40" s="308"/>
      <c r="DF40" s="308"/>
      <c r="DG40" s="308"/>
      <c r="DH40" s="308"/>
      <c r="DI40" s="16"/>
      <c r="DJ40" s="308"/>
      <c r="DK40" s="308"/>
      <c r="DL40" s="308"/>
      <c r="DM40" s="308"/>
      <c r="DN40" s="16"/>
      <c r="DO40" s="308"/>
      <c r="DP40" s="308"/>
      <c r="DQ40" s="308"/>
      <c r="DR40" s="308"/>
      <c r="DS40" s="16"/>
      <c r="DT40" s="308"/>
      <c r="DU40" s="308"/>
      <c r="DV40" s="308"/>
      <c r="DW40" s="308"/>
      <c r="DX40" s="16"/>
      <c r="DY40" s="308"/>
      <c r="DZ40" s="308"/>
      <c r="EA40" s="308"/>
      <c r="EB40" s="308"/>
      <c r="EC40" s="16"/>
      <c r="ED40" s="308"/>
      <c r="EE40" s="308"/>
      <c r="EF40" s="308"/>
      <c r="EG40" s="308"/>
      <c r="EH40" s="16"/>
      <c r="EI40" s="308"/>
      <c r="EJ40" s="308"/>
      <c r="EK40" s="308"/>
      <c r="EL40" s="308"/>
      <c r="EM40" s="16"/>
      <c r="EN40" s="308"/>
      <c r="EO40" s="308"/>
      <c r="EP40" s="308"/>
      <c r="EQ40" s="308"/>
      <c r="ER40" s="16"/>
    </row>
    <row r="41" spans="2:156" ht="12.75" hidden="1" customHeight="1" outlineLevel="1">
      <c r="B41" s="1" t="s">
        <v>152</v>
      </c>
      <c r="C41" s="16"/>
      <c r="D41" s="308"/>
      <c r="E41" s="308"/>
      <c r="F41" s="308"/>
      <c r="G41" s="308"/>
      <c r="H41" s="16"/>
      <c r="I41" s="308"/>
      <c r="J41" s="308"/>
      <c r="K41" s="308"/>
      <c r="L41" s="308"/>
      <c r="M41" s="16"/>
      <c r="N41" s="308"/>
      <c r="O41" s="308"/>
      <c r="P41" s="308"/>
      <c r="Q41" s="308"/>
      <c r="R41" s="16"/>
      <c r="S41" s="308"/>
      <c r="T41" s="308"/>
      <c r="U41" s="308"/>
      <c r="V41" s="308"/>
      <c r="W41" s="16"/>
      <c r="X41" s="308"/>
      <c r="Y41" s="308"/>
      <c r="Z41" s="308"/>
      <c r="AA41" s="308"/>
      <c r="AB41" s="16"/>
      <c r="AC41" s="308"/>
      <c r="AD41" s="308"/>
      <c r="AE41" s="308"/>
      <c r="AF41" s="308"/>
      <c r="AG41" s="16"/>
      <c r="AH41" s="308"/>
      <c r="AI41" s="308"/>
      <c r="AJ41" s="308"/>
      <c r="AK41" s="308"/>
      <c r="AL41" s="16"/>
      <c r="AM41" s="308"/>
      <c r="AN41" s="308"/>
      <c r="AO41" s="308"/>
      <c r="AP41" s="308"/>
      <c r="AQ41" s="16"/>
      <c r="AR41" s="308"/>
      <c r="AS41" s="308"/>
      <c r="AT41" s="308"/>
      <c r="AU41" s="308"/>
      <c r="AV41" s="16"/>
      <c r="AW41" s="308"/>
      <c r="AX41" s="308"/>
      <c r="AY41" s="308"/>
      <c r="AZ41" s="308"/>
      <c r="BA41" s="16"/>
      <c r="BB41" s="308"/>
      <c r="BC41" s="308"/>
      <c r="BD41" s="308"/>
      <c r="BE41" s="308"/>
      <c r="BF41" s="16"/>
      <c r="BG41" s="308"/>
      <c r="BH41" s="308"/>
      <c r="BI41" s="308"/>
      <c r="BJ41" s="308"/>
      <c r="BK41" s="16"/>
      <c r="BL41" s="308"/>
      <c r="BM41" s="308"/>
      <c r="BN41" s="308"/>
      <c r="BO41" s="308"/>
      <c r="BP41" s="16"/>
      <c r="BQ41" s="308"/>
      <c r="BR41" s="308"/>
      <c r="BS41" s="308"/>
      <c r="BT41" s="308"/>
      <c r="BU41" s="16"/>
      <c r="BV41" s="308"/>
      <c r="BW41" s="308"/>
      <c r="BX41" s="308"/>
      <c r="BY41" s="308"/>
      <c r="BZ41" s="16"/>
      <c r="CA41" s="308"/>
      <c r="CB41" s="308"/>
      <c r="CC41" s="308"/>
      <c r="CD41" s="308"/>
      <c r="CE41" s="16"/>
      <c r="CF41" s="308"/>
      <c r="CG41" s="308"/>
      <c r="CH41" s="308"/>
      <c r="CI41" s="308"/>
      <c r="CJ41" s="16"/>
      <c r="CK41" s="308"/>
      <c r="CL41" s="308"/>
      <c r="CM41" s="308"/>
      <c r="CN41" s="308"/>
      <c r="CO41" s="16"/>
      <c r="CP41" s="308"/>
      <c r="CQ41" s="308"/>
      <c r="CR41" s="308"/>
      <c r="CS41" s="308"/>
      <c r="CT41" s="16"/>
      <c r="CU41" s="308"/>
      <c r="CV41" s="308"/>
      <c r="CW41" s="308"/>
      <c r="CX41" s="308"/>
      <c r="CY41" s="16"/>
      <c r="CZ41" s="308"/>
      <c r="DA41" s="308"/>
      <c r="DB41" s="308"/>
      <c r="DC41" s="308"/>
      <c r="DD41" s="16"/>
      <c r="DE41" s="308"/>
      <c r="DF41" s="308"/>
      <c r="DG41" s="308"/>
      <c r="DH41" s="308"/>
      <c r="DI41" s="16"/>
      <c r="DJ41" s="308"/>
      <c r="DK41" s="308"/>
      <c r="DL41" s="308"/>
      <c r="DM41" s="308"/>
      <c r="DN41" s="16"/>
      <c r="DO41" s="308"/>
      <c r="DP41" s="308"/>
      <c r="DQ41" s="308"/>
      <c r="DR41" s="308"/>
      <c r="DS41" s="16"/>
      <c r="DT41" s="308"/>
      <c r="DU41" s="308"/>
      <c r="DV41" s="308"/>
      <c r="DW41" s="308"/>
      <c r="DX41" s="16"/>
      <c r="DY41" s="308"/>
      <c r="DZ41" s="308"/>
      <c r="EA41" s="308"/>
      <c r="EB41" s="308"/>
      <c r="EC41" s="16"/>
      <c r="ED41" s="308"/>
      <c r="EE41" s="308"/>
      <c r="EF41" s="308"/>
      <c r="EG41" s="308"/>
      <c r="EH41" s="16"/>
      <c r="EI41" s="308"/>
      <c r="EJ41" s="308"/>
      <c r="EK41" s="308"/>
      <c r="EL41" s="308"/>
      <c r="EM41" s="16"/>
      <c r="EN41" s="308"/>
      <c r="EO41" s="308"/>
      <c r="EP41" s="308"/>
      <c r="EQ41" s="308"/>
      <c r="ER41" s="16"/>
    </row>
    <row r="42" spans="2:156" ht="12.75" hidden="1" customHeight="1" outlineLevel="1">
      <c r="C42" s="16"/>
      <c r="D42" s="308"/>
      <c r="E42" s="308"/>
      <c r="F42" s="308"/>
      <c r="G42" s="308"/>
      <c r="H42" s="16"/>
      <c r="I42" s="308"/>
      <c r="J42" s="308"/>
      <c r="K42" s="308"/>
      <c r="L42" s="308"/>
      <c r="M42" s="16"/>
      <c r="N42" s="308"/>
      <c r="O42" s="308"/>
      <c r="P42" s="308"/>
      <c r="Q42" s="308"/>
      <c r="R42" s="16"/>
      <c r="S42" s="308"/>
      <c r="T42" s="308"/>
      <c r="U42" s="308"/>
      <c r="V42" s="308"/>
      <c r="W42" s="16"/>
      <c r="X42" s="308"/>
      <c r="Y42" s="308"/>
      <c r="Z42" s="308"/>
      <c r="AA42" s="308"/>
      <c r="AB42" s="16"/>
      <c r="AC42" s="308"/>
      <c r="AD42" s="308"/>
      <c r="AE42" s="308"/>
      <c r="AF42" s="308"/>
      <c r="AG42" s="16"/>
      <c r="AH42" s="308"/>
      <c r="AI42" s="308"/>
      <c r="AJ42" s="308"/>
      <c r="AK42" s="308"/>
      <c r="AL42" s="16"/>
      <c r="AM42" s="308"/>
      <c r="AN42" s="308"/>
      <c r="AO42" s="308"/>
      <c r="AP42" s="308"/>
      <c r="AQ42" s="16"/>
      <c r="AR42" s="308"/>
      <c r="AS42" s="308"/>
      <c r="AT42" s="308"/>
      <c r="AU42" s="308"/>
      <c r="AV42" s="16"/>
      <c r="AW42" s="308"/>
      <c r="AX42" s="308"/>
      <c r="AY42" s="308"/>
      <c r="AZ42" s="308"/>
      <c r="BA42" s="16"/>
      <c r="BB42" s="308"/>
      <c r="BC42" s="308"/>
      <c r="BD42" s="308"/>
      <c r="BE42" s="308"/>
      <c r="BF42" s="16"/>
      <c r="BG42" s="308"/>
      <c r="BH42" s="308"/>
      <c r="BI42" s="308"/>
      <c r="BJ42" s="308"/>
      <c r="BK42" s="16"/>
      <c r="BL42" s="308"/>
      <c r="BM42" s="308"/>
      <c r="BN42" s="308"/>
      <c r="BO42" s="308"/>
      <c r="BP42" s="16"/>
      <c r="BQ42" s="308"/>
      <c r="BR42" s="308"/>
      <c r="BS42" s="308"/>
      <c r="BT42" s="308"/>
      <c r="BU42" s="16"/>
      <c r="BV42" s="308"/>
      <c r="BW42" s="308"/>
      <c r="BX42" s="308"/>
      <c r="BY42" s="308"/>
      <c r="BZ42" s="16"/>
      <c r="CA42" s="308"/>
      <c r="CB42" s="308"/>
      <c r="CC42" s="308"/>
      <c r="CD42" s="308"/>
      <c r="CE42" s="16"/>
      <c r="CF42" s="308"/>
      <c r="CG42" s="308"/>
      <c r="CH42" s="308"/>
      <c r="CI42" s="308"/>
      <c r="CJ42" s="16"/>
      <c r="CK42" s="308"/>
      <c r="CL42" s="308"/>
      <c r="CM42" s="308"/>
      <c r="CN42" s="308"/>
      <c r="CO42" s="16"/>
      <c r="CP42" s="308"/>
      <c r="CQ42" s="308"/>
      <c r="CR42" s="308"/>
      <c r="CS42" s="308"/>
      <c r="CT42" s="16"/>
      <c r="CU42" s="308"/>
      <c r="CV42" s="308"/>
      <c r="CW42" s="308"/>
      <c r="CX42" s="308"/>
      <c r="CY42" s="16"/>
      <c r="CZ42" s="308"/>
      <c r="DA42" s="308"/>
      <c r="DB42" s="308"/>
      <c r="DC42" s="308"/>
      <c r="DD42" s="16"/>
      <c r="DE42" s="308"/>
      <c r="DF42" s="308"/>
      <c r="DG42" s="308"/>
      <c r="DH42" s="308"/>
      <c r="DI42" s="16"/>
      <c r="DJ42" s="308"/>
      <c r="DK42" s="308"/>
      <c r="DL42" s="308"/>
      <c r="DM42" s="308"/>
      <c r="DN42" s="16"/>
      <c r="DO42" s="308"/>
      <c r="DP42" s="308"/>
      <c r="DQ42" s="308"/>
      <c r="DR42" s="308"/>
      <c r="DS42" s="16"/>
      <c r="DT42" s="308"/>
      <c r="DU42" s="308"/>
      <c r="DV42" s="308"/>
      <c r="DW42" s="308"/>
      <c r="DX42" s="16"/>
      <c r="DY42" s="308"/>
      <c r="DZ42" s="308"/>
      <c r="EA42" s="308"/>
      <c r="EB42" s="308"/>
      <c r="EC42" s="16"/>
      <c r="ED42" s="308"/>
      <c r="EE42" s="308"/>
      <c r="EF42" s="308"/>
      <c r="EG42" s="308"/>
      <c r="EH42" s="16"/>
      <c r="EI42" s="308"/>
      <c r="EJ42" s="308"/>
      <c r="EK42" s="308"/>
      <c r="EL42" s="308"/>
      <c r="EM42" s="16"/>
      <c r="EN42" s="308"/>
      <c r="EO42" s="308"/>
      <c r="EP42" s="308"/>
      <c r="EQ42" s="308"/>
      <c r="ER42" s="16"/>
    </row>
    <row r="43" spans="2:156" ht="12.75" hidden="1" customHeight="1" outlineLevel="1">
      <c r="B43" s="21" t="s">
        <v>153</v>
      </c>
      <c r="C43" s="16"/>
      <c r="D43" s="308"/>
      <c r="E43" s="308"/>
      <c r="F43" s="308"/>
      <c r="G43" s="308"/>
      <c r="H43" s="16">
        <f>SUM(D43:G43)</f>
        <v>0</v>
      </c>
      <c r="I43" s="308"/>
      <c r="J43" s="308"/>
      <c r="K43" s="308"/>
      <c r="L43" s="308"/>
      <c r="M43" s="16">
        <f>SUM(I43:L43)</f>
        <v>0</v>
      </c>
      <c r="N43" s="308"/>
      <c r="O43" s="308"/>
      <c r="P43" s="308"/>
      <c r="Q43" s="308"/>
      <c r="R43" s="16">
        <f>SUM(N43:Q43)</f>
        <v>0</v>
      </c>
      <c r="S43" s="308"/>
      <c r="T43" s="308"/>
      <c r="U43" s="308"/>
      <c r="V43" s="308"/>
      <c r="W43" s="16">
        <f>SUM(S43:V43)</f>
        <v>0</v>
      </c>
      <c r="X43" s="308"/>
      <c r="Y43" s="308"/>
      <c r="Z43" s="308"/>
      <c r="AA43" s="308"/>
      <c r="AB43" s="16">
        <f>SUM(X43:AA43)</f>
        <v>0</v>
      </c>
      <c r="AC43" s="308"/>
      <c r="AD43" s="308"/>
      <c r="AE43" s="308"/>
      <c r="AF43" s="308"/>
      <c r="AG43" s="16">
        <f>SUM(AC43:AF43)</f>
        <v>0</v>
      </c>
      <c r="AH43" s="308"/>
      <c r="AI43" s="308"/>
      <c r="AJ43" s="308"/>
      <c r="AK43" s="308"/>
      <c r="AL43" s="16">
        <f>SUM(AH43:AK43)</f>
        <v>0</v>
      </c>
      <c r="AM43" s="308"/>
      <c r="AN43" s="308"/>
      <c r="AO43" s="308"/>
      <c r="AP43" s="308"/>
      <c r="AQ43" s="16"/>
      <c r="AR43" s="308"/>
      <c r="AS43" s="308"/>
      <c r="AT43" s="308"/>
      <c r="AU43" s="308"/>
      <c r="AV43" s="16"/>
      <c r="AW43" s="308"/>
      <c r="AX43" s="308"/>
      <c r="AY43" s="308"/>
      <c r="AZ43" s="308"/>
      <c r="BA43" s="16"/>
      <c r="BB43" s="308"/>
      <c r="BC43" s="308"/>
      <c r="BD43" s="308"/>
      <c r="BE43" s="308"/>
      <c r="BF43" s="16"/>
      <c r="BG43" s="298"/>
      <c r="BH43" s="298"/>
      <c r="BI43" s="298">
        <f>SUM(BI44:BI45)</f>
        <v>-23.087</v>
      </c>
      <c r="BJ43" s="298">
        <f>SUM(BJ44:BJ45)</f>
        <v>-80.039000000000001</v>
      </c>
      <c r="BK43" s="116">
        <f>SUM(BG43:BJ43)</f>
        <v>-103.126</v>
      </c>
      <c r="BL43" s="298">
        <f>SUM(BL44:BL45)</f>
        <v>-201.87199999999999</v>
      </c>
      <c r="BM43" s="298">
        <f>SUM(BM44:BM45)</f>
        <v>-201.79499999999999</v>
      </c>
      <c r="BN43" s="298">
        <f>SUM(BN44:BN45)</f>
        <v>-204.21600000000001</v>
      </c>
      <c r="BO43" s="298">
        <f>SUM(BO44:BO45)</f>
        <v>-216</v>
      </c>
      <c r="BP43" s="116">
        <f>SUM(BP44:BP45)</f>
        <v>-823.88300000000004</v>
      </c>
      <c r="BQ43" s="298">
        <f t="shared" ref="BQ43:CB43" si="48">SUM(BQ44:BQ46)</f>
        <v>-208</v>
      </c>
      <c r="BR43" s="298">
        <f t="shared" si="48"/>
        <v>-210</v>
      </c>
      <c r="BS43" s="298">
        <f t="shared" si="48"/>
        <v>-208</v>
      </c>
      <c r="BT43" s="298">
        <f t="shared" si="48"/>
        <v>-205</v>
      </c>
      <c r="BU43" s="116">
        <f t="shared" si="48"/>
        <v>-831</v>
      </c>
      <c r="BV43" s="298">
        <f t="shared" si="48"/>
        <v>-210</v>
      </c>
      <c r="BW43" s="711">
        <f t="shared" si="48"/>
        <v>-211</v>
      </c>
      <c r="BX43" s="711">
        <f t="shared" si="48"/>
        <v>-211</v>
      </c>
      <c r="BY43" s="711">
        <f t="shared" si="48"/>
        <v>-215</v>
      </c>
      <c r="BZ43" s="116">
        <f>SUM(BZ44:BZ46)</f>
        <v>-847</v>
      </c>
      <c r="CA43" s="711">
        <f t="shared" si="48"/>
        <v>-214</v>
      </c>
      <c r="CB43" s="711">
        <f t="shared" si="48"/>
        <v>-234</v>
      </c>
      <c r="CC43" s="711">
        <f t="shared" ref="CC43:CE43" si="49">SUM(CC44:CC46)</f>
        <v>-211</v>
      </c>
      <c r="CD43" s="711">
        <f t="shared" si="49"/>
        <v>-290</v>
      </c>
      <c r="CE43" s="116">
        <f t="shared" si="49"/>
        <v>-949</v>
      </c>
      <c r="CF43" s="711">
        <f t="shared" ref="CF43:CI43" si="50">SUM(CF44:CF46)</f>
        <v>-6.6000000000000005</v>
      </c>
      <c r="CG43" s="711">
        <f t="shared" si="50"/>
        <v>-6.6000000000000005</v>
      </c>
      <c r="CH43" s="711">
        <f t="shared" si="50"/>
        <v>-6.6000000000000005</v>
      </c>
      <c r="CI43" s="711">
        <f t="shared" si="50"/>
        <v>-6.6000000000000014</v>
      </c>
      <c r="CJ43" s="116">
        <f>+CJ44</f>
        <v>-26.400000000000002</v>
      </c>
      <c r="CK43" s="298"/>
      <c r="CL43" s="298"/>
      <c r="CM43" s="298"/>
      <c r="CN43" s="298"/>
      <c r="CO43" s="116">
        <f>+CO44</f>
        <v>-29.040000000000006</v>
      </c>
      <c r="CP43" s="298"/>
      <c r="CQ43" s="298"/>
      <c r="CR43" s="298"/>
      <c r="CS43" s="298"/>
      <c r="CT43" s="116">
        <f>+CT44</f>
        <v>-31.94400000000001</v>
      </c>
      <c r="CU43" s="298"/>
      <c r="CV43" s="298"/>
      <c r="CW43" s="298"/>
      <c r="CX43" s="298"/>
      <c r="CY43" s="116">
        <f>+CY44</f>
        <v>-35.138400000000011</v>
      </c>
      <c r="CZ43" s="298"/>
      <c r="DA43" s="298"/>
      <c r="DB43" s="298"/>
      <c r="DC43" s="298"/>
      <c r="DD43" s="116">
        <f>+DD44</f>
        <v>-38.652240000000013</v>
      </c>
      <c r="DE43" s="298"/>
      <c r="DF43" s="298"/>
      <c r="DG43" s="298"/>
      <c r="DH43" s="298"/>
      <c r="DI43" s="116">
        <f>+DI44</f>
        <v>-42.517464000000018</v>
      </c>
      <c r="DJ43" s="298"/>
      <c r="DK43" s="298"/>
      <c r="DL43" s="298"/>
      <c r="DM43" s="298"/>
      <c r="DN43" s="116">
        <f>+DN44</f>
        <v>-46.769210400000027</v>
      </c>
      <c r="DO43" s="298"/>
      <c r="DP43" s="298"/>
      <c r="DQ43" s="298"/>
      <c r="DR43" s="298"/>
      <c r="DS43" s="116">
        <f>+DS44</f>
        <v>-51.44613144000003</v>
      </c>
      <c r="DT43" s="298"/>
      <c r="DU43" s="298"/>
      <c r="DV43" s="298"/>
      <c r="DW43" s="298"/>
      <c r="DX43" s="116">
        <f>+DX44</f>
        <v>-56.590744584000035</v>
      </c>
      <c r="DY43" s="298"/>
      <c r="DZ43" s="298"/>
      <c r="EA43" s="298"/>
      <c r="EB43" s="298"/>
      <c r="EC43" s="116">
        <f>+EC44</f>
        <v>-62.249819042400041</v>
      </c>
      <c r="ED43" s="298"/>
      <c r="EE43" s="298"/>
      <c r="EF43" s="298"/>
      <c r="EG43" s="298"/>
      <c r="EH43" s="116">
        <f>+EH44</f>
        <v>-68.474800946640045</v>
      </c>
      <c r="EI43" s="298"/>
      <c r="EJ43" s="298"/>
      <c r="EK43" s="298"/>
      <c r="EL43" s="298"/>
      <c r="EM43" s="116">
        <f>+EM44</f>
        <v>-75.322281041304052</v>
      </c>
      <c r="EN43" s="298"/>
      <c r="EO43" s="298"/>
      <c r="EP43" s="298"/>
      <c r="EQ43" s="298"/>
      <c r="ER43" s="116">
        <f>+ER44</f>
        <v>-82.854509145434463</v>
      </c>
    </row>
    <row r="44" spans="2:156" ht="12.75" hidden="1" customHeight="1" outlineLevel="1">
      <c r="B44" s="22" t="s">
        <v>154</v>
      </c>
      <c r="C44" s="16"/>
      <c r="D44" s="308"/>
      <c r="E44" s="308"/>
      <c r="F44" s="308"/>
      <c r="G44" s="308"/>
      <c r="H44" s="16">
        <f>SUM(D44:G44)</f>
        <v>0</v>
      </c>
      <c r="I44" s="308"/>
      <c r="J44" s="308"/>
      <c r="K44" s="308"/>
      <c r="L44" s="308"/>
      <c r="M44" s="16">
        <f>SUM(I44:L44)</f>
        <v>0</v>
      </c>
      <c r="N44" s="308"/>
      <c r="O44" s="308"/>
      <c r="P44" s="308"/>
      <c r="Q44" s="308"/>
      <c r="R44" s="16">
        <f>SUM(N44:Q44)</f>
        <v>0</v>
      </c>
      <c r="S44" s="308"/>
      <c r="T44" s="308"/>
      <c r="U44" s="308"/>
      <c r="V44" s="308"/>
      <c r="W44" s="16">
        <f>SUM(S44:V44)</f>
        <v>0</v>
      </c>
      <c r="X44" s="308"/>
      <c r="Y44" s="308"/>
      <c r="Z44" s="308"/>
      <c r="AA44" s="308"/>
      <c r="AB44" s="16">
        <f>SUM(X44:AA44)</f>
        <v>0</v>
      </c>
      <c r="AC44" s="308"/>
      <c r="AD44" s="308"/>
      <c r="AE44" s="308"/>
      <c r="AF44" s="308"/>
      <c r="AG44" s="16">
        <f>SUM(AC44:AF44)</f>
        <v>0</v>
      </c>
      <c r="AH44" s="308"/>
      <c r="AI44" s="308"/>
      <c r="AJ44" s="308"/>
      <c r="AK44" s="308"/>
      <c r="AL44" s="16">
        <f>SUM(AH44:AK44)</f>
        <v>0</v>
      </c>
      <c r="AM44" s="308"/>
      <c r="AN44" s="308"/>
      <c r="AO44" s="308"/>
      <c r="AP44" s="308"/>
      <c r="AQ44" s="16"/>
      <c r="AR44" s="308"/>
      <c r="AS44" s="308"/>
      <c r="AT44" s="308"/>
      <c r="AU44" s="308"/>
      <c r="AV44" s="16"/>
      <c r="AW44" s="308"/>
      <c r="AX44" s="308"/>
      <c r="AY44" s="308"/>
      <c r="AZ44" s="308"/>
      <c r="BA44" s="16"/>
      <c r="BB44" s="308"/>
      <c r="BC44" s="308"/>
      <c r="BD44" s="308"/>
      <c r="BE44" s="308"/>
      <c r="BF44" s="16"/>
      <c r="BG44" s="298"/>
      <c r="BH44" s="298"/>
      <c r="BI44" s="298">
        <v>-1.823</v>
      </c>
      <c r="BJ44" s="298">
        <v>-0.51300000000000001</v>
      </c>
      <c r="BK44" s="116">
        <f>SUM(BG44:BJ44)</f>
        <v>-2.3359999999999999</v>
      </c>
      <c r="BL44" s="298">
        <v>-2.6419999999999999</v>
      </c>
      <c r="BM44" s="298">
        <v>-2.5649999999999999</v>
      </c>
      <c r="BN44" s="299">
        <v>-2.726</v>
      </c>
      <c r="BO44" s="299">
        <v>-2</v>
      </c>
      <c r="BP44" s="116">
        <f>SUM(BL44:BO44)</f>
        <v>-9.9329999999999998</v>
      </c>
      <c r="BQ44" s="299">
        <v>-3</v>
      </c>
      <c r="BR44" s="299">
        <v>-3</v>
      </c>
      <c r="BS44" s="299">
        <v>-3</v>
      </c>
      <c r="BT44" s="299">
        <v>-2</v>
      </c>
      <c r="BU44" s="116">
        <f>SUM(BQ44:BT44)</f>
        <v>-11</v>
      </c>
      <c r="BV44" s="298">
        <v>-3</v>
      </c>
      <c r="BW44" s="298">
        <v>-4</v>
      </c>
      <c r="BX44" s="298">
        <v>-4</v>
      </c>
      <c r="BY44" s="298">
        <v>-3</v>
      </c>
      <c r="BZ44" s="116">
        <f>SUM(BV44:BY44)</f>
        <v>-14</v>
      </c>
      <c r="CA44" s="711">
        <v>-4</v>
      </c>
      <c r="CB44" s="711">
        <v>-4</v>
      </c>
      <c r="CC44" s="711">
        <f>CB44</f>
        <v>-4</v>
      </c>
      <c r="CD44" s="996">
        <v>-12</v>
      </c>
      <c r="CE44" s="116">
        <f>SUM(CA44:CD44)</f>
        <v>-24</v>
      </c>
      <c r="CF44" s="298">
        <f>CJ44/4</f>
        <v>-6.6000000000000005</v>
      </c>
      <c r="CG44" s="298">
        <f>CJ44/4</f>
        <v>-6.6000000000000005</v>
      </c>
      <c r="CH44" s="298">
        <f>CJ44/4</f>
        <v>-6.6000000000000005</v>
      </c>
      <c r="CI44" s="711">
        <f>CJ44-SUM(CF44:CH44)</f>
        <v>-6.6000000000000014</v>
      </c>
      <c r="CJ44" s="116">
        <f>CE44*1.1</f>
        <v>-26.400000000000002</v>
      </c>
      <c r="CK44" s="298"/>
      <c r="CL44" s="298"/>
      <c r="CM44" s="298"/>
      <c r="CN44" s="298"/>
      <c r="CO44" s="116">
        <f>CJ44*1.1</f>
        <v>-29.040000000000006</v>
      </c>
      <c r="CP44" s="298"/>
      <c r="CQ44" s="298"/>
      <c r="CR44" s="298"/>
      <c r="CS44" s="298"/>
      <c r="CT44" s="116">
        <f>CO44*1.1</f>
        <v>-31.94400000000001</v>
      </c>
      <c r="CU44" s="298"/>
      <c r="CV44" s="298"/>
      <c r="CW44" s="298"/>
      <c r="CX44" s="298"/>
      <c r="CY44" s="116">
        <f>CT44*1.1</f>
        <v>-35.138400000000011</v>
      </c>
      <c r="CZ44" s="298"/>
      <c r="DA44" s="298"/>
      <c r="DB44" s="298"/>
      <c r="DC44" s="298"/>
      <c r="DD44" s="116">
        <f>CY44*1.1</f>
        <v>-38.652240000000013</v>
      </c>
      <c r="DE44" s="298"/>
      <c r="DF44" s="298"/>
      <c r="DG44" s="298"/>
      <c r="DH44" s="298"/>
      <c r="DI44" s="116">
        <f>DD44*1.1</f>
        <v>-42.517464000000018</v>
      </c>
      <c r="DJ44" s="298"/>
      <c r="DK44" s="298"/>
      <c r="DL44" s="298"/>
      <c r="DM44" s="298"/>
      <c r="DN44" s="116">
        <f>DI44*1.1</f>
        <v>-46.769210400000027</v>
      </c>
      <c r="DO44" s="298"/>
      <c r="DP44" s="298"/>
      <c r="DQ44" s="298"/>
      <c r="DR44" s="298"/>
      <c r="DS44" s="116">
        <f>DN44*1.1</f>
        <v>-51.44613144000003</v>
      </c>
      <c r="DT44" s="298"/>
      <c r="DU44" s="298"/>
      <c r="DV44" s="298"/>
      <c r="DW44" s="298"/>
      <c r="DX44" s="116">
        <f>DS44*1.1</f>
        <v>-56.590744584000035</v>
      </c>
      <c r="DY44" s="298"/>
      <c r="DZ44" s="298"/>
      <c r="EA44" s="298"/>
      <c r="EB44" s="298"/>
      <c r="EC44" s="116">
        <f>DX44*1.1</f>
        <v>-62.249819042400041</v>
      </c>
      <c r="ED44" s="298"/>
      <c r="EE44" s="298"/>
      <c r="EF44" s="298"/>
      <c r="EG44" s="298"/>
      <c r="EH44" s="116">
        <f>EC44*1.1</f>
        <v>-68.474800946640045</v>
      </c>
      <c r="EI44" s="298"/>
      <c r="EJ44" s="298"/>
      <c r="EK44" s="298"/>
      <c r="EL44" s="298"/>
      <c r="EM44" s="116">
        <f>EH44*1.1</f>
        <v>-75.322281041304052</v>
      </c>
      <c r="EN44" s="298"/>
      <c r="EO44" s="298"/>
      <c r="EP44" s="298"/>
      <c r="EQ44" s="298"/>
      <c r="ER44" s="116">
        <f>EM44*1.1</f>
        <v>-82.854509145434463</v>
      </c>
    </row>
    <row r="45" spans="2:156" ht="12.75" hidden="1" customHeight="1" outlineLevel="1">
      <c r="B45" s="22" t="s">
        <v>104</v>
      </c>
      <c r="C45" s="16"/>
      <c r="D45" s="308"/>
      <c r="E45" s="308"/>
      <c r="F45" s="308"/>
      <c r="G45" s="308"/>
      <c r="H45" s="16">
        <f>SUM(D45:G45)</f>
        <v>0</v>
      </c>
      <c r="I45" s="308"/>
      <c r="J45" s="308"/>
      <c r="K45" s="308"/>
      <c r="L45" s="308"/>
      <c r="M45" s="16">
        <f>SUM(I45:L45)</f>
        <v>0</v>
      </c>
      <c r="N45" s="308"/>
      <c r="O45" s="308"/>
      <c r="P45" s="308"/>
      <c r="Q45" s="308"/>
      <c r="R45" s="16">
        <f>SUM(N45:Q45)</f>
        <v>0</v>
      </c>
      <c r="S45" s="308"/>
      <c r="T45" s="308"/>
      <c r="U45" s="308"/>
      <c r="V45" s="308"/>
      <c r="W45" s="16">
        <f>SUM(S45:V45)</f>
        <v>0</v>
      </c>
      <c r="X45" s="308"/>
      <c r="Y45" s="308"/>
      <c r="Z45" s="308"/>
      <c r="AA45" s="308"/>
      <c r="AB45" s="16">
        <f>SUM(X45:AA45)</f>
        <v>0</v>
      </c>
      <c r="AC45" s="308"/>
      <c r="AD45" s="308"/>
      <c r="AE45" s="308"/>
      <c r="AF45" s="308"/>
      <c r="AG45" s="16">
        <f>SUM(AC45:AF45)</f>
        <v>0</v>
      </c>
      <c r="AH45" s="308"/>
      <c r="AI45" s="308"/>
      <c r="AJ45" s="308"/>
      <c r="AK45" s="308"/>
      <c r="AL45" s="16">
        <f>SUM(AH45:AK45)</f>
        <v>0</v>
      </c>
      <c r="AM45" s="308"/>
      <c r="AN45" s="308"/>
      <c r="AO45" s="308"/>
      <c r="AP45" s="308"/>
      <c r="AQ45" s="16"/>
      <c r="AR45" s="308"/>
      <c r="AS45" s="308"/>
      <c r="AT45" s="308"/>
      <c r="AU45" s="308"/>
      <c r="AV45" s="16"/>
      <c r="AW45" s="308"/>
      <c r="AX45" s="308"/>
      <c r="AY45" s="308"/>
      <c r="AZ45" s="308"/>
      <c r="BA45" s="16"/>
      <c r="BB45" s="308"/>
      <c r="BC45" s="308"/>
      <c r="BD45" s="308"/>
      <c r="BE45" s="308"/>
      <c r="BF45" s="16"/>
      <c r="BG45" s="298"/>
      <c r="BH45" s="298"/>
      <c r="BI45" s="298">
        <v>-21.263999999999999</v>
      </c>
      <c r="BJ45" s="298">
        <v>-79.525999999999996</v>
      </c>
      <c r="BK45" s="116">
        <f>SUM(BG45:BJ45)</f>
        <v>-100.78999999999999</v>
      </c>
      <c r="BL45" s="298">
        <v>-199.23</v>
      </c>
      <c r="BM45" s="298">
        <v>-199.23</v>
      </c>
      <c r="BN45" s="299">
        <v>-201.49</v>
      </c>
      <c r="BO45" s="299">
        <f>-218+4</f>
        <v>-214</v>
      </c>
      <c r="BP45" s="116">
        <f>SUM(BL45:BO45)</f>
        <v>-813.95</v>
      </c>
      <c r="BQ45" s="299">
        <v>-206</v>
      </c>
      <c r="BR45" s="299">
        <v>-207</v>
      </c>
      <c r="BS45" s="299">
        <v>-207</v>
      </c>
      <c r="BT45" s="299">
        <v>-206</v>
      </c>
      <c r="BU45" s="116">
        <f>SUM(BQ45:BT45)</f>
        <v>-826</v>
      </c>
      <c r="BV45" s="298">
        <v>-210</v>
      </c>
      <c r="BW45" s="298">
        <v>-210</v>
      </c>
      <c r="BX45" s="298">
        <v>-210</v>
      </c>
      <c r="BY45" s="298">
        <v>-214</v>
      </c>
      <c r="BZ45" s="696">
        <f t="shared" ref="BZ45:BZ46" si="51">SUM(BV45:BY45)</f>
        <v>-844</v>
      </c>
      <c r="CA45" s="711">
        <v>-210</v>
      </c>
      <c r="CB45" s="711">
        <v>-210</v>
      </c>
      <c r="CC45" s="711">
        <v>-209</v>
      </c>
      <c r="CD45" s="996">
        <v>-283</v>
      </c>
      <c r="CE45" s="116">
        <f t="shared" ref="CE45:CE46" si="52">SUM(CA45:CD45)</f>
        <v>-912</v>
      </c>
      <c r="CF45" s="298"/>
      <c r="CG45" s="298"/>
      <c r="CH45" s="298"/>
      <c r="CI45" s="298"/>
      <c r="CJ45" s="116"/>
      <c r="CK45" s="298"/>
      <c r="CL45" s="298"/>
      <c r="CM45" s="298"/>
      <c r="CN45" s="298"/>
      <c r="CO45" s="116"/>
      <c r="CP45" s="298"/>
      <c r="CQ45" s="298"/>
      <c r="CR45" s="298"/>
      <c r="CS45" s="298"/>
      <c r="CT45" s="116"/>
      <c r="CU45" s="298"/>
      <c r="CV45" s="298"/>
      <c r="CW45" s="298"/>
      <c r="CX45" s="298"/>
      <c r="CY45" s="116"/>
      <c r="CZ45" s="298"/>
      <c r="DA45" s="298"/>
      <c r="DB45" s="298"/>
      <c r="DC45" s="298"/>
      <c r="DD45" s="116"/>
      <c r="DE45" s="298"/>
      <c r="DF45" s="298"/>
      <c r="DG45" s="298"/>
      <c r="DH45" s="298"/>
      <c r="DI45" s="116"/>
      <c r="DJ45" s="298"/>
      <c r="DK45" s="298"/>
      <c r="DL45" s="298"/>
      <c r="DM45" s="298"/>
      <c r="DN45" s="116"/>
      <c r="DO45" s="298"/>
      <c r="DP45" s="298"/>
      <c r="DQ45" s="298"/>
      <c r="DR45" s="298"/>
      <c r="DS45" s="116"/>
      <c r="DT45" s="298"/>
      <c r="DU45" s="298"/>
      <c r="DV45" s="298"/>
      <c r="DW45" s="298"/>
      <c r="DX45" s="116"/>
      <c r="DY45" s="298"/>
      <c r="DZ45" s="298"/>
      <c r="EA45" s="298"/>
      <c r="EB45" s="298"/>
      <c r="EC45" s="116"/>
      <c r="ED45" s="298"/>
      <c r="EE45" s="298"/>
      <c r="EF45" s="298"/>
      <c r="EG45" s="298"/>
      <c r="EH45" s="116"/>
      <c r="EI45" s="298"/>
      <c r="EJ45" s="298"/>
      <c r="EK45" s="298"/>
      <c r="EL45" s="298"/>
      <c r="EM45" s="116"/>
      <c r="EN45" s="298"/>
      <c r="EO45" s="298"/>
      <c r="EP45" s="298"/>
      <c r="EQ45" s="298"/>
      <c r="ER45" s="116"/>
    </row>
    <row r="46" spans="2:156" ht="12.75" hidden="1" customHeight="1" outlineLevel="1">
      <c r="B46" s="22" t="s">
        <v>68</v>
      </c>
      <c r="C46" s="16"/>
      <c r="D46" s="308"/>
      <c r="E46" s="308"/>
      <c r="F46" s="308"/>
      <c r="G46" s="308"/>
      <c r="H46" s="16"/>
      <c r="I46" s="308"/>
      <c r="J46" s="308"/>
      <c r="K46" s="308"/>
      <c r="L46" s="308"/>
      <c r="M46" s="16"/>
      <c r="N46" s="308"/>
      <c r="O46" s="308"/>
      <c r="P46" s="308"/>
      <c r="Q46" s="308"/>
      <c r="R46" s="16"/>
      <c r="S46" s="308"/>
      <c r="T46" s="308"/>
      <c r="U46" s="308"/>
      <c r="V46" s="308"/>
      <c r="W46" s="16"/>
      <c r="X46" s="308"/>
      <c r="Y46" s="308"/>
      <c r="Z46" s="308"/>
      <c r="AA46" s="308"/>
      <c r="AB46" s="16"/>
      <c r="AC46" s="308"/>
      <c r="AD46" s="308"/>
      <c r="AE46" s="308"/>
      <c r="AF46" s="308"/>
      <c r="AG46" s="16"/>
      <c r="AH46" s="308"/>
      <c r="AI46" s="308"/>
      <c r="AJ46" s="308"/>
      <c r="AK46" s="308"/>
      <c r="AL46" s="16"/>
      <c r="AM46" s="308"/>
      <c r="AN46" s="308"/>
      <c r="AO46" s="308"/>
      <c r="AP46" s="308"/>
      <c r="AQ46" s="16"/>
      <c r="AR46" s="308"/>
      <c r="AS46" s="308"/>
      <c r="AT46" s="308"/>
      <c r="AU46" s="308"/>
      <c r="AV46" s="16"/>
      <c r="AW46" s="308"/>
      <c r="AX46" s="308"/>
      <c r="AY46" s="308"/>
      <c r="AZ46" s="308"/>
      <c r="BA46" s="16"/>
      <c r="BB46" s="308"/>
      <c r="BC46" s="308"/>
      <c r="BD46" s="308"/>
      <c r="BE46" s="308"/>
      <c r="BF46" s="16"/>
      <c r="BG46" s="298"/>
      <c r="BH46" s="298"/>
      <c r="BI46" s="298"/>
      <c r="BJ46" s="298"/>
      <c r="BK46" s="116"/>
      <c r="BL46" s="298"/>
      <c r="BM46" s="298"/>
      <c r="BN46" s="299"/>
      <c r="BO46" s="299"/>
      <c r="BP46" s="116"/>
      <c r="BQ46" s="299">
        <v>1</v>
      </c>
      <c r="BR46" s="299"/>
      <c r="BS46" s="299">
        <v>2</v>
      </c>
      <c r="BT46" s="299">
        <v>3</v>
      </c>
      <c r="BU46" s="116">
        <f>SUM(BQ46:BT46)</f>
        <v>6</v>
      </c>
      <c r="BV46" s="298">
        <v>3</v>
      </c>
      <c r="BW46" s="298">
        <v>3</v>
      </c>
      <c r="BX46" s="298">
        <v>3</v>
      </c>
      <c r="BY46" s="298">
        <v>2</v>
      </c>
      <c r="BZ46" s="696">
        <f t="shared" si="51"/>
        <v>11</v>
      </c>
      <c r="CA46" s="711"/>
      <c r="CB46" s="711">
        <v>-20</v>
      </c>
      <c r="CC46" s="711">
        <v>2</v>
      </c>
      <c r="CD46" s="996">
        <v>5</v>
      </c>
      <c r="CE46" s="116">
        <f t="shared" si="52"/>
        <v>-13</v>
      </c>
      <c r="CF46" s="298"/>
      <c r="CG46" s="298"/>
      <c r="CH46" s="298"/>
      <c r="CI46" s="298"/>
      <c r="CJ46" s="116"/>
      <c r="CK46" s="298"/>
      <c r="CL46" s="298"/>
      <c r="CM46" s="298"/>
      <c r="CN46" s="298"/>
      <c r="CO46" s="116"/>
      <c r="CP46" s="298"/>
      <c r="CQ46" s="298"/>
      <c r="CR46" s="298"/>
      <c r="CS46" s="298"/>
      <c r="CT46" s="116"/>
      <c r="CU46" s="298"/>
      <c r="CV46" s="298"/>
      <c r="CW46" s="298"/>
      <c r="CX46" s="298"/>
      <c r="CY46" s="116"/>
      <c r="CZ46" s="298"/>
      <c r="DA46" s="298"/>
      <c r="DB46" s="298"/>
      <c r="DC46" s="298"/>
      <c r="DD46" s="116"/>
      <c r="DE46" s="298"/>
      <c r="DF46" s="298"/>
      <c r="DG46" s="298"/>
      <c r="DH46" s="298"/>
      <c r="DI46" s="116"/>
      <c r="DJ46" s="298"/>
      <c r="DK46" s="298"/>
      <c r="DL46" s="298"/>
      <c r="DM46" s="298"/>
      <c r="DN46" s="116"/>
      <c r="DO46" s="298"/>
      <c r="DP46" s="298"/>
      <c r="DQ46" s="298"/>
      <c r="DR46" s="298"/>
      <c r="DS46" s="116"/>
      <c r="DT46" s="298"/>
      <c r="DU46" s="298"/>
      <c r="DV46" s="298"/>
      <c r="DW46" s="298"/>
      <c r="DX46" s="116"/>
      <c r="DY46" s="298"/>
      <c r="DZ46" s="298"/>
      <c r="EA46" s="298"/>
      <c r="EB46" s="298"/>
      <c r="EC46" s="116"/>
      <c r="ED46" s="298"/>
      <c r="EE46" s="298"/>
      <c r="EF46" s="298"/>
      <c r="EG46" s="298"/>
      <c r="EH46" s="116"/>
      <c r="EI46" s="298"/>
      <c r="EJ46" s="298"/>
      <c r="EK46" s="298"/>
      <c r="EL46" s="298"/>
      <c r="EM46" s="116"/>
      <c r="EN46" s="298"/>
      <c r="EO46" s="298"/>
      <c r="EP46" s="298"/>
      <c r="EQ46" s="298"/>
      <c r="ER46" s="116"/>
    </row>
    <row r="47" spans="2:156" ht="12.75" hidden="1" customHeight="1" outlineLevel="1">
      <c r="B47" s="21"/>
      <c r="C47" s="16"/>
      <c r="D47" s="308"/>
      <c r="E47" s="308"/>
      <c r="F47" s="308"/>
      <c r="G47" s="308"/>
      <c r="H47" s="16"/>
      <c r="I47" s="308"/>
      <c r="J47" s="308"/>
      <c r="K47" s="308"/>
      <c r="L47" s="308"/>
      <c r="M47" s="16"/>
      <c r="N47" s="308"/>
      <c r="O47" s="308"/>
      <c r="P47" s="308"/>
      <c r="Q47" s="308"/>
      <c r="R47" s="16"/>
      <c r="S47" s="308"/>
      <c r="T47" s="308"/>
      <c r="U47" s="308"/>
      <c r="V47" s="308"/>
      <c r="W47" s="16"/>
      <c r="X47" s="308"/>
      <c r="Y47" s="308"/>
      <c r="Z47" s="308"/>
      <c r="AA47" s="308"/>
      <c r="AB47" s="16"/>
      <c r="AC47" s="308"/>
      <c r="AD47" s="308"/>
      <c r="AE47" s="308"/>
      <c r="AF47" s="308"/>
      <c r="AG47" s="16"/>
      <c r="AH47" s="308"/>
      <c r="AI47" s="308"/>
      <c r="AJ47" s="308"/>
      <c r="AK47" s="308"/>
      <c r="AL47" s="16"/>
      <c r="AM47" s="308"/>
      <c r="AN47" s="308"/>
      <c r="AO47" s="308"/>
      <c r="AP47" s="308"/>
      <c r="AQ47" s="16"/>
      <c r="AR47" s="308"/>
      <c r="AS47" s="308"/>
      <c r="AT47" s="308"/>
      <c r="AU47" s="308"/>
      <c r="AV47" s="16"/>
      <c r="AW47" s="308"/>
      <c r="AX47" s="308"/>
      <c r="AY47" s="308"/>
      <c r="AZ47" s="308"/>
      <c r="BA47" s="16"/>
      <c r="BB47" s="308"/>
      <c r="BC47" s="308"/>
      <c r="BD47" s="308"/>
      <c r="BE47" s="308"/>
      <c r="BF47" s="16"/>
      <c r="BG47" s="298"/>
      <c r="BH47" s="298"/>
      <c r="BI47" s="298"/>
      <c r="BJ47" s="298"/>
      <c r="BK47" s="116"/>
      <c r="BL47" s="298"/>
      <c r="BM47" s="298"/>
      <c r="BN47" s="298"/>
      <c r="BO47" s="298"/>
      <c r="BP47" s="116"/>
      <c r="BQ47" s="298"/>
      <c r="BR47" s="298"/>
      <c r="BS47" s="298"/>
      <c r="BT47" s="298"/>
      <c r="BU47" s="116"/>
      <c r="BV47" s="298"/>
      <c r="BW47" s="298"/>
      <c r="BX47" s="298"/>
      <c r="BY47" s="298"/>
      <c r="BZ47" s="116"/>
      <c r="CA47" s="711"/>
      <c r="CB47" s="711"/>
      <c r="CC47" s="711"/>
      <c r="CD47" s="711"/>
      <c r="CE47" s="116"/>
      <c r="CF47" s="298"/>
      <c r="CG47" s="298"/>
      <c r="CH47" s="298"/>
      <c r="CI47" s="298"/>
      <c r="CJ47" s="116"/>
      <c r="CK47" s="298"/>
      <c r="CL47" s="298"/>
      <c r="CM47" s="298"/>
      <c r="CN47" s="298"/>
      <c r="CO47" s="116"/>
      <c r="CP47" s="298"/>
      <c r="CQ47" s="298"/>
      <c r="CR47" s="298"/>
      <c r="CS47" s="298"/>
      <c r="CT47" s="116"/>
      <c r="CU47" s="298"/>
      <c r="CV47" s="298"/>
      <c r="CW47" s="298"/>
      <c r="CX47" s="298"/>
      <c r="CY47" s="116"/>
      <c r="CZ47" s="298"/>
      <c r="DA47" s="298"/>
      <c r="DB47" s="298"/>
      <c r="DC47" s="298"/>
      <c r="DD47" s="116"/>
      <c r="DE47" s="298"/>
      <c r="DF47" s="298"/>
      <c r="DG47" s="298"/>
      <c r="DH47" s="298"/>
      <c r="DI47" s="116"/>
      <c r="DJ47" s="298"/>
      <c r="DK47" s="298"/>
      <c r="DL47" s="298"/>
      <c r="DM47" s="298"/>
      <c r="DN47" s="116"/>
      <c r="DO47" s="298"/>
      <c r="DP47" s="298"/>
      <c r="DQ47" s="298"/>
      <c r="DR47" s="298"/>
      <c r="DS47" s="116"/>
      <c r="DT47" s="298"/>
      <c r="DU47" s="298"/>
      <c r="DV47" s="298"/>
      <c r="DW47" s="298"/>
      <c r="DX47" s="116"/>
      <c r="DY47" s="298"/>
      <c r="DZ47" s="298"/>
      <c r="EA47" s="298"/>
      <c r="EB47" s="298"/>
      <c r="EC47" s="116"/>
      <c r="ED47" s="298"/>
      <c r="EE47" s="298"/>
      <c r="EF47" s="298"/>
      <c r="EG47" s="298"/>
      <c r="EH47" s="116"/>
      <c r="EI47" s="298"/>
      <c r="EJ47" s="298"/>
      <c r="EK47" s="298"/>
      <c r="EL47" s="298"/>
      <c r="EM47" s="116"/>
      <c r="EN47" s="298"/>
      <c r="EO47" s="298"/>
      <c r="EP47" s="298"/>
      <c r="EQ47" s="298"/>
      <c r="ER47" s="116"/>
    </row>
    <row r="48" spans="2:156" ht="12.75" hidden="1" customHeight="1" outlineLevel="1">
      <c r="B48" s="21" t="s">
        <v>102</v>
      </c>
      <c r="C48" s="16"/>
      <c r="D48" s="308"/>
      <c r="E48" s="308"/>
      <c r="F48" s="308"/>
      <c r="G48" s="308"/>
      <c r="H48" s="16">
        <f>SUM(D48:G48)</f>
        <v>0</v>
      </c>
      <c r="I48" s="308"/>
      <c r="J48" s="308"/>
      <c r="K48" s="308"/>
      <c r="L48" s="308"/>
      <c r="M48" s="16">
        <f>SUM(I48:L48)</f>
        <v>0</v>
      </c>
      <c r="N48" s="308"/>
      <c r="O48" s="308"/>
      <c r="P48" s="308"/>
      <c r="Q48" s="308"/>
      <c r="R48" s="16">
        <f>SUM(N48:Q48)</f>
        <v>0</v>
      </c>
      <c r="S48" s="308"/>
      <c r="T48" s="308"/>
      <c r="U48" s="308"/>
      <c r="V48" s="308"/>
      <c r="W48" s="16">
        <f>SUM(S48:V48)</f>
        <v>0</v>
      </c>
      <c r="X48" s="308"/>
      <c r="Y48" s="308"/>
      <c r="Z48" s="308"/>
      <c r="AA48" s="308"/>
      <c r="AB48" s="16">
        <f>SUM(X48:AA48)</f>
        <v>0</v>
      </c>
      <c r="AC48" s="308"/>
      <c r="AD48" s="308"/>
      <c r="AE48" s="308"/>
      <c r="AF48" s="308"/>
      <c r="AG48" s="16">
        <f>SUM(AC48:AF48)</f>
        <v>0</v>
      </c>
      <c r="AH48" s="308"/>
      <c r="AI48" s="308"/>
      <c r="AJ48" s="308"/>
      <c r="AK48" s="308"/>
      <c r="AL48" s="16">
        <f>SUM(AH48:AK48)</f>
        <v>0</v>
      </c>
      <c r="AM48" s="308"/>
      <c r="AN48" s="308"/>
      <c r="AO48" s="308"/>
      <c r="AP48" s="308"/>
      <c r="AQ48" s="16"/>
      <c r="AR48" s="308"/>
      <c r="AS48" s="308"/>
      <c r="AT48" s="308"/>
      <c r="AU48" s="308"/>
      <c r="AV48" s="16"/>
      <c r="AW48" s="308"/>
      <c r="AX48" s="308"/>
      <c r="AY48" s="308"/>
      <c r="AZ48" s="308"/>
      <c r="BA48" s="16"/>
      <c r="BB48" s="308"/>
      <c r="BC48" s="308"/>
      <c r="BD48" s="308"/>
      <c r="BE48" s="308"/>
      <c r="BF48" s="16"/>
      <c r="BG48" s="298"/>
      <c r="BH48" s="354"/>
      <c r="BI48" s="298">
        <f>SUM(BI49:BI52)</f>
        <v>-57.709000000000003</v>
      </c>
      <c r="BJ48" s="298">
        <f>SUM(BJ49:BJ52)</f>
        <v>-40.593000000000004</v>
      </c>
      <c r="BK48" s="116">
        <f>SUM(BG48:BJ48)</f>
        <v>-98.302000000000007</v>
      </c>
      <c r="BL48" s="298">
        <f t="shared" ref="BL48:BR48" si="53">SUM(BL49:BL52)</f>
        <v>-37.173000000000002</v>
      </c>
      <c r="BM48" s="298">
        <f t="shared" si="53"/>
        <v>-41.95</v>
      </c>
      <c r="BN48" s="298">
        <f t="shared" si="53"/>
        <v>-44.140999999999998</v>
      </c>
      <c r="BO48" s="298">
        <f t="shared" si="53"/>
        <v>-146</v>
      </c>
      <c r="BP48" s="116">
        <f t="shared" si="53"/>
        <v>-269.26400000000001</v>
      </c>
      <c r="BQ48" s="298">
        <f t="shared" si="53"/>
        <v>-45</v>
      </c>
      <c r="BR48" s="298">
        <f t="shared" si="53"/>
        <v>-116</v>
      </c>
      <c r="BS48" s="299">
        <f t="shared" ref="BS48:BY48" si="54">SUM(BS49:BS55)</f>
        <v>-30</v>
      </c>
      <c r="BT48" s="299">
        <f t="shared" si="54"/>
        <v>22</v>
      </c>
      <c r="BU48" s="116">
        <f t="shared" si="54"/>
        <v>-169</v>
      </c>
      <c r="BV48" s="299">
        <f t="shared" si="54"/>
        <v>-496</v>
      </c>
      <c r="BW48" s="299">
        <f t="shared" si="54"/>
        <v>-444</v>
      </c>
      <c r="BX48" s="299">
        <f t="shared" si="54"/>
        <v>-160</v>
      </c>
      <c r="BY48" s="299">
        <f t="shared" si="54"/>
        <v>-249</v>
      </c>
      <c r="BZ48" s="696">
        <f>SUM(BZ49:BZ55)</f>
        <v>-1349</v>
      </c>
      <c r="CA48" s="299">
        <f t="shared" ref="CA48:CE48" si="55">SUM(CA49:CA55)</f>
        <v>-42</v>
      </c>
      <c r="CB48" s="299">
        <f t="shared" si="55"/>
        <v>-52</v>
      </c>
      <c r="CC48" s="299">
        <f t="shared" si="55"/>
        <v>-44</v>
      </c>
      <c r="CD48" s="711">
        <f t="shared" si="55"/>
        <v>-305</v>
      </c>
      <c r="CE48" s="116">
        <f t="shared" si="55"/>
        <v>-443</v>
      </c>
      <c r="CF48" s="711">
        <f>SUM(CF49:CF50)</f>
        <v>-63.800000000000004</v>
      </c>
      <c r="CG48" s="711">
        <f t="shared" ref="CG48:CI48" si="56">SUM(CG49:CG50)</f>
        <v>-63.800000000000004</v>
      </c>
      <c r="CH48" s="711">
        <f t="shared" si="56"/>
        <v>-63.800000000000004</v>
      </c>
      <c r="CI48" s="711">
        <f t="shared" si="56"/>
        <v>-63.800000000000011</v>
      </c>
      <c r="CJ48" s="116">
        <f>+CJ49</f>
        <v>-255.20000000000002</v>
      </c>
      <c r="CK48" s="298"/>
      <c r="CL48" s="298"/>
      <c r="CM48" s="298"/>
      <c r="CN48" s="298"/>
      <c r="CO48" s="116">
        <f>+CO49</f>
        <v>-280.72000000000003</v>
      </c>
      <c r="CP48" s="298"/>
      <c r="CQ48" s="298"/>
      <c r="CR48" s="298"/>
      <c r="CS48" s="298"/>
      <c r="CT48" s="116">
        <f>+CT49</f>
        <v>-308.79200000000003</v>
      </c>
      <c r="CU48" s="298"/>
      <c r="CV48" s="298"/>
      <c r="CW48" s="298"/>
      <c r="CX48" s="298"/>
      <c r="CY48" s="116">
        <f>+CY49</f>
        <v>-339.67120000000006</v>
      </c>
      <c r="CZ48" s="298"/>
      <c r="DA48" s="298"/>
      <c r="DB48" s="298"/>
      <c r="DC48" s="298"/>
      <c r="DD48" s="116">
        <f>+DD49</f>
        <v>-373.63832000000008</v>
      </c>
      <c r="DE48" s="298"/>
      <c r="DF48" s="298"/>
      <c r="DG48" s="298"/>
      <c r="DH48" s="298"/>
      <c r="DI48" s="116">
        <f>+DI49</f>
        <v>-411.00215200000014</v>
      </c>
      <c r="DJ48" s="298"/>
      <c r="DK48" s="298"/>
      <c r="DL48" s="298"/>
      <c r="DM48" s="298"/>
      <c r="DN48" s="116">
        <f>+DN49</f>
        <v>-452.10236720000017</v>
      </c>
      <c r="DO48" s="298"/>
      <c r="DP48" s="298"/>
      <c r="DQ48" s="298"/>
      <c r="DR48" s="298"/>
      <c r="DS48" s="116">
        <f>+DS49</f>
        <v>-497.31260392000024</v>
      </c>
      <c r="DT48" s="298"/>
      <c r="DU48" s="298"/>
      <c r="DV48" s="298"/>
      <c r="DW48" s="298"/>
      <c r="DX48" s="116">
        <f>+DX49</f>
        <v>-547.04386431200032</v>
      </c>
      <c r="DY48" s="298"/>
      <c r="DZ48" s="298"/>
      <c r="EA48" s="298"/>
      <c r="EB48" s="298"/>
      <c r="EC48" s="116">
        <f>+EC49</f>
        <v>-601.7482507432004</v>
      </c>
      <c r="ED48" s="298"/>
      <c r="EE48" s="298"/>
      <c r="EF48" s="298"/>
      <c r="EG48" s="298"/>
      <c r="EH48" s="116">
        <f>+EH49</f>
        <v>-661.9230758175205</v>
      </c>
      <c r="EI48" s="298"/>
      <c r="EJ48" s="298"/>
      <c r="EK48" s="298"/>
      <c r="EL48" s="298"/>
      <c r="EM48" s="116">
        <f>+EM49</f>
        <v>-728.11538339927256</v>
      </c>
      <c r="EN48" s="298"/>
      <c r="EO48" s="298"/>
      <c r="EP48" s="298"/>
      <c r="EQ48" s="298"/>
      <c r="ER48" s="116">
        <f>+ER49</f>
        <v>-800.92692173919988</v>
      </c>
    </row>
    <row r="49" spans="2:156" ht="12.75" hidden="1" customHeight="1" outlineLevel="1">
      <c r="B49" s="22" t="s">
        <v>154</v>
      </c>
      <c r="C49" s="16"/>
      <c r="D49" s="308"/>
      <c r="E49" s="308"/>
      <c r="F49" s="308"/>
      <c r="G49" s="308"/>
      <c r="H49" s="16">
        <f>SUM(D49:G49)</f>
        <v>0</v>
      </c>
      <c r="I49" s="308"/>
      <c r="J49" s="308"/>
      <c r="K49" s="308"/>
      <c r="L49" s="308"/>
      <c r="M49" s="16">
        <f>SUM(I49:L49)</f>
        <v>0</v>
      </c>
      <c r="N49" s="308"/>
      <c r="O49" s="308"/>
      <c r="P49" s="308"/>
      <c r="Q49" s="308"/>
      <c r="R49" s="16">
        <f>SUM(N49:Q49)</f>
        <v>0</v>
      </c>
      <c r="S49" s="308"/>
      <c r="T49" s="308"/>
      <c r="U49" s="308"/>
      <c r="V49" s="308"/>
      <c r="W49" s="16">
        <f>SUM(S49:V49)</f>
        <v>0</v>
      </c>
      <c r="X49" s="308"/>
      <c r="Y49" s="308"/>
      <c r="Z49" s="308"/>
      <c r="AA49" s="308"/>
      <c r="AB49" s="16">
        <f>SUM(X49:AA49)</f>
        <v>0</v>
      </c>
      <c r="AC49" s="308"/>
      <c r="AD49" s="308"/>
      <c r="AE49" s="308"/>
      <c r="AF49" s="308"/>
      <c r="AG49" s="16">
        <f>SUM(AC49:AF49)</f>
        <v>0</v>
      </c>
      <c r="AH49" s="308"/>
      <c r="AI49" s="308"/>
      <c r="AJ49" s="308"/>
      <c r="AK49" s="308"/>
      <c r="AL49" s="16">
        <f>SUM(AH49:AK49)</f>
        <v>0</v>
      </c>
      <c r="AM49" s="308"/>
      <c r="AN49" s="308"/>
      <c r="AO49" s="308"/>
      <c r="AP49" s="308"/>
      <c r="AQ49" s="16"/>
      <c r="AR49" s="308"/>
      <c r="AS49" s="308"/>
      <c r="AT49" s="308"/>
      <c r="AU49" s="308"/>
      <c r="AV49" s="16"/>
      <c r="AW49" s="308"/>
      <c r="AX49" s="308"/>
      <c r="AY49" s="308"/>
      <c r="AZ49" s="308"/>
      <c r="BA49" s="16"/>
      <c r="BB49" s="308"/>
      <c r="BC49" s="308"/>
      <c r="BD49" s="308"/>
      <c r="BE49" s="308"/>
      <c r="BF49" s="16"/>
      <c r="BG49" s="298"/>
      <c r="BH49" s="298"/>
      <c r="BI49" s="298">
        <v>-27.74</v>
      </c>
      <c r="BJ49" s="298">
        <v>-29.510999999999999</v>
      </c>
      <c r="BK49" s="116">
        <f>SUM(BG49:BJ49)</f>
        <v>-57.250999999999998</v>
      </c>
      <c r="BL49" s="298">
        <v>-34.35</v>
      </c>
      <c r="BM49" s="298">
        <v>-36.633000000000003</v>
      </c>
      <c r="BN49" s="298">
        <v>-40.311999999999998</v>
      </c>
      <c r="BO49" s="299">
        <v>-41</v>
      </c>
      <c r="BP49" s="116">
        <f>SUM(BL49:BO49)</f>
        <v>-152.29500000000002</v>
      </c>
      <c r="BQ49" s="299">
        <v>-42</v>
      </c>
      <c r="BR49" s="299">
        <v>-42</v>
      </c>
      <c r="BS49" s="299">
        <v>-44</v>
      </c>
      <c r="BT49" s="299">
        <v>-45</v>
      </c>
      <c r="BU49" s="116">
        <f>SUM(BQ49:BT49)</f>
        <v>-173</v>
      </c>
      <c r="BV49" s="298">
        <v>-41</v>
      </c>
      <c r="BW49" s="298">
        <v>-44</v>
      </c>
      <c r="BX49" s="298">
        <v>-44</v>
      </c>
      <c r="BY49" s="299">
        <v>-47</v>
      </c>
      <c r="BZ49" s="696">
        <f>SUM(BV49:BY49)</f>
        <v>-176</v>
      </c>
      <c r="CA49" s="299">
        <v>-42</v>
      </c>
      <c r="CB49" s="711">
        <v>-47</v>
      </c>
      <c r="CC49" s="711">
        <v>-53</v>
      </c>
      <c r="CD49" s="996">
        <v>-90</v>
      </c>
      <c r="CE49" s="116">
        <f>SUM(CA49:CD49)</f>
        <v>-232</v>
      </c>
      <c r="CF49" s="298">
        <f>CJ49/4</f>
        <v>-63.800000000000004</v>
      </c>
      <c r="CG49" s="298">
        <f>CJ49/4</f>
        <v>-63.800000000000004</v>
      </c>
      <c r="CH49" s="298">
        <f>CJ49/4</f>
        <v>-63.800000000000004</v>
      </c>
      <c r="CI49" s="711">
        <f>CJ49-SUM(CF49:CH49)</f>
        <v>-63.800000000000011</v>
      </c>
      <c r="CJ49" s="116">
        <f>CE49*1.1</f>
        <v>-255.20000000000002</v>
      </c>
      <c r="CK49" s="298"/>
      <c r="CL49" s="298"/>
      <c r="CM49" s="298"/>
      <c r="CN49" s="298"/>
      <c r="CO49" s="116">
        <f>CJ49*1.1</f>
        <v>-280.72000000000003</v>
      </c>
      <c r="CP49" s="298"/>
      <c r="CQ49" s="298"/>
      <c r="CR49" s="298"/>
      <c r="CS49" s="298"/>
      <c r="CT49" s="116">
        <f>CO49*1.1</f>
        <v>-308.79200000000003</v>
      </c>
      <c r="CU49" s="298"/>
      <c r="CV49" s="298"/>
      <c r="CW49" s="298"/>
      <c r="CX49" s="298"/>
      <c r="CY49" s="116">
        <f>CT49*1.1</f>
        <v>-339.67120000000006</v>
      </c>
      <c r="CZ49" s="298"/>
      <c r="DA49" s="298"/>
      <c r="DB49" s="298"/>
      <c r="DC49" s="298"/>
      <c r="DD49" s="116">
        <f>CY49*1.1</f>
        <v>-373.63832000000008</v>
      </c>
      <c r="DE49" s="298"/>
      <c r="DF49" s="298"/>
      <c r="DG49" s="298"/>
      <c r="DH49" s="298"/>
      <c r="DI49" s="116">
        <f>DD49*1.1</f>
        <v>-411.00215200000014</v>
      </c>
      <c r="DJ49" s="298"/>
      <c r="DK49" s="298"/>
      <c r="DL49" s="298"/>
      <c r="DM49" s="298"/>
      <c r="DN49" s="116">
        <f>DI49*1.1</f>
        <v>-452.10236720000017</v>
      </c>
      <c r="DO49" s="298"/>
      <c r="DP49" s="298"/>
      <c r="DQ49" s="298"/>
      <c r="DR49" s="298"/>
      <c r="DS49" s="116">
        <f>DN49*1.1</f>
        <v>-497.31260392000024</v>
      </c>
      <c r="DT49" s="298"/>
      <c r="DU49" s="298"/>
      <c r="DV49" s="298"/>
      <c r="DW49" s="298"/>
      <c r="DX49" s="116">
        <f>DS49*1.1</f>
        <v>-547.04386431200032</v>
      </c>
      <c r="DY49" s="298"/>
      <c r="DZ49" s="298"/>
      <c r="EA49" s="298"/>
      <c r="EB49" s="298"/>
      <c r="EC49" s="116">
        <f>DX49*1.1</f>
        <v>-601.7482507432004</v>
      </c>
      <c r="ED49" s="298"/>
      <c r="EE49" s="298"/>
      <c r="EF49" s="298"/>
      <c r="EG49" s="298"/>
      <c r="EH49" s="116">
        <f>EC49*1.1</f>
        <v>-661.9230758175205</v>
      </c>
      <c r="EI49" s="298"/>
      <c r="EJ49" s="298"/>
      <c r="EK49" s="298"/>
      <c r="EL49" s="298"/>
      <c r="EM49" s="116">
        <f>EH49*1.1</f>
        <v>-728.11538339927256</v>
      </c>
      <c r="EN49" s="298"/>
      <c r="EO49" s="298"/>
      <c r="EP49" s="298"/>
      <c r="EQ49" s="298"/>
      <c r="ER49" s="116">
        <f>EM49*1.1</f>
        <v>-800.92692173919988</v>
      </c>
    </row>
    <row r="50" spans="2:156" ht="12.75" hidden="1" customHeight="1" outlineLevel="1">
      <c r="B50" s="22" t="s">
        <v>156</v>
      </c>
      <c r="C50" s="16"/>
      <c r="D50" s="308"/>
      <c r="E50" s="308"/>
      <c r="F50" s="308"/>
      <c r="G50" s="308"/>
      <c r="H50" s="16">
        <f>SUM(D50:G50)</f>
        <v>0</v>
      </c>
      <c r="I50" s="308"/>
      <c r="J50" s="308"/>
      <c r="K50" s="308"/>
      <c r="L50" s="308"/>
      <c r="M50" s="16">
        <f>SUM(I50:L50)</f>
        <v>0</v>
      </c>
      <c r="N50" s="308"/>
      <c r="O50" s="308"/>
      <c r="P50" s="308"/>
      <c r="Q50" s="308"/>
      <c r="R50" s="16">
        <f>SUM(N50:Q50)</f>
        <v>0</v>
      </c>
      <c r="S50" s="308"/>
      <c r="T50" s="308"/>
      <c r="U50" s="308"/>
      <c r="V50" s="308"/>
      <c r="W50" s="16">
        <f>SUM(S50:V50)</f>
        <v>0</v>
      </c>
      <c r="X50" s="308"/>
      <c r="Y50" s="308"/>
      <c r="Z50" s="308"/>
      <c r="AA50" s="308"/>
      <c r="AB50" s="16">
        <f>SUM(X50:AA50)</f>
        <v>0</v>
      </c>
      <c r="AC50" s="308"/>
      <c r="AD50" s="308"/>
      <c r="AE50" s="308"/>
      <c r="AF50" s="308"/>
      <c r="AG50" s="16">
        <f>SUM(AC50:AF50)</f>
        <v>0</v>
      </c>
      <c r="AH50" s="308"/>
      <c r="AI50" s="308"/>
      <c r="AJ50" s="308"/>
      <c r="AK50" s="308"/>
      <c r="AL50" s="16">
        <f>SUM(AH50:AK50)</f>
        <v>0</v>
      </c>
      <c r="AM50" s="308"/>
      <c r="AN50" s="308"/>
      <c r="AO50" s="308"/>
      <c r="AP50" s="308"/>
      <c r="AQ50" s="16"/>
      <c r="AR50" s="308"/>
      <c r="AS50" s="308"/>
      <c r="AT50" s="308"/>
      <c r="AU50" s="308"/>
      <c r="AV50" s="16"/>
      <c r="AW50" s="308"/>
      <c r="AX50" s="308"/>
      <c r="AY50" s="308"/>
      <c r="AZ50" s="308"/>
      <c r="BA50" s="16"/>
      <c r="BB50" s="308"/>
      <c r="BC50" s="308"/>
      <c r="BD50" s="308"/>
      <c r="BE50" s="308"/>
      <c r="BF50" s="16"/>
      <c r="BG50" s="298"/>
      <c r="BH50" s="298"/>
      <c r="BI50" s="298">
        <v>3.1E-2</v>
      </c>
      <c r="BJ50" s="298">
        <v>0.17599999999999999</v>
      </c>
      <c r="BK50" s="116">
        <f>SUM(BG50:BJ50)</f>
        <v>0.20699999999999999</v>
      </c>
      <c r="BL50" s="298">
        <v>-0.14499999999999999</v>
      </c>
      <c r="BM50" s="298">
        <v>-2.9000000000000001E-2</v>
      </c>
      <c r="BN50" s="298">
        <v>-4.2999999999999997E-2</v>
      </c>
      <c r="BO50" s="298"/>
      <c r="BP50" s="116">
        <f>SUM(BL50:BO50)</f>
        <v>-0.21699999999999997</v>
      </c>
      <c r="BQ50" s="298"/>
      <c r="BR50" s="298"/>
      <c r="BS50" s="299"/>
      <c r="BT50" s="299"/>
      <c r="BU50" s="116">
        <f>SUM(BQ50:BT50)</f>
        <v>0</v>
      </c>
      <c r="BV50" s="298"/>
      <c r="BW50" s="298"/>
      <c r="BX50" s="298"/>
      <c r="BY50" s="299"/>
      <c r="BZ50" s="696">
        <f>SUM(BV50:BY50)</f>
        <v>0</v>
      </c>
      <c r="CA50" s="299"/>
      <c r="CB50" s="711"/>
      <c r="CC50" s="711"/>
      <c r="CD50" s="711"/>
      <c r="CE50" s="116">
        <f t="shared" ref="CE50:CE55" si="57">SUM(CA50:CD50)</f>
        <v>0</v>
      </c>
      <c r="CF50" s="298"/>
      <c r="CG50" s="298"/>
      <c r="CH50" s="298"/>
      <c r="CI50" s="298"/>
      <c r="CJ50" s="116"/>
      <c r="CK50" s="298"/>
      <c r="CL50" s="298"/>
      <c r="CM50" s="298"/>
      <c r="CN50" s="298"/>
      <c r="CO50" s="116"/>
      <c r="CP50" s="298"/>
      <c r="CQ50" s="298"/>
      <c r="CR50" s="298"/>
      <c r="CS50" s="298"/>
      <c r="CT50" s="116"/>
      <c r="CU50" s="298"/>
      <c r="CV50" s="298"/>
      <c r="CW50" s="298"/>
      <c r="CX50" s="298"/>
      <c r="CY50" s="116"/>
      <c r="CZ50" s="298"/>
      <c r="DA50" s="298"/>
      <c r="DB50" s="298"/>
      <c r="DC50" s="298"/>
      <c r="DD50" s="116"/>
      <c r="DE50" s="298"/>
      <c r="DF50" s="298"/>
      <c r="DG50" s="298"/>
      <c r="DH50" s="298"/>
      <c r="DI50" s="116"/>
      <c r="DJ50" s="298"/>
      <c r="DK50" s="298"/>
      <c r="DL50" s="298"/>
      <c r="DM50" s="298"/>
      <c r="DN50" s="116"/>
      <c r="DO50" s="298"/>
      <c r="DP50" s="298"/>
      <c r="DQ50" s="298"/>
      <c r="DR50" s="298"/>
      <c r="DS50" s="116"/>
      <c r="DT50" s="298"/>
      <c r="DU50" s="298"/>
      <c r="DV50" s="298"/>
      <c r="DW50" s="298"/>
      <c r="DX50" s="116"/>
      <c r="DY50" s="298"/>
      <c r="DZ50" s="298"/>
      <c r="EA50" s="298"/>
      <c r="EB50" s="298"/>
      <c r="EC50" s="116"/>
      <c r="ED50" s="298"/>
      <c r="EE50" s="298"/>
      <c r="EF50" s="298"/>
      <c r="EG50" s="298"/>
      <c r="EH50" s="116"/>
      <c r="EI50" s="298"/>
      <c r="EJ50" s="298"/>
      <c r="EK50" s="298"/>
      <c r="EL50" s="298"/>
      <c r="EM50" s="116"/>
      <c r="EN50" s="298"/>
      <c r="EO50" s="298"/>
      <c r="EP50" s="298"/>
      <c r="EQ50" s="298"/>
      <c r="ER50" s="116"/>
    </row>
    <row r="51" spans="2:156" ht="12.75" hidden="1" customHeight="1" outlineLevel="1">
      <c r="B51" s="22" t="s">
        <v>157</v>
      </c>
      <c r="C51" s="16"/>
      <c r="D51" s="308"/>
      <c r="E51" s="308"/>
      <c r="F51" s="308"/>
      <c r="G51" s="308"/>
      <c r="H51" s="16"/>
      <c r="I51" s="308"/>
      <c r="J51" s="308"/>
      <c r="K51" s="308"/>
      <c r="L51" s="308"/>
      <c r="M51" s="16"/>
      <c r="N51" s="308"/>
      <c r="O51" s="308"/>
      <c r="P51" s="308"/>
      <c r="Q51" s="308"/>
      <c r="R51" s="16"/>
      <c r="S51" s="308"/>
      <c r="T51" s="308"/>
      <c r="U51" s="308"/>
      <c r="V51" s="308"/>
      <c r="W51" s="16"/>
      <c r="X51" s="308"/>
      <c r="Y51" s="308"/>
      <c r="Z51" s="308"/>
      <c r="AA51" s="308"/>
      <c r="AB51" s="16"/>
      <c r="AC51" s="308"/>
      <c r="AD51" s="308"/>
      <c r="AE51" s="308"/>
      <c r="AF51" s="308"/>
      <c r="AG51" s="16"/>
      <c r="AH51" s="308"/>
      <c r="AI51" s="308"/>
      <c r="AJ51" s="308"/>
      <c r="AK51" s="308"/>
      <c r="AL51" s="16"/>
      <c r="AM51" s="308"/>
      <c r="AN51" s="308"/>
      <c r="AO51" s="308"/>
      <c r="AP51" s="308"/>
      <c r="AQ51" s="16"/>
      <c r="AR51" s="308"/>
      <c r="AS51" s="308"/>
      <c r="AT51" s="308"/>
      <c r="AU51" s="308"/>
      <c r="AV51" s="16"/>
      <c r="AW51" s="308"/>
      <c r="AX51" s="308"/>
      <c r="AY51" s="308"/>
      <c r="AZ51" s="308"/>
      <c r="BA51" s="16"/>
      <c r="BB51" s="308"/>
      <c r="BC51" s="308"/>
      <c r="BD51" s="308"/>
      <c r="BE51" s="308"/>
      <c r="BF51" s="16"/>
      <c r="BG51" s="298"/>
      <c r="BH51" s="298"/>
      <c r="BI51" s="298"/>
      <c r="BJ51" s="298"/>
      <c r="BK51" s="116"/>
      <c r="BL51" s="298"/>
      <c r="BM51" s="298"/>
      <c r="BN51" s="298"/>
      <c r="BO51" s="299">
        <v>-85</v>
      </c>
      <c r="BP51" s="116">
        <f>SUM(BL51:BO51)</f>
        <v>-85</v>
      </c>
      <c r="BQ51" s="298"/>
      <c r="BR51" s="299">
        <v>-67</v>
      </c>
      <c r="BS51" s="299"/>
      <c r="BT51" s="299"/>
      <c r="BU51" s="116">
        <f>SUM(BQ51:BT51)</f>
        <v>-67</v>
      </c>
      <c r="BV51" s="298"/>
      <c r="BW51" s="298"/>
      <c r="BX51" s="298"/>
      <c r="BY51" s="299"/>
      <c r="BZ51" s="696">
        <f>SUM(BV51:BY51)</f>
        <v>0</v>
      </c>
      <c r="CA51" s="299"/>
      <c r="CB51" s="711"/>
      <c r="CC51" s="711"/>
      <c r="CD51" s="996">
        <f>-222+-8</f>
        <v>-230</v>
      </c>
      <c r="CE51" s="116">
        <f t="shared" si="57"/>
        <v>-230</v>
      </c>
      <c r="CF51" s="298"/>
      <c r="CG51" s="298"/>
      <c r="CH51" s="298"/>
      <c r="CI51" s="298"/>
      <c r="CJ51" s="116"/>
      <c r="CK51" s="298"/>
      <c r="CL51" s="298"/>
      <c r="CM51" s="298"/>
      <c r="CN51" s="298"/>
      <c r="CO51" s="116"/>
      <c r="CP51" s="298"/>
      <c r="CQ51" s="298"/>
      <c r="CR51" s="298"/>
      <c r="CS51" s="298"/>
      <c r="CT51" s="116"/>
      <c r="CU51" s="298"/>
      <c r="CV51" s="298"/>
      <c r="CW51" s="298"/>
      <c r="CX51" s="298"/>
      <c r="CY51" s="116"/>
      <c r="CZ51" s="298"/>
      <c r="DA51" s="298"/>
      <c r="DB51" s="298"/>
      <c r="DC51" s="298"/>
      <c r="DD51" s="116"/>
      <c r="DE51" s="298"/>
      <c r="DF51" s="298"/>
      <c r="DG51" s="298"/>
      <c r="DH51" s="298"/>
      <c r="DI51" s="116"/>
      <c r="DJ51" s="298"/>
      <c r="DK51" s="298"/>
      <c r="DL51" s="298"/>
      <c r="DM51" s="298"/>
      <c r="DN51" s="116"/>
      <c r="DO51" s="298"/>
      <c r="DP51" s="298"/>
      <c r="DQ51" s="298"/>
      <c r="DR51" s="298"/>
      <c r="DS51" s="116"/>
      <c r="DT51" s="298"/>
      <c r="DU51" s="298"/>
      <c r="DV51" s="298"/>
      <c r="DW51" s="298"/>
      <c r="DX51" s="116"/>
      <c r="DY51" s="298"/>
      <c r="DZ51" s="298"/>
      <c r="EA51" s="298"/>
      <c r="EB51" s="298"/>
      <c r="EC51" s="116"/>
      <c r="ED51" s="298"/>
      <c r="EE51" s="298"/>
      <c r="EF51" s="298"/>
      <c r="EG51" s="298"/>
      <c r="EH51" s="116"/>
      <c r="EI51" s="298"/>
      <c r="EJ51" s="298"/>
      <c r="EK51" s="298"/>
      <c r="EL51" s="298"/>
      <c r="EM51" s="116"/>
      <c r="EN51" s="298"/>
      <c r="EO51" s="298"/>
      <c r="EP51" s="298"/>
      <c r="EQ51" s="298"/>
      <c r="ER51" s="116"/>
    </row>
    <row r="52" spans="2:156" ht="12.75" hidden="1" customHeight="1" outlineLevel="1">
      <c r="B52" s="22" t="s">
        <v>159</v>
      </c>
      <c r="C52" s="16"/>
      <c r="D52" s="308"/>
      <c r="E52" s="308"/>
      <c r="F52" s="308"/>
      <c r="G52" s="308"/>
      <c r="H52" s="16">
        <f>SUM(D52:G52)</f>
        <v>0</v>
      </c>
      <c r="I52" s="308"/>
      <c r="J52" s="308"/>
      <c r="K52" s="308"/>
      <c r="L52" s="308"/>
      <c r="M52" s="16">
        <f>SUM(I52:L52)</f>
        <v>0</v>
      </c>
      <c r="N52" s="308"/>
      <c r="O52" s="308"/>
      <c r="P52" s="308"/>
      <c r="Q52" s="308"/>
      <c r="R52" s="16">
        <f>SUM(N52:Q52)</f>
        <v>0</v>
      </c>
      <c r="S52" s="308"/>
      <c r="T52" s="308"/>
      <c r="U52" s="308"/>
      <c r="V52" s="308"/>
      <c r="W52" s="16">
        <f>SUM(S52:V52)</f>
        <v>0</v>
      </c>
      <c r="X52" s="308"/>
      <c r="Y52" s="308"/>
      <c r="Z52" s="308"/>
      <c r="AA52" s="308"/>
      <c r="AB52" s="16">
        <f>SUM(X52:AA52)</f>
        <v>0</v>
      </c>
      <c r="AC52" s="308"/>
      <c r="AD52" s="308"/>
      <c r="AE52" s="308"/>
      <c r="AF52" s="308"/>
      <c r="AG52" s="16">
        <f>SUM(AC52:AF52)</f>
        <v>0</v>
      </c>
      <c r="AH52" s="308"/>
      <c r="AI52" s="308"/>
      <c r="AJ52" s="308"/>
      <c r="AK52" s="308"/>
      <c r="AL52" s="16">
        <f>SUM(AH52:AK52)</f>
        <v>0</v>
      </c>
      <c r="AM52" s="308"/>
      <c r="AN52" s="308"/>
      <c r="AO52" s="308"/>
      <c r="AP52" s="308"/>
      <c r="AQ52" s="16"/>
      <c r="AR52" s="308"/>
      <c r="AS52" s="308"/>
      <c r="AT52" s="308"/>
      <c r="AU52" s="308"/>
      <c r="AV52" s="16"/>
      <c r="AW52" s="308"/>
      <c r="AX52" s="308"/>
      <c r="AY52" s="308"/>
      <c r="AZ52" s="308"/>
      <c r="BA52" s="16"/>
      <c r="BB52" s="308"/>
      <c r="BC52" s="308"/>
      <c r="BD52" s="308"/>
      <c r="BE52" s="308"/>
      <c r="BF52" s="16"/>
      <c r="BG52" s="298"/>
      <c r="BH52" s="298"/>
      <c r="BI52" s="298">
        <v>-30</v>
      </c>
      <c r="BJ52" s="298">
        <v>-11.257999999999999</v>
      </c>
      <c r="BK52" s="116">
        <f>SUM(BG52:BJ52)</f>
        <v>-41.257999999999996</v>
      </c>
      <c r="BL52" s="298">
        <v>-2.6779999999999999</v>
      </c>
      <c r="BM52" s="298">
        <v>-5.2880000000000003</v>
      </c>
      <c r="BN52" s="298">
        <v>-3.786</v>
      </c>
      <c r="BO52" s="299">
        <v>-20</v>
      </c>
      <c r="BP52" s="116">
        <f>SUM(BL52:BO52)</f>
        <v>-31.752000000000002</v>
      </c>
      <c r="BQ52" s="299">
        <v>-3</v>
      </c>
      <c r="BR52" s="299">
        <v>-7</v>
      </c>
      <c r="BS52" s="299"/>
      <c r="BT52" s="299"/>
      <c r="BU52" s="116">
        <f>SUM(BQ52:BT52)</f>
        <v>-10</v>
      </c>
      <c r="BV52" s="298"/>
      <c r="BW52" s="298"/>
      <c r="BX52" s="298"/>
      <c r="BY52" s="299"/>
      <c r="BZ52" s="696">
        <f>SUM(BV52:BY52)</f>
        <v>0</v>
      </c>
      <c r="CA52" s="299"/>
      <c r="CB52" s="711"/>
      <c r="CC52" s="711"/>
      <c r="CD52" s="711"/>
      <c r="CE52" s="116">
        <f t="shared" si="57"/>
        <v>0</v>
      </c>
      <c r="CF52" s="298"/>
      <c r="CG52" s="298"/>
      <c r="CH52" s="298"/>
      <c r="CI52" s="298"/>
      <c r="CJ52" s="116"/>
      <c r="CK52" s="298"/>
      <c r="CL52" s="298"/>
      <c r="CM52" s="298"/>
      <c r="CN52" s="298"/>
      <c r="CO52" s="116"/>
      <c r="CP52" s="298"/>
      <c r="CQ52" s="298"/>
      <c r="CR52" s="298"/>
      <c r="CS52" s="298"/>
      <c r="CT52" s="116"/>
      <c r="CU52" s="298"/>
      <c r="CV52" s="298"/>
      <c r="CW52" s="298"/>
      <c r="CX52" s="298"/>
      <c r="CY52" s="116"/>
      <c r="CZ52" s="298"/>
      <c r="DA52" s="298"/>
      <c r="DB52" s="298"/>
      <c r="DC52" s="298"/>
      <c r="DD52" s="116"/>
      <c r="DE52" s="298"/>
      <c r="DF52" s="298"/>
      <c r="DG52" s="298"/>
      <c r="DH52" s="298"/>
      <c r="DI52" s="116"/>
      <c r="DJ52" s="298"/>
      <c r="DK52" s="298"/>
      <c r="DL52" s="298"/>
      <c r="DM52" s="298"/>
      <c r="DN52" s="116"/>
      <c r="DO52" s="298"/>
      <c r="DP52" s="298"/>
      <c r="DQ52" s="298"/>
      <c r="DR52" s="298"/>
      <c r="DS52" s="116"/>
      <c r="DT52" s="298"/>
      <c r="DU52" s="298"/>
      <c r="DV52" s="298"/>
      <c r="DW52" s="298"/>
      <c r="DX52" s="116"/>
      <c r="DY52" s="298"/>
      <c r="DZ52" s="298"/>
      <c r="EA52" s="298"/>
      <c r="EB52" s="298"/>
      <c r="EC52" s="116"/>
      <c r="ED52" s="298"/>
      <c r="EE52" s="298"/>
      <c r="EF52" s="298"/>
      <c r="EG52" s="298"/>
      <c r="EH52" s="116"/>
      <c r="EI52" s="298"/>
      <c r="EJ52" s="298"/>
      <c r="EK52" s="298"/>
      <c r="EL52" s="298"/>
      <c r="EM52" s="116"/>
      <c r="EN52" s="298"/>
      <c r="EO52" s="298"/>
      <c r="EP52" s="298"/>
      <c r="EQ52" s="298"/>
      <c r="ER52" s="116"/>
    </row>
    <row r="53" spans="2:156" ht="12.75" hidden="1" customHeight="1" outlineLevel="1">
      <c r="B53" s="22" t="s">
        <v>845</v>
      </c>
      <c r="C53" s="16"/>
      <c r="D53" s="308"/>
      <c r="E53" s="308"/>
      <c r="F53" s="308"/>
      <c r="G53" s="308"/>
      <c r="H53" s="16"/>
      <c r="I53" s="308"/>
      <c r="J53" s="308"/>
      <c r="K53" s="308"/>
      <c r="L53" s="308"/>
      <c r="M53" s="16"/>
      <c r="N53" s="308"/>
      <c r="O53" s="308"/>
      <c r="P53" s="308"/>
      <c r="Q53" s="308"/>
      <c r="R53" s="16"/>
      <c r="S53" s="308"/>
      <c r="T53" s="308"/>
      <c r="U53" s="308"/>
      <c r="V53" s="308"/>
      <c r="W53" s="16"/>
      <c r="X53" s="308"/>
      <c r="Y53" s="308"/>
      <c r="Z53" s="308"/>
      <c r="AA53" s="308"/>
      <c r="AB53" s="16"/>
      <c r="AC53" s="308"/>
      <c r="AD53" s="308"/>
      <c r="AE53" s="308"/>
      <c r="AF53" s="308"/>
      <c r="AG53" s="16"/>
      <c r="AH53" s="308"/>
      <c r="AI53" s="308"/>
      <c r="AJ53" s="308"/>
      <c r="AK53" s="308"/>
      <c r="AL53" s="16"/>
      <c r="AM53" s="308"/>
      <c r="AN53" s="308"/>
      <c r="AO53" s="308"/>
      <c r="AP53" s="308"/>
      <c r="AQ53" s="16"/>
      <c r="AR53" s="308"/>
      <c r="AS53" s="308"/>
      <c r="AT53" s="308"/>
      <c r="AU53" s="308"/>
      <c r="AV53" s="16"/>
      <c r="AW53" s="308"/>
      <c r="AX53" s="308"/>
      <c r="AY53" s="308"/>
      <c r="AZ53" s="308"/>
      <c r="BA53" s="16"/>
      <c r="BB53" s="308"/>
      <c r="BC53" s="308"/>
      <c r="BD53" s="308"/>
      <c r="BE53" s="308"/>
      <c r="BF53" s="16"/>
      <c r="BG53" s="298"/>
      <c r="BH53" s="298"/>
      <c r="BI53" s="298"/>
      <c r="BJ53" s="298"/>
      <c r="BK53" s="116"/>
      <c r="BL53" s="298"/>
      <c r="BM53" s="298"/>
      <c r="BN53" s="298"/>
      <c r="BO53" s="299"/>
      <c r="BP53" s="116"/>
      <c r="BQ53" s="299"/>
      <c r="BR53" s="299"/>
      <c r="BS53" s="299"/>
      <c r="BT53" s="299"/>
      <c r="BU53" s="116"/>
      <c r="BV53" s="298">
        <v>-368</v>
      </c>
      <c r="BW53" s="298"/>
      <c r="BX53" s="298">
        <v>-5</v>
      </c>
      <c r="BY53" s="299"/>
      <c r="BZ53" s="696">
        <f t="shared" ref="BZ53:BZ55" si="58">SUM(BV53:BY53)</f>
        <v>-373</v>
      </c>
      <c r="CA53" s="299"/>
      <c r="CB53" s="711"/>
      <c r="CC53" s="711"/>
      <c r="CD53" s="711"/>
      <c r="CE53" s="116">
        <f t="shared" si="57"/>
        <v>0</v>
      </c>
      <c r="CF53" s="298"/>
      <c r="CG53" s="298"/>
      <c r="CH53" s="298"/>
      <c r="CI53" s="298"/>
      <c r="CJ53" s="116"/>
      <c r="CK53" s="298"/>
      <c r="CL53" s="298"/>
      <c r="CM53" s="298"/>
      <c r="CN53" s="298"/>
      <c r="CO53" s="116"/>
      <c r="CP53" s="298"/>
      <c r="CQ53" s="298"/>
      <c r="CR53" s="298"/>
      <c r="CS53" s="298"/>
      <c r="CT53" s="116"/>
      <c r="CU53" s="298"/>
      <c r="CV53" s="298"/>
      <c r="CW53" s="298"/>
      <c r="CX53" s="298"/>
      <c r="CY53" s="116"/>
      <c r="CZ53" s="298"/>
      <c r="DA53" s="298"/>
      <c r="DB53" s="298"/>
      <c r="DC53" s="298"/>
      <c r="DD53" s="116"/>
      <c r="DE53" s="298"/>
      <c r="DF53" s="298"/>
      <c r="DG53" s="298"/>
      <c r="DH53" s="298"/>
      <c r="DI53" s="116"/>
      <c r="DJ53" s="298"/>
      <c r="DK53" s="298"/>
      <c r="DL53" s="298"/>
      <c r="DM53" s="298"/>
      <c r="DN53" s="116"/>
      <c r="DO53" s="298"/>
      <c r="DP53" s="298"/>
      <c r="DQ53" s="298"/>
      <c r="DR53" s="298"/>
      <c r="DS53" s="116"/>
      <c r="DT53" s="298"/>
      <c r="DU53" s="298"/>
      <c r="DV53" s="298"/>
      <c r="DW53" s="298"/>
      <c r="DX53" s="116"/>
      <c r="DY53" s="298"/>
      <c r="DZ53" s="298"/>
      <c r="EA53" s="298"/>
      <c r="EB53" s="298"/>
      <c r="EC53" s="116"/>
      <c r="ED53" s="298"/>
      <c r="EE53" s="298"/>
      <c r="EF53" s="298"/>
      <c r="EG53" s="298"/>
      <c r="EH53" s="116"/>
      <c r="EI53" s="298"/>
      <c r="EJ53" s="298"/>
      <c r="EK53" s="298"/>
      <c r="EL53" s="298"/>
      <c r="EM53" s="116"/>
      <c r="EN53" s="298"/>
      <c r="EO53" s="298"/>
      <c r="EP53" s="298"/>
      <c r="EQ53" s="298"/>
      <c r="ER53" s="116"/>
    </row>
    <row r="54" spans="2:156" ht="12.75" hidden="1" customHeight="1" outlineLevel="1">
      <c r="B54" s="22" t="s">
        <v>846</v>
      </c>
      <c r="C54" s="16"/>
      <c r="D54" s="308"/>
      <c r="E54" s="308"/>
      <c r="F54" s="308"/>
      <c r="G54" s="308"/>
      <c r="H54" s="16"/>
      <c r="I54" s="308"/>
      <c r="J54" s="308"/>
      <c r="K54" s="308"/>
      <c r="L54" s="308"/>
      <c r="M54" s="16"/>
      <c r="N54" s="308"/>
      <c r="O54" s="308"/>
      <c r="P54" s="308"/>
      <c r="Q54" s="308"/>
      <c r="R54" s="16"/>
      <c r="S54" s="308"/>
      <c r="T54" s="308"/>
      <c r="U54" s="308"/>
      <c r="V54" s="308"/>
      <c r="W54" s="16"/>
      <c r="X54" s="308"/>
      <c r="Y54" s="308"/>
      <c r="Z54" s="308"/>
      <c r="AA54" s="308"/>
      <c r="AB54" s="16"/>
      <c r="AC54" s="308"/>
      <c r="AD54" s="308"/>
      <c r="AE54" s="308"/>
      <c r="AF54" s="308"/>
      <c r="AG54" s="16"/>
      <c r="AH54" s="308"/>
      <c r="AI54" s="308"/>
      <c r="AJ54" s="308"/>
      <c r="AK54" s="308"/>
      <c r="AL54" s="16"/>
      <c r="AM54" s="308"/>
      <c r="AN54" s="308"/>
      <c r="AO54" s="308"/>
      <c r="AP54" s="308"/>
      <c r="AQ54" s="16"/>
      <c r="AR54" s="308"/>
      <c r="AS54" s="308"/>
      <c r="AT54" s="308"/>
      <c r="AU54" s="308"/>
      <c r="AV54" s="16"/>
      <c r="AW54" s="308"/>
      <c r="AX54" s="308"/>
      <c r="AY54" s="308"/>
      <c r="AZ54" s="308"/>
      <c r="BA54" s="16"/>
      <c r="BB54" s="308"/>
      <c r="BC54" s="308"/>
      <c r="BD54" s="308"/>
      <c r="BE54" s="308"/>
      <c r="BF54" s="16"/>
      <c r="BG54" s="298"/>
      <c r="BH54" s="298"/>
      <c r="BI54" s="298"/>
      <c r="BJ54" s="298"/>
      <c r="BK54" s="116"/>
      <c r="BL54" s="298"/>
      <c r="BM54" s="298"/>
      <c r="BN54" s="298"/>
      <c r="BO54" s="299"/>
      <c r="BP54" s="116"/>
      <c r="BQ54" s="299"/>
      <c r="BR54" s="299"/>
      <c r="BS54" s="299"/>
      <c r="BT54" s="299"/>
      <c r="BU54" s="116"/>
      <c r="BV54" s="298">
        <v>-114</v>
      </c>
      <c r="BW54" s="298">
        <v>-400</v>
      </c>
      <c r="BX54" s="298">
        <v>-117</v>
      </c>
      <c r="BY54" s="299">
        <v>-201</v>
      </c>
      <c r="BZ54" s="696">
        <f t="shared" si="58"/>
        <v>-832</v>
      </c>
      <c r="CA54" s="299"/>
      <c r="CB54" s="711"/>
      <c r="CC54" s="711"/>
      <c r="CD54" s="711"/>
      <c r="CE54" s="116">
        <f t="shared" si="57"/>
        <v>0</v>
      </c>
      <c r="CF54" s="298"/>
      <c r="CG54" s="298"/>
      <c r="CH54" s="298"/>
      <c r="CI54" s="298"/>
      <c r="CJ54" s="116"/>
      <c r="CK54" s="298"/>
      <c r="CL54" s="298"/>
      <c r="CM54" s="298"/>
      <c r="CN54" s="298"/>
      <c r="CO54" s="116"/>
      <c r="CP54" s="298"/>
      <c r="CQ54" s="298"/>
      <c r="CR54" s="298"/>
      <c r="CS54" s="298"/>
      <c r="CT54" s="116"/>
      <c r="CU54" s="298"/>
      <c r="CV54" s="298"/>
      <c r="CW54" s="298"/>
      <c r="CX54" s="298"/>
      <c r="CY54" s="116"/>
      <c r="CZ54" s="298"/>
      <c r="DA54" s="298"/>
      <c r="DB54" s="298"/>
      <c r="DC54" s="298"/>
      <c r="DD54" s="116"/>
      <c r="DE54" s="298"/>
      <c r="DF54" s="298"/>
      <c r="DG54" s="298"/>
      <c r="DH54" s="298"/>
      <c r="DI54" s="116"/>
      <c r="DJ54" s="298"/>
      <c r="DK54" s="298"/>
      <c r="DL54" s="298"/>
      <c r="DM54" s="298"/>
      <c r="DN54" s="116"/>
      <c r="DO54" s="298"/>
      <c r="DP54" s="298"/>
      <c r="DQ54" s="298"/>
      <c r="DR54" s="298"/>
      <c r="DS54" s="116"/>
      <c r="DT54" s="298"/>
      <c r="DU54" s="298"/>
      <c r="DV54" s="298"/>
      <c r="DW54" s="298"/>
      <c r="DX54" s="116"/>
      <c r="DY54" s="298"/>
      <c r="DZ54" s="298"/>
      <c r="EA54" s="298"/>
      <c r="EB54" s="298"/>
      <c r="EC54" s="116"/>
      <c r="ED54" s="298"/>
      <c r="EE54" s="298"/>
      <c r="EF54" s="298"/>
      <c r="EG54" s="298"/>
      <c r="EH54" s="116"/>
      <c r="EI54" s="298"/>
      <c r="EJ54" s="298"/>
      <c r="EK54" s="298"/>
      <c r="EL54" s="298"/>
      <c r="EM54" s="116"/>
      <c r="EN54" s="298"/>
      <c r="EO54" s="298"/>
      <c r="EP54" s="298"/>
      <c r="EQ54" s="298"/>
      <c r="ER54" s="116"/>
    </row>
    <row r="55" spans="2:156" ht="12.75" hidden="1" customHeight="1" outlineLevel="1">
      <c r="B55" s="22" t="s">
        <v>68</v>
      </c>
      <c r="C55" s="16"/>
      <c r="D55" s="308"/>
      <c r="E55" s="308"/>
      <c r="F55" s="308"/>
      <c r="G55" s="308"/>
      <c r="H55" s="16"/>
      <c r="I55" s="308"/>
      <c r="J55" s="308"/>
      <c r="K55" s="308"/>
      <c r="L55" s="308"/>
      <c r="M55" s="16"/>
      <c r="N55" s="308"/>
      <c r="O55" s="308"/>
      <c r="P55" s="308"/>
      <c r="Q55" s="308"/>
      <c r="R55" s="16"/>
      <c r="S55" s="308"/>
      <c r="T55" s="308"/>
      <c r="U55" s="308"/>
      <c r="V55" s="308"/>
      <c r="W55" s="16"/>
      <c r="X55" s="308"/>
      <c r="Y55" s="308"/>
      <c r="Z55" s="308"/>
      <c r="AA55" s="308"/>
      <c r="AB55" s="16"/>
      <c r="AC55" s="308"/>
      <c r="AD55" s="308"/>
      <c r="AE55" s="308"/>
      <c r="AF55" s="308"/>
      <c r="AG55" s="16"/>
      <c r="AH55" s="308"/>
      <c r="AI55" s="308"/>
      <c r="AJ55" s="308"/>
      <c r="AK55" s="308"/>
      <c r="AL55" s="16"/>
      <c r="AM55" s="308"/>
      <c r="AN55" s="308"/>
      <c r="AO55" s="308"/>
      <c r="AP55" s="308"/>
      <c r="AQ55" s="16"/>
      <c r="AR55" s="308"/>
      <c r="AS55" s="308"/>
      <c r="AT55" s="308"/>
      <c r="AU55" s="308"/>
      <c r="AV55" s="16"/>
      <c r="AW55" s="308"/>
      <c r="AX55" s="308"/>
      <c r="AY55" s="308"/>
      <c r="AZ55" s="308"/>
      <c r="BA55" s="16"/>
      <c r="BB55" s="308"/>
      <c r="BC55" s="308"/>
      <c r="BD55" s="308"/>
      <c r="BE55" s="308"/>
      <c r="BF55" s="16"/>
      <c r="BG55" s="298"/>
      <c r="BH55" s="298"/>
      <c r="BI55" s="298"/>
      <c r="BJ55" s="298"/>
      <c r="BK55" s="116"/>
      <c r="BL55" s="298"/>
      <c r="BM55" s="298"/>
      <c r="BN55" s="298"/>
      <c r="BO55" s="299"/>
      <c r="BP55" s="116"/>
      <c r="BQ55" s="299"/>
      <c r="BR55" s="299"/>
      <c r="BS55" s="299">
        <v>14</v>
      </c>
      <c r="BT55" s="299">
        <v>67</v>
      </c>
      <c r="BU55" s="116">
        <f>SUM(BQ55:BT55)</f>
        <v>81</v>
      </c>
      <c r="BV55" s="298">
        <v>27</v>
      </c>
      <c r="BW55" s="298"/>
      <c r="BX55" s="298">
        <v>6</v>
      </c>
      <c r="BY55" s="299">
        <v>-1</v>
      </c>
      <c r="BZ55" s="696">
        <f t="shared" si="58"/>
        <v>32</v>
      </c>
      <c r="CA55" s="299"/>
      <c r="CB55" s="711">
        <v>-5</v>
      </c>
      <c r="CC55" s="711">
        <v>9</v>
      </c>
      <c r="CD55" s="996">
        <v>15</v>
      </c>
      <c r="CE55" s="116">
        <f t="shared" si="57"/>
        <v>19</v>
      </c>
      <c r="CF55" s="298"/>
      <c r="CG55" s="298"/>
      <c r="CH55" s="298"/>
      <c r="CI55" s="298"/>
      <c r="CJ55" s="116"/>
      <c r="CK55" s="298"/>
      <c r="CL55" s="298"/>
      <c r="CM55" s="298"/>
      <c r="CN55" s="298"/>
      <c r="CO55" s="116"/>
      <c r="CP55" s="298"/>
      <c r="CQ55" s="298"/>
      <c r="CR55" s="298"/>
      <c r="CS55" s="298"/>
      <c r="CT55" s="116"/>
      <c r="CU55" s="298"/>
      <c r="CV55" s="298"/>
      <c r="CW55" s="298"/>
      <c r="CX55" s="298"/>
      <c r="CY55" s="116"/>
      <c r="CZ55" s="298"/>
      <c r="DA55" s="298"/>
      <c r="DB55" s="298"/>
      <c r="DC55" s="298"/>
      <c r="DD55" s="116"/>
      <c r="DE55" s="298"/>
      <c r="DF55" s="298"/>
      <c r="DG55" s="298"/>
      <c r="DH55" s="298"/>
      <c r="DI55" s="116"/>
      <c r="DJ55" s="298"/>
      <c r="DK55" s="298"/>
      <c r="DL55" s="298"/>
      <c r="DM55" s="298"/>
      <c r="DN55" s="116"/>
      <c r="DO55" s="298"/>
      <c r="DP55" s="298"/>
      <c r="DQ55" s="298"/>
      <c r="DR55" s="298"/>
      <c r="DS55" s="116"/>
      <c r="DT55" s="298"/>
      <c r="DU55" s="298"/>
      <c r="DV55" s="298"/>
      <c r="DW55" s="298"/>
      <c r="DX55" s="116"/>
      <c r="DY55" s="298"/>
      <c r="DZ55" s="298"/>
      <c r="EA55" s="298"/>
      <c r="EB55" s="298"/>
      <c r="EC55" s="116"/>
      <c r="ED55" s="298"/>
      <c r="EE55" s="298"/>
      <c r="EF55" s="298"/>
      <c r="EG55" s="298"/>
      <c r="EH55" s="116"/>
      <c r="EI55" s="298"/>
      <c r="EJ55" s="298"/>
      <c r="EK55" s="298"/>
      <c r="EL55" s="298"/>
      <c r="EM55" s="116"/>
      <c r="EN55" s="298"/>
      <c r="EO55" s="298"/>
      <c r="EP55" s="298"/>
      <c r="EQ55" s="298"/>
      <c r="ER55" s="116"/>
    </row>
    <row r="56" spans="2:156" ht="12.75" hidden="1" customHeight="1" outlineLevel="1">
      <c r="B56" s="22"/>
      <c r="C56" s="16"/>
      <c r="D56" s="308"/>
      <c r="E56" s="308"/>
      <c r="F56" s="308"/>
      <c r="G56" s="308"/>
      <c r="H56" s="16"/>
      <c r="I56" s="308"/>
      <c r="J56" s="308"/>
      <c r="K56" s="308"/>
      <c r="L56" s="308"/>
      <c r="M56" s="16"/>
      <c r="N56" s="308"/>
      <c r="O56" s="308"/>
      <c r="P56" s="308"/>
      <c r="Q56" s="308"/>
      <c r="R56" s="16"/>
      <c r="S56" s="308"/>
      <c r="T56" s="308"/>
      <c r="U56" s="308"/>
      <c r="V56" s="308"/>
      <c r="W56" s="16"/>
      <c r="X56" s="308"/>
      <c r="Y56" s="308"/>
      <c r="Z56" s="308"/>
      <c r="AA56" s="308"/>
      <c r="AB56" s="16"/>
      <c r="AC56" s="308"/>
      <c r="AD56" s="308"/>
      <c r="AE56" s="308"/>
      <c r="AF56" s="308"/>
      <c r="AG56" s="16"/>
      <c r="AH56" s="308"/>
      <c r="AI56" s="308"/>
      <c r="AJ56" s="308"/>
      <c r="AK56" s="308"/>
      <c r="AL56" s="16"/>
      <c r="AM56" s="308"/>
      <c r="AN56" s="308"/>
      <c r="AO56" s="308"/>
      <c r="AP56" s="308"/>
      <c r="AQ56" s="16"/>
      <c r="AR56" s="308"/>
      <c r="AS56" s="308"/>
      <c r="AT56" s="308"/>
      <c r="AU56" s="308"/>
      <c r="AV56" s="16"/>
      <c r="AW56" s="308"/>
      <c r="AX56" s="308"/>
      <c r="AY56" s="308"/>
      <c r="AZ56" s="308"/>
      <c r="BA56" s="16"/>
      <c r="BB56" s="308"/>
      <c r="BC56" s="308"/>
      <c r="BD56" s="308"/>
      <c r="BE56" s="308"/>
      <c r="BF56" s="16"/>
      <c r="BG56" s="298"/>
      <c r="BH56" s="298"/>
      <c r="BI56" s="298"/>
      <c r="BJ56" s="298"/>
      <c r="BK56" s="116"/>
      <c r="BL56" s="298"/>
      <c r="BM56" s="298"/>
      <c r="BN56" s="298"/>
      <c r="BO56" s="298"/>
      <c r="BP56" s="116"/>
      <c r="BQ56" s="298"/>
      <c r="BR56" s="298"/>
      <c r="BS56" s="299"/>
      <c r="BT56" s="298"/>
      <c r="BU56" s="116"/>
      <c r="BV56" s="298"/>
      <c r="BW56" s="298"/>
      <c r="BX56" s="298"/>
      <c r="BY56" s="298"/>
      <c r="BZ56" s="116"/>
      <c r="CA56" s="711"/>
      <c r="CB56" s="711"/>
      <c r="CC56" s="711"/>
      <c r="CD56" s="711"/>
      <c r="CE56" s="116"/>
      <c r="CF56" s="298"/>
      <c r="CG56" s="298"/>
      <c r="CH56" s="298"/>
      <c r="CI56" s="298"/>
      <c r="CJ56" s="116"/>
      <c r="CK56" s="298"/>
      <c r="CL56" s="298"/>
      <c r="CM56" s="298"/>
      <c r="CN56" s="298"/>
      <c r="CO56" s="116"/>
      <c r="CP56" s="298"/>
      <c r="CQ56" s="298"/>
      <c r="CR56" s="298"/>
      <c r="CS56" s="298"/>
      <c r="CT56" s="116"/>
      <c r="CU56" s="298"/>
      <c r="CV56" s="298"/>
      <c r="CW56" s="298"/>
      <c r="CX56" s="298"/>
      <c r="CY56" s="116"/>
      <c r="CZ56" s="298"/>
      <c r="DA56" s="298"/>
      <c r="DB56" s="298"/>
      <c r="DC56" s="298"/>
      <c r="DD56" s="116"/>
      <c r="DE56" s="298"/>
      <c r="DF56" s="298"/>
      <c r="DG56" s="298"/>
      <c r="DH56" s="298"/>
      <c r="DI56" s="116"/>
      <c r="DJ56" s="298"/>
      <c r="DK56" s="298"/>
      <c r="DL56" s="298"/>
      <c r="DM56" s="298"/>
      <c r="DN56" s="116"/>
      <c r="DO56" s="298"/>
      <c r="DP56" s="298"/>
      <c r="DQ56" s="298"/>
      <c r="DR56" s="298"/>
      <c r="DS56" s="116"/>
      <c r="DT56" s="298"/>
      <c r="DU56" s="298"/>
      <c r="DV56" s="298"/>
      <c r="DW56" s="298"/>
      <c r="DX56" s="116"/>
      <c r="DY56" s="298"/>
      <c r="DZ56" s="298"/>
      <c r="EA56" s="298"/>
      <c r="EB56" s="298"/>
      <c r="EC56" s="116"/>
      <c r="ED56" s="298"/>
      <c r="EE56" s="298"/>
      <c r="EF56" s="298"/>
      <c r="EG56" s="298"/>
      <c r="EH56" s="116"/>
      <c r="EI56" s="298"/>
      <c r="EJ56" s="298"/>
      <c r="EK56" s="298"/>
      <c r="EL56" s="298"/>
      <c r="EM56" s="116"/>
      <c r="EN56" s="298"/>
      <c r="EO56" s="298"/>
      <c r="EP56" s="298"/>
      <c r="EQ56" s="298"/>
      <c r="ER56" s="116"/>
    </row>
    <row r="57" spans="2:156" ht="12.75" hidden="1" customHeight="1" outlineLevel="1">
      <c r="B57" s="21" t="s">
        <v>103</v>
      </c>
      <c r="C57" s="16"/>
      <c r="D57" s="308"/>
      <c r="E57" s="308"/>
      <c r="F57" s="308"/>
      <c r="G57" s="308"/>
      <c r="H57" s="16">
        <f>SUM(D57:G57)</f>
        <v>0</v>
      </c>
      <c r="I57" s="308"/>
      <c r="J57" s="308"/>
      <c r="K57" s="308"/>
      <c r="L57" s="308"/>
      <c r="M57" s="16">
        <f>SUM(I57:L57)</f>
        <v>0</v>
      </c>
      <c r="N57" s="308"/>
      <c r="O57" s="308"/>
      <c r="P57" s="308"/>
      <c r="Q57" s="308"/>
      <c r="R57" s="16">
        <f>SUM(N57:Q57)</f>
        <v>0</v>
      </c>
      <c r="S57" s="308"/>
      <c r="T57" s="308"/>
      <c r="U57" s="308"/>
      <c r="V57" s="308"/>
      <c r="W57" s="16">
        <f>SUM(S57:V57)</f>
        <v>0</v>
      </c>
      <c r="X57" s="308"/>
      <c r="Y57" s="308"/>
      <c r="Z57" s="308"/>
      <c r="AA57" s="308"/>
      <c r="AB57" s="16">
        <f>SUM(X57:AA57)</f>
        <v>0</v>
      </c>
      <c r="AC57" s="308"/>
      <c r="AD57" s="308"/>
      <c r="AE57" s="308"/>
      <c r="AF57" s="308"/>
      <c r="AG57" s="16">
        <f>SUM(AC57:AF57)</f>
        <v>0</v>
      </c>
      <c r="AH57" s="308"/>
      <c r="AI57" s="308"/>
      <c r="AJ57" s="308"/>
      <c r="AK57" s="308"/>
      <c r="AL57" s="16">
        <f>SUM(AH57:AK57)</f>
        <v>0</v>
      </c>
      <c r="AM57" s="308"/>
      <c r="AN57" s="308"/>
      <c r="AO57" s="308"/>
      <c r="AP57" s="308"/>
      <c r="AQ57" s="16"/>
      <c r="AR57" s="308"/>
      <c r="AS57" s="308"/>
      <c r="AT57" s="308"/>
      <c r="AU57" s="308"/>
      <c r="AV57" s="16"/>
      <c r="AW57" s="308"/>
      <c r="AX57" s="308"/>
      <c r="AY57" s="308"/>
      <c r="AZ57" s="308"/>
      <c r="BA57" s="16"/>
      <c r="BB57" s="308"/>
      <c r="BC57" s="308"/>
      <c r="BD57" s="308"/>
      <c r="BE57" s="308"/>
      <c r="BF57" s="16"/>
      <c r="BG57" s="298"/>
      <c r="BH57" s="298"/>
      <c r="BI57" s="298">
        <f>SUM(BI58:BI61)</f>
        <v>-30.018999999999995</v>
      </c>
      <c r="BJ57" s="298">
        <f>SUM(BJ58:BJ61)</f>
        <v>-42.318999999999996</v>
      </c>
      <c r="BK57" s="116">
        <f>SUM(BG57:BJ57)</f>
        <v>-72.337999999999994</v>
      </c>
      <c r="BL57" s="298">
        <f>SUM(BL58:BL61)</f>
        <v>-48.018000000000001</v>
      </c>
      <c r="BM57" s="298">
        <f>SUM(BM58:BM61)</f>
        <v>-44.325000000000003</v>
      </c>
      <c r="BN57" s="298">
        <f>SUM(BN58:BN61)</f>
        <v>-56.585999999999999</v>
      </c>
      <c r="BO57" s="298">
        <f>SUM(BO58:BO62)</f>
        <v>-77</v>
      </c>
      <c r="BP57" s="116">
        <f>SUM(BP58:BP62)</f>
        <v>-225.92900000000003</v>
      </c>
      <c r="BQ57" s="298">
        <f>SUM(BQ58:BQ62)</f>
        <v>-45</v>
      </c>
      <c r="BR57" s="298">
        <f>SUM(BR58:BR62)</f>
        <v>-51</v>
      </c>
      <c r="BS57" s="299">
        <f t="shared" ref="BS57:BY57" si="59">SUM(BS58:BS63)</f>
        <v>-53</v>
      </c>
      <c r="BT57" s="299">
        <f t="shared" si="59"/>
        <v>-53</v>
      </c>
      <c r="BU57" s="116">
        <f t="shared" si="59"/>
        <v>-202</v>
      </c>
      <c r="BV57" s="299">
        <f t="shared" si="59"/>
        <v>-47</v>
      </c>
      <c r="BW57" s="299">
        <f t="shared" si="59"/>
        <v>-52</v>
      </c>
      <c r="BX57" s="299">
        <f t="shared" si="59"/>
        <v>-51</v>
      </c>
      <c r="BY57" s="299">
        <f t="shared" si="59"/>
        <v>-54</v>
      </c>
      <c r="BZ57" s="696">
        <f>SUM(BV57:BY57)</f>
        <v>-204</v>
      </c>
      <c r="CA57" s="299">
        <f t="shared" ref="CA57:CE57" si="60">SUM(CA58:CA63)</f>
        <v>-43</v>
      </c>
      <c r="CB57" s="299">
        <f t="shared" si="60"/>
        <v>-70</v>
      </c>
      <c r="CC57" s="299">
        <f t="shared" si="60"/>
        <v>-73</v>
      </c>
      <c r="CD57" s="711">
        <f t="shared" si="60"/>
        <v>-329</v>
      </c>
      <c r="CE57" s="116">
        <f t="shared" si="60"/>
        <v>-515</v>
      </c>
      <c r="CF57" s="711">
        <f>SUM(CF58:CF59)</f>
        <v>-108.075</v>
      </c>
      <c r="CG57" s="711">
        <f t="shared" ref="CG57:CI57" si="61">SUM(CG58:CG59)</f>
        <v>-108.075</v>
      </c>
      <c r="CH57" s="711">
        <f t="shared" si="61"/>
        <v>-108.075</v>
      </c>
      <c r="CI57" s="711">
        <f t="shared" si="61"/>
        <v>-108.07499999999999</v>
      </c>
      <c r="CJ57" s="116">
        <f>+CJ58</f>
        <v>-432.3</v>
      </c>
      <c r="CK57" s="298"/>
      <c r="CL57" s="298"/>
      <c r="CM57" s="298"/>
      <c r="CN57" s="298"/>
      <c r="CO57" s="116">
        <f>+CO58</f>
        <v>-475.53000000000003</v>
      </c>
      <c r="CP57" s="298"/>
      <c r="CQ57" s="298"/>
      <c r="CR57" s="298"/>
      <c r="CS57" s="298"/>
      <c r="CT57" s="116">
        <f>+CT58</f>
        <v>-523.08300000000008</v>
      </c>
      <c r="CU57" s="298"/>
      <c r="CV57" s="298"/>
      <c r="CW57" s="298"/>
      <c r="CX57" s="298"/>
      <c r="CY57" s="116">
        <f>+CY58</f>
        <v>-575.39130000000011</v>
      </c>
      <c r="CZ57" s="298"/>
      <c r="DA57" s="298"/>
      <c r="DB57" s="298"/>
      <c r="DC57" s="298"/>
      <c r="DD57" s="116">
        <f>+DD58</f>
        <v>-632.93043000000023</v>
      </c>
      <c r="DE57" s="298"/>
      <c r="DF57" s="298"/>
      <c r="DG57" s="298"/>
      <c r="DH57" s="298"/>
      <c r="DI57" s="116">
        <f>+DI58</f>
        <v>-696.22347300000035</v>
      </c>
      <c r="DJ57" s="298"/>
      <c r="DK57" s="298"/>
      <c r="DL57" s="298"/>
      <c r="DM57" s="298"/>
      <c r="DN57" s="116">
        <f>+DN58</f>
        <v>-765.84582030000047</v>
      </c>
      <c r="DO57" s="298"/>
      <c r="DP57" s="298"/>
      <c r="DQ57" s="298"/>
      <c r="DR57" s="298"/>
      <c r="DS57" s="116">
        <f>+DS58</f>
        <v>-842.43040233000056</v>
      </c>
      <c r="DT57" s="298"/>
      <c r="DU57" s="298"/>
      <c r="DV57" s="298"/>
      <c r="DW57" s="298"/>
      <c r="DX57" s="116">
        <f>+DX58</f>
        <v>-926.67344256300066</v>
      </c>
      <c r="DY57" s="298"/>
      <c r="DZ57" s="298"/>
      <c r="EA57" s="298"/>
      <c r="EB57" s="298"/>
      <c r="EC57" s="116">
        <f>+EC58</f>
        <v>-1019.3407868193008</v>
      </c>
      <c r="ED57" s="298"/>
      <c r="EE57" s="298"/>
      <c r="EF57" s="298"/>
      <c r="EG57" s="298"/>
      <c r="EH57" s="116">
        <f>+EH58</f>
        <v>-1121.274865501231</v>
      </c>
      <c r="EI57" s="298"/>
      <c r="EJ57" s="298"/>
      <c r="EK57" s="298"/>
      <c r="EL57" s="298"/>
      <c r="EM57" s="116">
        <f>+EM58</f>
        <v>-1233.4023520513542</v>
      </c>
      <c r="EN57" s="298"/>
      <c r="EO57" s="298"/>
      <c r="EP57" s="298"/>
      <c r="EQ57" s="298"/>
      <c r="ER57" s="116">
        <f>+ER58</f>
        <v>-1356.7425872564897</v>
      </c>
    </row>
    <row r="58" spans="2:156" ht="12.75" hidden="1" customHeight="1" outlineLevel="1">
      <c r="B58" s="22" t="s">
        <v>154</v>
      </c>
      <c r="C58" s="16"/>
      <c r="D58" s="308"/>
      <c r="E58" s="308"/>
      <c r="F58" s="308"/>
      <c r="G58" s="308"/>
      <c r="H58" s="16">
        <f>SUM(D58:G58)</f>
        <v>0</v>
      </c>
      <c r="I58" s="308"/>
      <c r="J58" s="308"/>
      <c r="K58" s="308"/>
      <c r="L58" s="308"/>
      <c r="M58" s="16">
        <f>SUM(I58:L58)</f>
        <v>0</v>
      </c>
      <c r="N58" s="308"/>
      <c r="O58" s="308"/>
      <c r="P58" s="308"/>
      <c r="Q58" s="308"/>
      <c r="R58" s="16">
        <f>SUM(N58:Q58)</f>
        <v>0</v>
      </c>
      <c r="S58" s="308"/>
      <c r="T58" s="308"/>
      <c r="U58" s="308"/>
      <c r="V58" s="308"/>
      <c r="W58" s="16">
        <f>SUM(S58:V58)</f>
        <v>0</v>
      </c>
      <c r="X58" s="308"/>
      <c r="Y58" s="308"/>
      <c r="Z58" s="308"/>
      <c r="AA58" s="308"/>
      <c r="AB58" s="16">
        <f>SUM(X58:AA58)</f>
        <v>0</v>
      </c>
      <c r="AC58" s="308"/>
      <c r="AD58" s="308"/>
      <c r="AE58" s="308"/>
      <c r="AF58" s="308"/>
      <c r="AG58" s="16">
        <f>SUM(AC58:AF58)</f>
        <v>0</v>
      </c>
      <c r="AH58" s="308"/>
      <c r="AI58" s="308"/>
      <c r="AJ58" s="308"/>
      <c r="AK58" s="308"/>
      <c r="AL58" s="16">
        <f>SUM(AH58:AK58)</f>
        <v>0</v>
      </c>
      <c r="AM58" s="308"/>
      <c r="AN58" s="308"/>
      <c r="AO58" s="308"/>
      <c r="AP58" s="308"/>
      <c r="AQ58" s="16"/>
      <c r="AR58" s="308"/>
      <c r="AS58" s="308"/>
      <c r="AT58" s="308"/>
      <c r="AU58" s="308"/>
      <c r="AV58" s="16"/>
      <c r="AW58" s="308"/>
      <c r="AX58" s="308"/>
      <c r="AY58" s="308"/>
      <c r="AZ58" s="308"/>
      <c r="BA58" s="16"/>
      <c r="BB58" s="308"/>
      <c r="BC58" s="308"/>
      <c r="BD58" s="308"/>
      <c r="BE58" s="308"/>
      <c r="BF58" s="16"/>
      <c r="BG58" s="298"/>
      <c r="BH58" s="298"/>
      <c r="BI58" s="298">
        <v>-33.01</v>
      </c>
      <c r="BJ58" s="298">
        <v>-41.893999999999998</v>
      </c>
      <c r="BK58" s="116">
        <f>SUM(BG58:BJ58)</f>
        <v>-74.903999999999996</v>
      </c>
      <c r="BL58" s="298">
        <v>-45.232999999999997</v>
      </c>
      <c r="BM58" s="298">
        <v>-43.935000000000002</v>
      </c>
      <c r="BN58" s="652">
        <v>-56.298000000000002</v>
      </c>
      <c r="BO58" s="298">
        <v>-52</v>
      </c>
      <c r="BP58" s="116">
        <f>SUM(BL58:BO58)</f>
        <v>-197.46600000000001</v>
      </c>
      <c r="BQ58" s="299">
        <v>-47</v>
      </c>
      <c r="BR58" s="299">
        <v>-51</v>
      </c>
      <c r="BS58" s="299">
        <v>-50</v>
      </c>
      <c r="BT58" s="299">
        <v>-50</v>
      </c>
      <c r="BU58" s="116">
        <f t="shared" ref="BU58:BU63" si="62">SUM(BQ58:BT58)</f>
        <v>-198</v>
      </c>
      <c r="BV58" s="298">
        <v>-44</v>
      </c>
      <c r="BW58" s="298">
        <v>-47</v>
      </c>
      <c r="BX58" s="298">
        <v>-47</v>
      </c>
      <c r="BY58" s="298">
        <v>-52</v>
      </c>
      <c r="BZ58" s="696">
        <f>SUM(BV58:BY58)</f>
        <v>-190</v>
      </c>
      <c r="CA58" s="711">
        <v>-43</v>
      </c>
      <c r="CB58" s="711">
        <v>-51</v>
      </c>
      <c r="CC58" s="711">
        <v>-56</v>
      </c>
      <c r="CD58" s="996">
        <v>-243</v>
      </c>
      <c r="CE58" s="116">
        <f>SUM(CA58:CD58)</f>
        <v>-393</v>
      </c>
      <c r="CF58" s="298">
        <f>CJ58/4</f>
        <v>-108.075</v>
      </c>
      <c r="CG58" s="298">
        <f>CJ58/4</f>
        <v>-108.075</v>
      </c>
      <c r="CH58" s="298">
        <f>CJ58/4</f>
        <v>-108.075</v>
      </c>
      <c r="CI58" s="711">
        <f>CJ58-SUM(CF58:CH58)</f>
        <v>-108.07499999999999</v>
      </c>
      <c r="CJ58" s="116">
        <f>CE58*1.1</f>
        <v>-432.3</v>
      </c>
      <c r="CK58" s="298"/>
      <c r="CL58" s="298"/>
      <c r="CM58" s="298"/>
      <c r="CN58" s="298"/>
      <c r="CO58" s="116">
        <f>CJ58*1.1</f>
        <v>-475.53000000000003</v>
      </c>
      <c r="CP58" s="298"/>
      <c r="CQ58" s="298"/>
      <c r="CR58" s="298"/>
      <c r="CS58" s="298"/>
      <c r="CT58" s="116">
        <f>CO58*1.1</f>
        <v>-523.08300000000008</v>
      </c>
      <c r="CU58" s="298"/>
      <c r="CV58" s="298"/>
      <c r="CW58" s="298"/>
      <c r="CX58" s="298"/>
      <c r="CY58" s="116">
        <f>CT58*1.1</f>
        <v>-575.39130000000011</v>
      </c>
      <c r="CZ58" s="298"/>
      <c r="DA58" s="298"/>
      <c r="DB58" s="298"/>
      <c r="DC58" s="298"/>
      <c r="DD58" s="116">
        <f>CY58*1.1</f>
        <v>-632.93043000000023</v>
      </c>
      <c r="DE58" s="298"/>
      <c r="DF58" s="298"/>
      <c r="DG58" s="298"/>
      <c r="DH58" s="298"/>
      <c r="DI58" s="116">
        <f>DD58*1.1</f>
        <v>-696.22347300000035</v>
      </c>
      <c r="DJ58" s="298"/>
      <c r="DK58" s="298"/>
      <c r="DL58" s="298"/>
      <c r="DM58" s="298"/>
      <c r="DN58" s="116">
        <f>DI58*1.1</f>
        <v>-765.84582030000047</v>
      </c>
      <c r="DO58" s="298"/>
      <c r="DP58" s="298"/>
      <c r="DQ58" s="298"/>
      <c r="DR58" s="298"/>
      <c r="DS58" s="116">
        <f>DN58*1.1</f>
        <v>-842.43040233000056</v>
      </c>
      <c r="DT58" s="298"/>
      <c r="DU58" s="298"/>
      <c r="DV58" s="298"/>
      <c r="DW58" s="298"/>
      <c r="DX58" s="116">
        <f>DS58*1.1</f>
        <v>-926.67344256300066</v>
      </c>
      <c r="DY58" s="298"/>
      <c r="DZ58" s="298"/>
      <c r="EA58" s="298"/>
      <c r="EB58" s="298"/>
      <c r="EC58" s="116">
        <f>DX58*1.1</f>
        <v>-1019.3407868193008</v>
      </c>
      <c r="ED58" s="298"/>
      <c r="EE58" s="298"/>
      <c r="EF58" s="298"/>
      <c r="EG58" s="298"/>
      <c r="EH58" s="116">
        <f>EC58*1.1</f>
        <v>-1121.274865501231</v>
      </c>
      <c r="EI58" s="298"/>
      <c r="EJ58" s="298"/>
      <c r="EK58" s="298"/>
      <c r="EL58" s="298"/>
      <c r="EM58" s="116">
        <f>EH58*1.1</f>
        <v>-1233.4023520513542</v>
      </c>
      <c r="EN58" s="298"/>
      <c r="EO58" s="298"/>
      <c r="EP58" s="298"/>
      <c r="EQ58" s="298"/>
      <c r="ER58" s="116">
        <f>EM58*1.1</f>
        <v>-1356.7425872564897</v>
      </c>
    </row>
    <row r="59" spans="2:156" ht="12.75" hidden="1" customHeight="1" outlineLevel="1">
      <c r="B59" s="22" t="s">
        <v>156</v>
      </c>
      <c r="C59" s="16"/>
      <c r="D59" s="308"/>
      <c r="E59" s="308"/>
      <c r="F59" s="308"/>
      <c r="G59" s="308"/>
      <c r="H59" s="16">
        <f>SUM(D59:G59)</f>
        <v>0</v>
      </c>
      <c r="I59" s="308"/>
      <c r="J59" s="308"/>
      <c r="K59" s="308"/>
      <c r="L59" s="308"/>
      <c r="M59" s="16">
        <f>SUM(I59:L59)</f>
        <v>0</v>
      </c>
      <c r="N59" s="308"/>
      <c r="O59" s="308"/>
      <c r="P59" s="308"/>
      <c r="Q59" s="308"/>
      <c r="R59" s="16">
        <f>SUM(N59:Q59)</f>
        <v>0</v>
      </c>
      <c r="S59" s="308"/>
      <c r="T59" s="308"/>
      <c r="U59" s="308"/>
      <c r="V59" s="308"/>
      <c r="W59" s="16">
        <f>SUM(S59:V59)</f>
        <v>0</v>
      </c>
      <c r="X59" s="308"/>
      <c r="Y59" s="308"/>
      <c r="Z59" s="308"/>
      <c r="AA59" s="308"/>
      <c r="AB59" s="16">
        <f>SUM(X59:AA59)</f>
        <v>0</v>
      </c>
      <c r="AC59" s="308"/>
      <c r="AD59" s="308"/>
      <c r="AE59" s="308"/>
      <c r="AF59" s="308"/>
      <c r="AG59" s="16">
        <f>SUM(AC59:AF59)</f>
        <v>0</v>
      </c>
      <c r="AH59" s="308"/>
      <c r="AI59" s="308"/>
      <c r="AJ59" s="308"/>
      <c r="AK59" s="308"/>
      <c r="AL59" s="16">
        <f>SUM(AH59:AK59)</f>
        <v>0</v>
      </c>
      <c r="AM59" s="308"/>
      <c r="AN59" s="308"/>
      <c r="AO59" s="308"/>
      <c r="AP59" s="308"/>
      <c r="AQ59" s="16"/>
      <c r="AR59" s="308"/>
      <c r="AS59" s="308"/>
      <c r="AT59" s="308"/>
      <c r="AU59" s="308"/>
      <c r="AV59" s="16"/>
      <c r="AW59" s="308"/>
      <c r="AX59" s="308"/>
      <c r="AY59" s="308"/>
      <c r="AZ59" s="308"/>
      <c r="BA59" s="16"/>
      <c r="BB59" s="308"/>
      <c r="BC59" s="308"/>
      <c r="BD59" s="308"/>
      <c r="BE59" s="308"/>
      <c r="BF59" s="16"/>
      <c r="BG59" s="298"/>
      <c r="BH59" s="298"/>
      <c r="BI59" s="298">
        <v>2.972</v>
      </c>
      <c r="BJ59" s="298">
        <v>-0.14399999999999999</v>
      </c>
      <c r="BK59" s="116">
        <f>SUM(BG59:BJ59)</f>
        <v>2.8279999999999998</v>
      </c>
      <c r="BL59" s="298">
        <v>-3.0000000000000001E-3</v>
      </c>
      <c r="BM59" s="298">
        <v>-2E-3</v>
      </c>
      <c r="BN59" s="652">
        <v>-3.0000000000000001E-3</v>
      </c>
      <c r="BO59" s="300"/>
      <c r="BP59" s="116">
        <f>SUM(BL59:BO59)</f>
        <v>-8.0000000000000002E-3</v>
      </c>
      <c r="BQ59" s="300">
        <v>2</v>
      </c>
      <c r="BR59" s="308"/>
      <c r="BS59" s="681"/>
      <c r="BT59" s="681"/>
      <c r="BU59" s="116">
        <f t="shared" si="62"/>
        <v>2</v>
      </c>
      <c r="BV59" s="300"/>
      <c r="BW59" s="300"/>
      <c r="BX59" s="300"/>
      <c r="BY59" s="300"/>
      <c r="BZ59" s="16"/>
      <c r="CA59" s="300"/>
      <c r="CB59" s="300"/>
      <c r="CC59" s="300"/>
      <c r="CD59" s="300"/>
      <c r="CE59" s="696">
        <f t="shared" ref="CE59:CE63" si="63">SUM(CA59:CD59)</f>
        <v>0</v>
      </c>
      <c r="CF59" s="308"/>
      <c r="CG59" s="308"/>
      <c r="CH59" s="300"/>
      <c r="CI59" s="300"/>
      <c r="CJ59" s="16"/>
      <c r="CK59" s="308"/>
      <c r="CL59" s="308"/>
      <c r="CM59" s="300"/>
      <c r="CN59" s="300"/>
      <c r="CO59" s="16"/>
      <c r="CP59" s="308"/>
      <c r="CQ59" s="308"/>
      <c r="CR59" s="300"/>
      <c r="CS59" s="300"/>
      <c r="CT59" s="16"/>
      <c r="CU59" s="308"/>
      <c r="CV59" s="308"/>
      <c r="CW59" s="300"/>
      <c r="CX59" s="300"/>
      <c r="CY59" s="16"/>
      <c r="CZ59" s="308"/>
      <c r="DA59" s="308"/>
      <c r="DB59" s="300"/>
      <c r="DC59" s="300"/>
      <c r="DD59" s="16"/>
      <c r="DE59" s="308"/>
      <c r="DF59" s="308"/>
      <c r="DG59" s="300"/>
      <c r="DH59" s="300"/>
      <c r="DI59" s="16"/>
      <c r="DJ59" s="308"/>
      <c r="DK59" s="308"/>
      <c r="DL59" s="300"/>
      <c r="DM59" s="300"/>
      <c r="DN59" s="16"/>
      <c r="DO59" s="308"/>
      <c r="DP59" s="308"/>
      <c r="DQ59" s="300"/>
      <c r="DR59" s="300"/>
      <c r="DS59" s="16"/>
      <c r="DT59" s="308"/>
      <c r="DU59" s="308"/>
      <c r="DV59" s="300"/>
      <c r="DW59" s="300"/>
      <c r="DX59" s="16"/>
      <c r="DY59" s="308"/>
      <c r="DZ59" s="308"/>
      <c r="EA59" s="300"/>
      <c r="EB59" s="300"/>
      <c r="EC59" s="16"/>
      <c r="ED59" s="308"/>
      <c r="EE59" s="308"/>
      <c r="EF59" s="300"/>
      <c r="EG59" s="300"/>
      <c r="EH59" s="16"/>
      <c r="EI59" s="308"/>
      <c r="EJ59" s="308"/>
      <c r="EK59" s="300"/>
      <c r="EL59" s="300"/>
      <c r="EM59" s="16"/>
      <c r="EN59" s="308"/>
      <c r="EO59" s="308"/>
      <c r="EP59" s="300"/>
      <c r="EQ59" s="300"/>
      <c r="ER59" s="16"/>
    </row>
    <row r="60" spans="2:156" ht="12.75" hidden="1" customHeight="1" outlineLevel="1">
      <c r="B60" s="22" t="s">
        <v>157</v>
      </c>
      <c r="C60" s="16"/>
      <c r="D60" s="308"/>
      <c r="E60" s="308"/>
      <c r="F60" s="308"/>
      <c r="G60" s="308"/>
      <c r="H60" s="16">
        <f>SUM(D60:G60)</f>
        <v>0</v>
      </c>
      <c r="I60" s="308"/>
      <c r="J60" s="308"/>
      <c r="K60" s="308"/>
      <c r="L60" s="308"/>
      <c r="M60" s="16">
        <f>SUM(I60:L60)</f>
        <v>0</v>
      </c>
      <c r="N60" s="308"/>
      <c r="O60" s="308"/>
      <c r="P60" s="308"/>
      <c r="Q60" s="308"/>
      <c r="R60" s="16">
        <f>SUM(N60:Q60)</f>
        <v>0</v>
      </c>
      <c r="S60" s="308"/>
      <c r="T60" s="308"/>
      <c r="U60" s="308"/>
      <c r="V60" s="308"/>
      <c r="W60" s="16">
        <f>SUM(S60:V60)</f>
        <v>0</v>
      </c>
      <c r="X60" s="308"/>
      <c r="Y60" s="308"/>
      <c r="Z60" s="308"/>
      <c r="AA60" s="308"/>
      <c r="AB60" s="16">
        <f>SUM(X60:AA60)</f>
        <v>0</v>
      </c>
      <c r="AC60" s="308"/>
      <c r="AD60" s="308"/>
      <c r="AE60" s="308"/>
      <c r="AF60" s="308"/>
      <c r="AG60" s="16">
        <f>SUM(AC60:AF60)</f>
        <v>0</v>
      </c>
      <c r="AH60" s="308"/>
      <c r="AI60" s="308"/>
      <c r="AJ60" s="308"/>
      <c r="AK60" s="308"/>
      <c r="AL60" s="16">
        <f>SUM(AH60:AK60)</f>
        <v>0</v>
      </c>
      <c r="AM60" s="308"/>
      <c r="AN60" s="308"/>
      <c r="AO60" s="308"/>
      <c r="AP60" s="308"/>
      <c r="AQ60" s="16"/>
      <c r="AR60" s="308"/>
      <c r="AS60" s="308"/>
      <c r="AT60" s="308"/>
      <c r="AU60" s="308"/>
      <c r="AV60" s="16"/>
      <c r="AW60" s="308"/>
      <c r="AX60" s="308"/>
      <c r="AY60" s="308"/>
      <c r="AZ60" s="308"/>
      <c r="BA60" s="16"/>
      <c r="BB60" s="308"/>
      <c r="BC60" s="308"/>
      <c r="BD60" s="308"/>
      <c r="BE60" s="308"/>
      <c r="BF60" s="16"/>
      <c r="BG60" s="298"/>
      <c r="BH60" s="298"/>
      <c r="BI60" s="298">
        <v>0.3</v>
      </c>
      <c r="BJ60" s="298"/>
      <c r="BK60" s="116">
        <f>SUM(BG60:BJ60)</f>
        <v>0.3</v>
      </c>
      <c r="BL60" s="298">
        <v>-0.44800000000000001</v>
      </c>
      <c r="BM60" s="298">
        <v>-0.107</v>
      </c>
      <c r="BN60" s="652">
        <v>-4.0000000000000001E-3</v>
      </c>
      <c r="BO60" s="300">
        <v>-1</v>
      </c>
      <c r="BP60" s="116">
        <f>SUM(BL60:BO60)</f>
        <v>-1.5590000000000002</v>
      </c>
      <c r="BQ60" s="308"/>
      <c r="BR60" s="308"/>
      <c r="BS60" s="681"/>
      <c r="BT60" s="681"/>
      <c r="BU60" s="116">
        <f t="shared" si="62"/>
        <v>0</v>
      </c>
      <c r="BV60" s="300"/>
      <c r="BW60" s="300"/>
      <c r="BX60" s="300"/>
      <c r="BY60" s="300"/>
      <c r="BZ60" s="16"/>
      <c r="CA60" s="300"/>
      <c r="CB60" s="300"/>
      <c r="CC60" s="300">
        <v>-12</v>
      </c>
      <c r="CD60" s="998">
        <f>-36-46</f>
        <v>-82</v>
      </c>
      <c r="CE60" s="696">
        <f t="shared" si="63"/>
        <v>-94</v>
      </c>
      <c r="CF60" s="308"/>
      <c r="CG60" s="308"/>
      <c r="CH60" s="300"/>
      <c r="CI60" s="300"/>
      <c r="CJ60" s="16"/>
      <c r="CK60" s="308"/>
      <c r="CL60" s="308"/>
      <c r="CM60" s="300"/>
      <c r="CN60" s="300"/>
      <c r="CO60" s="16"/>
      <c r="CP60" s="308"/>
      <c r="CQ60" s="308"/>
      <c r="CR60" s="300"/>
      <c r="CS60" s="300"/>
      <c r="CT60" s="16"/>
      <c r="CU60" s="308"/>
      <c r="CV60" s="308"/>
      <c r="CW60" s="300"/>
      <c r="CX60" s="300"/>
      <c r="CY60" s="16"/>
      <c r="CZ60" s="308"/>
      <c r="DA60" s="308"/>
      <c r="DB60" s="300"/>
      <c r="DC60" s="300"/>
      <c r="DD60" s="16"/>
      <c r="DE60" s="308"/>
      <c r="DF60" s="308"/>
      <c r="DG60" s="300"/>
      <c r="DH60" s="300"/>
      <c r="DI60" s="16"/>
      <c r="DJ60" s="308"/>
      <c r="DK60" s="308"/>
      <c r="DL60" s="300"/>
      <c r="DM60" s="300"/>
      <c r="DN60" s="16"/>
      <c r="DO60" s="308"/>
      <c r="DP60" s="308"/>
      <c r="DQ60" s="300"/>
      <c r="DR60" s="300"/>
      <c r="DS60" s="16"/>
      <c r="DT60" s="308"/>
      <c r="DU60" s="308"/>
      <c r="DV60" s="300"/>
      <c r="DW60" s="300"/>
      <c r="DX60" s="16"/>
      <c r="DY60" s="308"/>
      <c r="DZ60" s="308"/>
      <c r="EA60" s="300"/>
      <c r="EB60" s="300"/>
      <c r="EC60" s="16"/>
      <c r="ED60" s="308"/>
      <c r="EE60" s="308"/>
      <c r="EF60" s="300"/>
      <c r="EG60" s="300"/>
      <c r="EH60" s="16"/>
      <c r="EI60" s="308"/>
      <c r="EJ60" s="308"/>
      <c r="EK60" s="300"/>
      <c r="EL60" s="300"/>
      <c r="EM60" s="16"/>
      <c r="EN60" s="308"/>
      <c r="EO60" s="308"/>
      <c r="EP60" s="300"/>
      <c r="EQ60" s="300"/>
      <c r="ER60" s="16"/>
    </row>
    <row r="61" spans="2:156" ht="12.75" hidden="1" customHeight="1" outlineLevel="1">
      <c r="B61" s="22" t="s">
        <v>158</v>
      </c>
      <c r="C61" s="16"/>
      <c r="D61" s="308"/>
      <c r="E61" s="308"/>
      <c r="F61" s="308"/>
      <c r="G61" s="308"/>
      <c r="H61" s="16">
        <f>SUM(D61:G61)</f>
        <v>0</v>
      </c>
      <c r="I61" s="308"/>
      <c r="J61" s="308"/>
      <c r="K61" s="308"/>
      <c r="L61" s="308"/>
      <c r="M61" s="16">
        <f>SUM(I61:L61)</f>
        <v>0</v>
      </c>
      <c r="N61" s="308"/>
      <c r="O61" s="308"/>
      <c r="P61" s="308"/>
      <c r="Q61" s="308"/>
      <c r="R61" s="16">
        <f>SUM(N61:Q61)</f>
        <v>0</v>
      </c>
      <c r="S61" s="308"/>
      <c r="T61" s="308"/>
      <c r="U61" s="308"/>
      <c r="V61" s="308"/>
      <c r="W61" s="16">
        <f>SUM(S61:V61)</f>
        <v>0</v>
      </c>
      <c r="X61" s="308"/>
      <c r="Y61" s="308"/>
      <c r="Z61" s="308"/>
      <c r="AA61" s="308"/>
      <c r="AB61" s="16">
        <f>SUM(X61:AA61)</f>
        <v>0</v>
      </c>
      <c r="AC61" s="308"/>
      <c r="AD61" s="308"/>
      <c r="AE61" s="308"/>
      <c r="AF61" s="308"/>
      <c r="AG61" s="16">
        <f>SUM(AC61:AF61)</f>
        <v>0</v>
      </c>
      <c r="AH61" s="308"/>
      <c r="AI61" s="308"/>
      <c r="AJ61" s="308"/>
      <c r="AK61" s="308"/>
      <c r="AL61" s="16">
        <f>SUM(AH61:AK61)</f>
        <v>0</v>
      </c>
      <c r="AM61" s="308"/>
      <c r="AN61" s="308"/>
      <c r="AO61" s="308"/>
      <c r="AP61" s="308"/>
      <c r="AQ61" s="16"/>
      <c r="AR61" s="308"/>
      <c r="AS61" s="308"/>
      <c r="AT61" s="308"/>
      <c r="AU61" s="308"/>
      <c r="AV61" s="16"/>
      <c r="AW61" s="308"/>
      <c r="AX61" s="308"/>
      <c r="AY61" s="308"/>
      <c r="AZ61" s="308"/>
      <c r="BA61" s="16"/>
      <c r="BB61" s="308"/>
      <c r="BC61" s="308"/>
      <c r="BD61" s="308"/>
      <c r="BE61" s="308"/>
      <c r="BF61" s="16"/>
      <c r="BG61" s="298"/>
      <c r="BH61" s="298"/>
      <c r="BI61" s="298">
        <v>-0.28100000000000003</v>
      </c>
      <c r="BJ61" s="298">
        <v>-0.28100000000000003</v>
      </c>
      <c r="BK61" s="116">
        <f>SUM(BG61:BJ61)</f>
        <v>-0.56200000000000006</v>
      </c>
      <c r="BL61" s="298">
        <v>-2.3340000000000001</v>
      </c>
      <c r="BM61" s="298">
        <v>-0.28100000000000003</v>
      </c>
      <c r="BN61" s="652">
        <v>-0.28100000000000003</v>
      </c>
      <c r="BO61" s="300">
        <f>-15</f>
        <v>-15</v>
      </c>
      <c r="BP61" s="116">
        <f>SUM(BL61:BO61)</f>
        <v>-17.896000000000001</v>
      </c>
      <c r="BQ61" s="308"/>
      <c r="BR61" s="308"/>
      <c r="BS61" s="681"/>
      <c r="BT61" s="681"/>
      <c r="BU61" s="116">
        <f t="shared" si="62"/>
        <v>0</v>
      </c>
      <c r="BV61" s="300"/>
      <c r="BW61" s="300"/>
      <c r="BX61" s="300"/>
      <c r="BY61" s="300"/>
      <c r="BZ61" s="16"/>
      <c r="CA61" s="300"/>
      <c r="CB61" s="300"/>
      <c r="CC61" s="300"/>
      <c r="CD61" s="998"/>
      <c r="CE61" s="696">
        <f t="shared" si="63"/>
        <v>0</v>
      </c>
      <c r="CF61" s="308"/>
      <c r="CG61" s="308"/>
      <c r="CH61" s="300"/>
      <c r="CI61" s="300"/>
      <c r="CJ61" s="16"/>
      <c r="CK61" s="308"/>
      <c r="CL61" s="308"/>
      <c r="CM61" s="300"/>
      <c r="CN61" s="300"/>
      <c r="CO61" s="16"/>
      <c r="CP61" s="308"/>
      <c r="CQ61" s="308"/>
      <c r="CR61" s="300"/>
      <c r="CS61" s="300"/>
      <c r="CT61" s="16"/>
      <c r="CU61" s="308"/>
      <c r="CV61" s="308"/>
      <c r="CW61" s="300"/>
      <c r="CX61" s="300"/>
      <c r="CY61" s="16"/>
      <c r="CZ61" s="308"/>
      <c r="DA61" s="308"/>
      <c r="DB61" s="300"/>
      <c r="DC61" s="300"/>
      <c r="DD61" s="16"/>
      <c r="DE61" s="308"/>
      <c r="DF61" s="308"/>
      <c r="DG61" s="300"/>
      <c r="DH61" s="300"/>
      <c r="DI61" s="16"/>
      <c r="DJ61" s="308"/>
      <c r="DK61" s="308"/>
      <c r="DL61" s="300"/>
      <c r="DM61" s="300"/>
      <c r="DN61" s="16"/>
      <c r="DO61" s="308"/>
      <c r="DP61" s="308"/>
      <c r="DQ61" s="300"/>
      <c r="DR61" s="300"/>
      <c r="DS61" s="16"/>
      <c r="DT61" s="308"/>
      <c r="DU61" s="308"/>
      <c r="DV61" s="300"/>
      <c r="DW61" s="300"/>
      <c r="DX61" s="16"/>
      <c r="DY61" s="308"/>
      <c r="DZ61" s="308"/>
      <c r="EA61" s="300"/>
      <c r="EB61" s="300"/>
      <c r="EC61" s="16"/>
      <c r="ED61" s="308"/>
      <c r="EE61" s="308"/>
      <c r="EF61" s="300"/>
      <c r="EG61" s="300"/>
      <c r="EH61" s="16"/>
      <c r="EI61" s="308"/>
      <c r="EJ61" s="308"/>
      <c r="EK61" s="300"/>
      <c r="EL61" s="300"/>
      <c r="EM61" s="16"/>
      <c r="EN61" s="308"/>
      <c r="EO61" s="308"/>
      <c r="EP61" s="300"/>
      <c r="EQ61" s="300"/>
      <c r="ER61" s="16"/>
    </row>
    <row r="62" spans="2:156" ht="12.75" hidden="1" customHeight="1" outlineLevel="1">
      <c r="B62" s="22" t="s">
        <v>820</v>
      </c>
      <c r="C62" s="16"/>
      <c r="D62" s="308"/>
      <c r="E62" s="308"/>
      <c r="F62" s="308"/>
      <c r="G62" s="308"/>
      <c r="H62" s="16"/>
      <c r="I62" s="308"/>
      <c r="J62" s="308"/>
      <c r="K62" s="308"/>
      <c r="L62" s="308"/>
      <c r="M62" s="16"/>
      <c r="N62" s="308"/>
      <c r="O62" s="308"/>
      <c r="P62" s="308"/>
      <c r="Q62" s="308"/>
      <c r="R62" s="16"/>
      <c r="S62" s="308"/>
      <c r="T62" s="308"/>
      <c r="U62" s="308"/>
      <c r="V62" s="308"/>
      <c r="W62" s="16"/>
      <c r="X62" s="308"/>
      <c r="Y62" s="308"/>
      <c r="Z62" s="308"/>
      <c r="AA62" s="308"/>
      <c r="AB62" s="16"/>
      <c r="AC62" s="308"/>
      <c r="AD62" s="308"/>
      <c r="AE62" s="308"/>
      <c r="AF62" s="308"/>
      <c r="AG62" s="16"/>
      <c r="AH62" s="308"/>
      <c r="AI62" s="308"/>
      <c r="AJ62" s="308"/>
      <c r="AK62" s="308"/>
      <c r="AL62" s="16"/>
      <c r="AM62" s="308"/>
      <c r="AN62" s="308"/>
      <c r="AO62" s="308"/>
      <c r="AP62" s="308"/>
      <c r="AQ62" s="16"/>
      <c r="AR62" s="308"/>
      <c r="AS62" s="308"/>
      <c r="AT62" s="308"/>
      <c r="AU62" s="308"/>
      <c r="AV62" s="16"/>
      <c r="AW62" s="308"/>
      <c r="AX62" s="308"/>
      <c r="AY62" s="308"/>
      <c r="AZ62" s="308"/>
      <c r="BA62" s="16"/>
      <c r="BB62" s="308"/>
      <c r="BC62" s="308"/>
      <c r="BD62" s="308"/>
      <c r="BE62" s="308"/>
      <c r="BF62" s="16"/>
      <c r="BG62" s="298"/>
      <c r="BH62" s="298"/>
      <c r="BI62" s="298"/>
      <c r="BJ62" s="298"/>
      <c r="BK62" s="116"/>
      <c r="BL62" s="298"/>
      <c r="BM62" s="298"/>
      <c r="BN62" s="652"/>
      <c r="BO62" s="300">
        <v>-9</v>
      </c>
      <c r="BP62" s="116">
        <f>SUM(BL62:BO62)</f>
        <v>-9</v>
      </c>
      <c r="BQ62" s="308"/>
      <c r="BR62" s="308"/>
      <c r="BS62" s="681"/>
      <c r="BT62" s="681"/>
      <c r="BU62" s="116">
        <f t="shared" si="62"/>
        <v>0</v>
      </c>
      <c r="BV62" s="300"/>
      <c r="BW62" s="300"/>
      <c r="BX62" s="300"/>
      <c r="BY62" s="300"/>
      <c r="BZ62" s="16"/>
      <c r="CA62" s="300"/>
      <c r="CB62" s="300"/>
      <c r="CC62" s="300"/>
      <c r="CD62" s="300"/>
      <c r="CE62" s="696">
        <f t="shared" si="63"/>
        <v>0</v>
      </c>
      <c r="CF62" s="308"/>
      <c r="CG62" s="308"/>
      <c r="CH62" s="300"/>
      <c r="CI62" s="300"/>
      <c r="CJ62" s="16"/>
      <c r="CK62" s="308"/>
      <c r="CL62" s="308"/>
      <c r="CM62" s="300"/>
      <c r="CN62" s="300"/>
      <c r="CO62" s="16"/>
      <c r="CP62" s="308"/>
      <c r="CQ62" s="308"/>
      <c r="CR62" s="300"/>
      <c r="CS62" s="300"/>
      <c r="CT62" s="16"/>
      <c r="CU62" s="308"/>
      <c r="CV62" s="308"/>
      <c r="CW62" s="300"/>
      <c r="CX62" s="300"/>
      <c r="CY62" s="16"/>
      <c r="CZ62" s="308"/>
      <c r="DA62" s="308"/>
      <c r="DB62" s="300"/>
      <c r="DC62" s="300"/>
      <c r="DD62" s="16"/>
      <c r="DE62" s="308"/>
      <c r="DF62" s="308"/>
      <c r="DG62" s="300"/>
      <c r="DH62" s="300"/>
      <c r="DI62" s="16"/>
      <c r="DJ62" s="308"/>
      <c r="DK62" s="308"/>
      <c r="DL62" s="300"/>
      <c r="DM62" s="300"/>
      <c r="DN62" s="16"/>
      <c r="DO62" s="308"/>
      <c r="DP62" s="308"/>
      <c r="DQ62" s="300"/>
      <c r="DR62" s="300"/>
      <c r="DS62" s="16"/>
      <c r="DT62" s="308"/>
      <c r="DU62" s="308"/>
      <c r="DV62" s="300"/>
      <c r="DW62" s="300"/>
      <c r="DX62" s="16"/>
      <c r="DY62" s="308"/>
      <c r="DZ62" s="308"/>
      <c r="EA62" s="300"/>
      <c r="EB62" s="300"/>
      <c r="EC62" s="16"/>
      <c r="ED62" s="308"/>
      <c r="EE62" s="308"/>
      <c r="EF62" s="300"/>
      <c r="EG62" s="300"/>
      <c r="EH62" s="16"/>
      <c r="EI62" s="308"/>
      <c r="EJ62" s="308"/>
      <c r="EK62" s="300"/>
      <c r="EL62" s="300"/>
      <c r="EM62" s="16"/>
      <c r="EN62" s="308"/>
      <c r="EO62" s="308"/>
      <c r="EP62" s="300"/>
      <c r="EQ62" s="300"/>
      <c r="ER62" s="16"/>
    </row>
    <row r="63" spans="2:156" ht="12.75" hidden="1" customHeight="1" outlineLevel="1">
      <c r="B63" s="22" t="s">
        <v>68</v>
      </c>
      <c r="C63" s="16"/>
      <c r="D63" s="308"/>
      <c r="E63" s="308"/>
      <c r="F63" s="308"/>
      <c r="G63" s="308"/>
      <c r="H63" s="16"/>
      <c r="I63" s="308"/>
      <c r="J63" s="308"/>
      <c r="K63" s="308"/>
      <c r="L63" s="308"/>
      <c r="M63" s="16"/>
      <c r="N63" s="308"/>
      <c r="O63" s="308"/>
      <c r="P63" s="308"/>
      <c r="Q63" s="308"/>
      <c r="R63" s="16"/>
      <c r="S63" s="308"/>
      <c r="T63" s="308"/>
      <c r="U63" s="308"/>
      <c r="V63" s="308"/>
      <c r="W63" s="16"/>
      <c r="X63" s="308"/>
      <c r="Y63" s="308"/>
      <c r="Z63" s="308"/>
      <c r="AA63" s="308"/>
      <c r="AB63" s="16"/>
      <c r="AC63" s="308"/>
      <c r="AD63" s="308"/>
      <c r="AE63" s="308"/>
      <c r="AF63" s="308"/>
      <c r="AG63" s="16"/>
      <c r="AH63" s="308"/>
      <c r="AI63" s="308"/>
      <c r="AJ63" s="308"/>
      <c r="AK63" s="308"/>
      <c r="AL63" s="16"/>
      <c r="AM63" s="308"/>
      <c r="AN63" s="308"/>
      <c r="AO63" s="308"/>
      <c r="AP63" s="308"/>
      <c r="AQ63" s="16"/>
      <c r="AR63" s="308"/>
      <c r="AS63" s="308"/>
      <c r="AT63" s="308"/>
      <c r="AU63" s="308"/>
      <c r="AV63" s="16"/>
      <c r="AW63" s="308"/>
      <c r="AX63" s="308"/>
      <c r="AY63" s="308"/>
      <c r="AZ63" s="308"/>
      <c r="BA63" s="16"/>
      <c r="BB63" s="308"/>
      <c r="BC63" s="308"/>
      <c r="BD63" s="308"/>
      <c r="BE63" s="308"/>
      <c r="BF63" s="16"/>
      <c r="BG63" s="298"/>
      <c r="BH63" s="298"/>
      <c r="BI63" s="298"/>
      <c r="BJ63" s="298"/>
      <c r="BK63" s="116"/>
      <c r="BL63" s="298"/>
      <c r="BM63" s="298"/>
      <c r="BN63" s="652"/>
      <c r="BO63" s="300"/>
      <c r="BP63" s="116"/>
      <c r="BQ63" s="308"/>
      <c r="BR63" s="308"/>
      <c r="BS63" s="681">
        <v>-3</v>
      </c>
      <c r="BT63" s="681">
        <v>-3</v>
      </c>
      <c r="BU63" s="116">
        <f t="shared" si="62"/>
        <v>-6</v>
      </c>
      <c r="BV63" s="300">
        <v>-3</v>
      </c>
      <c r="BW63" s="300">
        <v>-5</v>
      </c>
      <c r="BX63" s="300">
        <v>-4</v>
      </c>
      <c r="BY63" s="300">
        <v>-2</v>
      </c>
      <c r="BZ63" s="696">
        <f>SUM(BV63:BY63)</f>
        <v>-14</v>
      </c>
      <c r="CA63" s="300"/>
      <c r="CB63" s="300">
        <v>-19</v>
      </c>
      <c r="CC63" s="300">
        <v>-5</v>
      </c>
      <c r="CD63" s="998">
        <v>-4</v>
      </c>
      <c r="CE63" s="696">
        <f t="shared" si="63"/>
        <v>-28</v>
      </c>
      <c r="CF63" s="308"/>
      <c r="CG63" s="308"/>
      <c r="CH63" s="300"/>
      <c r="CI63" s="300"/>
      <c r="CJ63" s="16"/>
      <c r="CK63" s="308"/>
      <c r="CL63" s="308"/>
      <c r="CM63" s="300"/>
      <c r="CN63" s="300"/>
      <c r="CO63" s="16"/>
      <c r="CP63" s="308"/>
      <c r="CQ63" s="308"/>
      <c r="CR63" s="300"/>
      <c r="CS63" s="300"/>
      <c r="CT63" s="16"/>
      <c r="CU63" s="308"/>
      <c r="CV63" s="308"/>
      <c r="CW63" s="300"/>
      <c r="CX63" s="300"/>
      <c r="CY63" s="16"/>
      <c r="CZ63" s="308"/>
      <c r="DA63" s="308"/>
      <c r="DB63" s="300"/>
      <c r="DC63" s="300"/>
      <c r="DD63" s="16"/>
      <c r="DE63" s="308"/>
      <c r="DF63" s="308"/>
      <c r="DG63" s="300"/>
      <c r="DH63" s="300"/>
      <c r="DI63" s="16"/>
      <c r="DJ63" s="308"/>
      <c r="DK63" s="308"/>
      <c r="DL63" s="300"/>
      <c r="DM63" s="300"/>
      <c r="DN63" s="16"/>
      <c r="DO63" s="308"/>
      <c r="DP63" s="308"/>
      <c r="DQ63" s="300"/>
      <c r="DR63" s="300"/>
      <c r="DS63" s="16"/>
      <c r="DT63" s="308"/>
      <c r="DU63" s="308"/>
      <c r="DV63" s="300"/>
      <c r="DW63" s="300"/>
      <c r="DX63" s="16"/>
      <c r="DY63" s="308"/>
      <c r="DZ63" s="308"/>
      <c r="EA63" s="300"/>
      <c r="EB63" s="300"/>
      <c r="EC63" s="16"/>
      <c r="ED63" s="308"/>
      <c r="EE63" s="308"/>
      <c r="EF63" s="300"/>
      <c r="EG63" s="300"/>
      <c r="EH63" s="16"/>
      <c r="EI63" s="308"/>
      <c r="EJ63" s="308"/>
      <c r="EK63" s="300"/>
      <c r="EL63" s="300"/>
      <c r="EM63" s="16"/>
      <c r="EN63" s="308"/>
      <c r="EO63" s="308"/>
      <c r="EP63" s="300"/>
      <c r="EQ63" s="300"/>
      <c r="ER63" s="16"/>
    </row>
    <row r="64" spans="2:156" s="689" customFormat="1" ht="12.75" hidden="1" customHeight="1" outlineLevel="1">
      <c r="B64" s="22"/>
      <c r="C64" s="693"/>
      <c r="D64" s="308"/>
      <c r="E64" s="308"/>
      <c r="F64" s="308"/>
      <c r="G64" s="308"/>
      <c r="H64" s="693"/>
      <c r="I64" s="308"/>
      <c r="J64" s="308"/>
      <c r="K64" s="308"/>
      <c r="L64" s="308"/>
      <c r="M64" s="693"/>
      <c r="N64" s="308"/>
      <c r="O64" s="308"/>
      <c r="P64" s="308"/>
      <c r="Q64" s="308"/>
      <c r="R64" s="693"/>
      <c r="S64" s="308"/>
      <c r="T64" s="308"/>
      <c r="U64" s="308"/>
      <c r="V64" s="308"/>
      <c r="W64" s="693"/>
      <c r="X64" s="308"/>
      <c r="Y64" s="308"/>
      <c r="Z64" s="308"/>
      <c r="AA64" s="308"/>
      <c r="AB64" s="693"/>
      <c r="AC64" s="308"/>
      <c r="AD64" s="308"/>
      <c r="AE64" s="308"/>
      <c r="AF64" s="308"/>
      <c r="AG64" s="693"/>
      <c r="AH64" s="308"/>
      <c r="AI64" s="308"/>
      <c r="AJ64" s="308"/>
      <c r="AK64" s="308"/>
      <c r="AL64" s="693"/>
      <c r="AM64" s="308"/>
      <c r="AN64" s="308"/>
      <c r="AO64" s="308"/>
      <c r="AP64" s="308"/>
      <c r="AQ64" s="693"/>
      <c r="AR64" s="308"/>
      <c r="AS64" s="308"/>
      <c r="AT64" s="308"/>
      <c r="AU64" s="308"/>
      <c r="AV64" s="693"/>
      <c r="AW64" s="308"/>
      <c r="AX64" s="308"/>
      <c r="AY64" s="308"/>
      <c r="AZ64" s="308"/>
      <c r="BA64" s="693"/>
      <c r="BB64" s="308"/>
      <c r="BC64" s="308"/>
      <c r="BD64" s="308"/>
      <c r="BE64" s="308"/>
      <c r="BF64" s="693"/>
      <c r="BG64" s="711"/>
      <c r="BH64" s="711"/>
      <c r="BI64" s="711"/>
      <c r="BJ64" s="711"/>
      <c r="BK64" s="696"/>
      <c r="BL64" s="711"/>
      <c r="BM64" s="711"/>
      <c r="BN64" s="652"/>
      <c r="BO64" s="300"/>
      <c r="BP64" s="696"/>
      <c r="BQ64" s="308"/>
      <c r="BR64" s="308"/>
      <c r="BS64" s="681"/>
      <c r="BT64" s="681"/>
      <c r="BU64" s="696"/>
      <c r="BV64" s="300"/>
      <c r="BW64" s="300"/>
      <c r="BX64" s="300"/>
      <c r="BY64" s="300"/>
      <c r="BZ64" s="696"/>
      <c r="CA64" s="300"/>
      <c r="CB64" s="300"/>
      <c r="CC64" s="300"/>
      <c r="CD64" s="300"/>
      <c r="CE64" s="693"/>
      <c r="CF64" s="308"/>
      <c r="CG64" s="308"/>
      <c r="CH64" s="300"/>
      <c r="CI64" s="300"/>
      <c r="CJ64" s="693"/>
      <c r="CK64" s="308"/>
      <c r="CL64" s="308"/>
      <c r="CM64" s="300"/>
      <c r="CN64" s="300"/>
      <c r="CO64" s="693"/>
      <c r="CP64" s="308"/>
      <c r="CQ64" s="308"/>
      <c r="CR64" s="300"/>
      <c r="CS64" s="300"/>
      <c r="CT64" s="693"/>
      <c r="CU64" s="308"/>
      <c r="CV64" s="308"/>
      <c r="CW64" s="300"/>
      <c r="CX64" s="300"/>
      <c r="CY64" s="693"/>
      <c r="CZ64" s="308"/>
      <c r="DA64" s="308"/>
      <c r="DB64" s="300"/>
      <c r="DC64" s="300"/>
      <c r="DD64" s="693"/>
      <c r="DE64" s="308"/>
      <c r="DF64" s="308"/>
      <c r="DG64" s="300"/>
      <c r="DH64" s="300"/>
      <c r="DI64" s="693"/>
      <c r="DJ64" s="308"/>
      <c r="DK64" s="308"/>
      <c r="DL64" s="300"/>
      <c r="DM64" s="300"/>
      <c r="DN64" s="693"/>
      <c r="DO64" s="308"/>
      <c r="DP64" s="308"/>
      <c r="DQ64" s="300"/>
      <c r="DR64" s="300"/>
      <c r="DS64" s="693"/>
      <c r="DT64" s="308"/>
      <c r="DU64" s="308"/>
      <c r="DV64" s="300"/>
      <c r="DW64" s="300"/>
      <c r="DX64" s="693"/>
      <c r="DY64" s="308"/>
      <c r="DZ64" s="308"/>
      <c r="EA64" s="300"/>
      <c r="EB64" s="300"/>
      <c r="EC64" s="693"/>
      <c r="ED64" s="308"/>
      <c r="EE64" s="308"/>
      <c r="EF64" s="300"/>
      <c r="EG64" s="300"/>
      <c r="EH64" s="693"/>
      <c r="EI64" s="308"/>
      <c r="EJ64" s="308"/>
      <c r="EK64" s="300"/>
      <c r="EL64" s="300"/>
      <c r="EM64" s="693"/>
      <c r="EN64" s="308"/>
      <c r="EO64" s="308"/>
      <c r="EP64" s="300"/>
      <c r="EQ64" s="300"/>
      <c r="ER64" s="693"/>
      <c r="EU64"/>
      <c r="EV64"/>
      <c r="EW64"/>
      <c r="EX64"/>
      <c r="EY64"/>
      <c r="EZ64"/>
    </row>
    <row r="65" spans="2:156" s="689" customFormat="1" ht="12.75" hidden="1" customHeight="1" outlineLevel="1">
      <c r="B65" s="22"/>
      <c r="C65" s="693"/>
      <c r="D65" s="308"/>
      <c r="E65" s="308"/>
      <c r="F65" s="308"/>
      <c r="G65" s="308"/>
      <c r="H65" s="693"/>
      <c r="I65" s="308"/>
      <c r="J65" s="308"/>
      <c r="K65" s="308"/>
      <c r="L65" s="308"/>
      <c r="M65" s="693"/>
      <c r="N65" s="308"/>
      <c r="O65" s="308"/>
      <c r="P65" s="308"/>
      <c r="Q65" s="308"/>
      <c r="R65" s="693"/>
      <c r="S65" s="308"/>
      <c r="T65" s="308"/>
      <c r="U65" s="308"/>
      <c r="V65" s="308"/>
      <c r="W65" s="693"/>
      <c r="X65" s="308"/>
      <c r="Y65" s="308"/>
      <c r="Z65" s="308"/>
      <c r="AA65" s="308"/>
      <c r="AB65" s="693"/>
      <c r="AC65" s="308"/>
      <c r="AD65" s="308"/>
      <c r="AE65" s="308"/>
      <c r="AF65" s="308"/>
      <c r="AG65" s="693"/>
      <c r="AH65" s="308"/>
      <c r="AI65" s="308"/>
      <c r="AJ65" s="308"/>
      <c r="AK65" s="308"/>
      <c r="AL65" s="693"/>
      <c r="AM65" s="308"/>
      <c r="AN65" s="308"/>
      <c r="AO65" s="308"/>
      <c r="AP65" s="308"/>
      <c r="AQ65" s="693"/>
      <c r="AR65" s="308"/>
      <c r="AS65" s="308"/>
      <c r="AT65" s="308"/>
      <c r="AU65" s="308"/>
      <c r="AV65" s="693"/>
      <c r="AW65" s="308"/>
      <c r="AX65" s="308"/>
      <c r="AY65" s="308"/>
      <c r="AZ65" s="308"/>
      <c r="BA65" s="693"/>
      <c r="BB65" s="308"/>
      <c r="BC65" s="308"/>
      <c r="BD65" s="308"/>
      <c r="BE65" s="308"/>
      <c r="BF65" s="693"/>
      <c r="BG65" s="711"/>
      <c r="BH65" s="711"/>
      <c r="BI65" s="711"/>
      <c r="BJ65" s="711"/>
      <c r="BK65" s="696"/>
      <c r="BL65" s="711"/>
      <c r="BM65" s="711"/>
      <c r="BN65" s="652"/>
      <c r="BO65" s="300"/>
      <c r="BP65" s="696"/>
      <c r="BQ65" s="308"/>
      <c r="BR65" s="308"/>
      <c r="BS65" s="681"/>
      <c r="BT65" s="681"/>
      <c r="BU65" s="696"/>
      <c r="BV65" s="300"/>
      <c r="BW65" s="300"/>
      <c r="BX65" s="300"/>
      <c r="BY65" s="300"/>
      <c r="BZ65" s="696"/>
      <c r="CA65" s="300"/>
      <c r="CB65" s="300"/>
      <c r="CC65" s="300"/>
      <c r="CD65" s="300"/>
      <c r="CE65" s="693"/>
      <c r="CF65" s="308"/>
      <c r="CG65" s="308"/>
      <c r="CH65" s="300"/>
      <c r="CI65" s="300"/>
      <c r="CJ65" s="693"/>
      <c r="CK65" s="308"/>
      <c r="CL65" s="308"/>
      <c r="CM65" s="300"/>
      <c r="CN65" s="300"/>
      <c r="CO65" s="693"/>
      <c r="CP65" s="308"/>
      <c r="CQ65" s="308"/>
      <c r="CR65" s="300"/>
      <c r="CS65" s="300"/>
      <c r="CT65" s="693"/>
      <c r="CU65" s="308"/>
      <c r="CV65" s="308"/>
      <c r="CW65" s="300"/>
      <c r="CX65" s="300"/>
      <c r="CY65" s="693"/>
      <c r="CZ65" s="308"/>
      <c r="DA65" s="308"/>
      <c r="DB65" s="300"/>
      <c r="DC65" s="300"/>
      <c r="DD65" s="693"/>
      <c r="DE65" s="308"/>
      <c r="DF65" s="308"/>
      <c r="DG65" s="300"/>
      <c r="DH65" s="300"/>
      <c r="DI65" s="693"/>
      <c r="DJ65" s="308"/>
      <c r="DK65" s="308"/>
      <c r="DL65" s="300"/>
      <c r="DM65" s="300"/>
      <c r="DN65" s="693"/>
      <c r="DO65" s="308"/>
      <c r="DP65" s="308"/>
      <c r="DQ65" s="300"/>
      <c r="DR65" s="300"/>
      <c r="DS65" s="693"/>
      <c r="DT65" s="308"/>
      <c r="DU65" s="308"/>
      <c r="DV65" s="300"/>
      <c r="DW65" s="300"/>
      <c r="DX65" s="693"/>
      <c r="DY65" s="308"/>
      <c r="DZ65" s="308"/>
      <c r="EA65" s="300"/>
      <c r="EB65" s="300"/>
      <c r="EC65" s="693"/>
      <c r="ED65" s="308"/>
      <c r="EE65" s="308"/>
      <c r="EF65" s="300"/>
      <c r="EG65" s="300"/>
      <c r="EH65" s="693"/>
      <c r="EI65" s="308"/>
      <c r="EJ65" s="308"/>
      <c r="EK65" s="300"/>
      <c r="EL65" s="300"/>
      <c r="EM65" s="693"/>
      <c r="EN65" s="308"/>
      <c r="EO65" s="308"/>
      <c r="EP65" s="300"/>
      <c r="EQ65" s="300"/>
      <c r="ER65" s="693"/>
      <c r="EU65"/>
      <c r="EV65"/>
      <c r="EW65"/>
      <c r="EX65"/>
      <c r="EY65"/>
      <c r="EZ65"/>
    </row>
    <row r="66" spans="2:156" s="689" customFormat="1" ht="12.75" hidden="1" customHeight="1" outlineLevel="1">
      <c r="B66" s="21" t="s">
        <v>1101</v>
      </c>
      <c r="C66" s="693"/>
      <c r="D66" s="308"/>
      <c r="E66" s="308"/>
      <c r="F66" s="308"/>
      <c r="G66" s="308"/>
      <c r="H66" s="693"/>
      <c r="I66" s="308"/>
      <c r="J66" s="308"/>
      <c r="K66" s="308"/>
      <c r="L66" s="308"/>
      <c r="M66" s="693"/>
      <c r="N66" s="308"/>
      <c r="O66" s="308"/>
      <c r="P66" s="308"/>
      <c r="Q66" s="308"/>
      <c r="R66" s="693"/>
      <c r="S66" s="308"/>
      <c r="T66" s="308"/>
      <c r="U66" s="308"/>
      <c r="V66" s="308"/>
      <c r="W66" s="693"/>
      <c r="X66" s="308"/>
      <c r="Y66" s="308"/>
      <c r="Z66" s="308"/>
      <c r="AA66" s="308"/>
      <c r="AB66" s="693"/>
      <c r="AC66" s="308"/>
      <c r="AD66" s="308"/>
      <c r="AE66" s="308"/>
      <c r="AF66" s="308"/>
      <c r="AG66" s="693"/>
      <c r="AH66" s="308"/>
      <c r="AI66" s="308"/>
      <c r="AJ66" s="308"/>
      <c r="AK66" s="308"/>
      <c r="AL66" s="693"/>
      <c r="AM66" s="308"/>
      <c r="AN66" s="308"/>
      <c r="AO66" s="308"/>
      <c r="AP66" s="308"/>
      <c r="AQ66" s="693"/>
      <c r="AR66" s="308"/>
      <c r="AS66" s="308"/>
      <c r="AT66" s="308"/>
      <c r="AU66" s="308"/>
      <c r="AV66" s="693"/>
      <c r="AW66" s="308"/>
      <c r="AX66" s="308"/>
      <c r="AY66" s="308"/>
      <c r="AZ66" s="308"/>
      <c r="BA66" s="693"/>
      <c r="BB66" s="308"/>
      <c r="BC66" s="308"/>
      <c r="BD66" s="308"/>
      <c r="BE66" s="308"/>
      <c r="BF66" s="693"/>
      <c r="BG66" s="711"/>
      <c r="BH66" s="711"/>
      <c r="BI66" s="711"/>
      <c r="BJ66" s="711"/>
      <c r="BK66" s="696"/>
      <c r="BL66" s="711"/>
      <c r="BM66" s="711"/>
      <c r="BN66" s="652"/>
      <c r="BO66" s="300"/>
      <c r="BP66" s="696"/>
      <c r="BQ66" s="308"/>
      <c r="BR66" s="308"/>
      <c r="BS66" s="681"/>
      <c r="BT66" s="681"/>
      <c r="BU66" s="696"/>
      <c r="BV66" s="300"/>
      <c r="BW66" s="300"/>
      <c r="BX66" s="300"/>
      <c r="BY66" s="300"/>
      <c r="BZ66" s="696"/>
      <c r="CA66" s="300"/>
      <c r="CB66" s="300"/>
      <c r="CC66" s="300">
        <v>-18</v>
      </c>
      <c r="CD66" s="998">
        <v>0</v>
      </c>
      <c r="CE66" s="696">
        <f>SUM(CA66:CD66)</f>
        <v>-18</v>
      </c>
      <c r="CF66" s="308"/>
      <c r="CG66" s="308"/>
      <c r="CH66" s="300"/>
      <c r="CI66" s="300"/>
      <c r="CJ66" s="693"/>
      <c r="CK66" s="308"/>
      <c r="CL66" s="308"/>
      <c r="CM66" s="300"/>
      <c r="CN66" s="300"/>
      <c r="CO66" s="693"/>
      <c r="CP66" s="308"/>
      <c r="CQ66" s="308"/>
      <c r="CR66" s="300"/>
      <c r="CS66" s="300"/>
      <c r="CT66" s="693"/>
      <c r="CU66" s="308"/>
      <c r="CV66" s="308"/>
      <c r="CW66" s="300"/>
      <c r="CX66" s="300"/>
      <c r="CY66" s="693"/>
      <c r="CZ66" s="308"/>
      <c r="DA66" s="308"/>
      <c r="DB66" s="300"/>
      <c r="DC66" s="300"/>
      <c r="DD66" s="693"/>
      <c r="DE66" s="308"/>
      <c r="DF66" s="308"/>
      <c r="DG66" s="300"/>
      <c r="DH66" s="300"/>
      <c r="DI66" s="693"/>
      <c r="DJ66" s="308"/>
      <c r="DK66" s="308"/>
      <c r="DL66" s="300"/>
      <c r="DM66" s="300"/>
      <c r="DN66" s="693"/>
      <c r="DO66" s="308"/>
      <c r="DP66" s="308"/>
      <c r="DQ66" s="300"/>
      <c r="DR66" s="300"/>
      <c r="DS66" s="693"/>
      <c r="DT66" s="308"/>
      <c r="DU66" s="308"/>
      <c r="DV66" s="300"/>
      <c r="DW66" s="300"/>
      <c r="DX66" s="693"/>
      <c r="DY66" s="308"/>
      <c r="DZ66" s="308"/>
      <c r="EA66" s="300"/>
      <c r="EB66" s="300"/>
      <c r="EC66" s="693"/>
      <c r="ED66" s="308"/>
      <c r="EE66" s="308"/>
      <c r="EF66" s="300"/>
      <c r="EG66" s="300"/>
      <c r="EH66" s="693"/>
      <c r="EI66" s="308"/>
      <c r="EJ66" s="308"/>
      <c r="EK66" s="300"/>
      <c r="EL66" s="300"/>
      <c r="EM66" s="693"/>
      <c r="EN66" s="308"/>
      <c r="EO66" s="308"/>
      <c r="EP66" s="300"/>
      <c r="EQ66" s="300"/>
      <c r="ER66" s="693"/>
      <c r="EU66"/>
      <c r="EV66"/>
      <c r="EW66"/>
      <c r="EX66"/>
      <c r="EY66"/>
      <c r="EZ66"/>
    </row>
    <row r="67" spans="2:156" ht="12.75" hidden="1" customHeight="1" outlineLevel="1">
      <c r="C67" s="16"/>
      <c r="D67" s="308"/>
      <c r="E67" s="308"/>
      <c r="F67" s="308"/>
      <c r="G67" s="308"/>
      <c r="H67" s="16"/>
      <c r="I67" s="308"/>
      <c r="J67" s="308"/>
      <c r="K67" s="308"/>
      <c r="L67" s="308"/>
      <c r="M67" s="16"/>
      <c r="N67" s="308"/>
      <c r="O67" s="308"/>
      <c r="P67" s="308"/>
      <c r="Q67" s="308"/>
      <c r="R67" s="16"/>
      <c r="S67" s="308"/>
      <c r="T67" s="308"/>
      <c r="U67" s="308"/>
      <c r="V67" s="308"/>
      <c r="W67" s="16"/>
      <c r="X67" s="308"/>
      <c r="Y67" s="308"/>
      <c r="Z67" s="308"/>
      <c r="AA67" s="308"/>
      <c r="AB67" s="16"/>
      <c r="AC67" s="308"/>
      <c r="AD67" s="308"/>
      <c r="AE67" s="308"/>
      <c r="AF67" s="308"/>
      <c r="AG67" s="16"/>
      <c r="AH67" s="308"/>
      <c r="AI67" s="308"/>
      <c r="AJ67" s="308"/>
      <c r="AK67" s="308"/>
      <c r="AL67" s="16"/>
      <c r="AM67" s="308"/>
      <c r="AN67" s="308"/>
      <c r="AO67" s="308"/>
      <c r="AP67" s="308"/>
      <c r="AQ67" s="16"/>
      <c r="AR67" s="308"/>
      <c r="AS67" s="308"/>
      <c r="AT67" s="308"/>
      <c r="AU67" s="308"/>
      <c r="AV67" s="16"/>
      <c r="AW67" s="308"/>
      <c r="AX67" s="308"/>
      <c r="AY67" s="308"/>
      <c r="AZ67" s="308"/>
      <c r="BA67" s="16"/>
      <c r="BB67" s="308"/>
      <c r="BC67" s="308"/>
      <c r="BD67" s="308"/>
      <c r="BE67" s="308"/>
      <c r="BF67" s="16"/>
      <c r="BG67" s="298"/>
      <c r="BH67" s="298"/>
      <c r="BI67" s="298"/>
      <c r="BJ67" s="298"/>
      <c r="BK67" s="116"/>
      <c r="BL67" s="298"/>
      <c r="BM67" s="308"/>
      <c r="BN67" s="300"/>
      <c r="BO67" s="300"/>
      <c r="BP67" s="16"/>
      <c r="BQ67" s="308"/>
      <c r="BR67" s="308"/>
      <c r="BS67" s="681"/>
      <c r="BT67" s="300"/>
      <c r="BU67" s="16"/>
      <c r="BV67" s="300"/>
      <c r="BW67" s="300"/>
      <c r="BX67" s="300"/>
      <c r="BY67" s="300"/>
      <c r="BZ67" s="16"/>
      <c r="CA67" s="300"/>
      <c r="CB67" s="300"/>
      <c r="CC67" s="300"/>
      <c r="CD67" s="300"/>
      <c r="CE67" s="16"/>
      <c r="CF67" s="308"/>
      <c r="CG67" s="308"/>
      <c r="CH67" s="300"/>
      <c r="CI67" s="300"/>
      <c r="CJ67" s="16"/>
      <c r="CK67" s="308"/>
      <c r="CL67" s="308"/>
      <c r="CM67" s="300"/>
      <c r="CN67" s="300"/>
      <c r="CO67" s="16"/>
      <c r="CP67" s="308"/>
      <c r="CQ67" s="308"/>
      <c r="CR67" s="300"/>
      <c r="CS67" s="300"/>
      <c r="CT67" s="16"/>
      <c r="CU67" s="308"/>
      <c r="CV67" s="308"/>
      <c r="CW67" s="300"/>
      <c r="CX67" s="300"/>
      <c r="CY67" s="16"/>
      <c r="CZ67" s="308"/>
      <c r="DA67" s="308"/>
      <c r="DB67" s="300"/>
      <c r="DC67" s="300"/>
      <c r="DD67" s="16"/>
      <c r="DE67" s="308"/>
      <c r="DF67" s="308"/>
      <c r="DG67" s="300"/>
      <c r="DH67" s="300"/>
      <c r="DI67" s="16"/>
      <c r="DJ67" s="308"/>
      <c r="DK67" s="308"/>
      <c r="DL67" s="300"/>
      <c r="DM67" s="300"/>
      <c r="DN67" s="16"/>
      <c r="DO67" s="308"/>
      <c r="DP67" s="308"/>
      <c r="DQ67" s="300"/>
      <c r="DR67" s="300"/>
      <c r="DS67" s="16"/>
      <c r="DT67" s="308"/>
      <c r="DU67" s="308"/>
      <c r="DV67" s="300"/>
      <c r="DW67" s="300"/>
      <c r="DX67" s="16"/>
      <c r="DY67" s="308"/>
      <c r="DZ67" s="308"/>
      <c r="EA67" s="300"/>
      <c r="EB67" s="300"/>
      <c r="EC67" s="16"/>
      <c r="ED67" s="308"/>
      <c r="EE67" s="308"/>
      <c r="EF67" s="300"/>
      <c r="EG67" s="300"/>
      <c r="EH67" s="16"/>
      <c r="EI67" s="308"/>
      <c r="EJ67" s="308"/>
      <c r="EK67" s="300"/>
      <c r="EL67" s="300"/>
      <c r="EM67" s="16"/>
      <c r="EN67" s="308"/>
      <c r="EO67" s="308"/>
      <c r="EP67" s="300"/>
      <c r="EQ67" s="300"/>
      <c r="ER67" s="16"/>
    </row>
    <row r="68" spans="2:156" ht="12.75" hidden="1" customHeight="1" outlineLevel="1">
      <c r="B68" s="21" t="s">
        <v>155</v>
      </c>
      <c r="C68" s="16"/>
      <c r="D68" s="308"/>
      <c r="E68" s="308"/>
      <c r="F68" s="308"/>
      <c r="G68" s="308"/>
      <c r="H68" s="16">
        <f>SUM(D68:G68)</f>
        <v>0</v>
      </c>
      <c r="I68" s="308"/>
      <c r="J68" s="308"/>
      <c r="K68" s="308"/>
      <c r="L68" s="308"/>
      <c r="M68" s="16">
        <f>SUM(I68:L68)</f>
        <v>0</v>
      </c>
      <c r="N68" s="308"/>
      <c r="O68" s="308"/>
      <c r="P68" s="308"/>
      <c r="Q68" s="308"/>
      <c r="R68" s="16">
        <f>SUM(N68:Q68)</f>
        <v>0</v>
      </c>
      <c r="S68" s="308"/>
      <c r="T68" s="308"/>
      <c r="U68" s="308"/>
      <c r="V68" s="308"/>
      <c r="W68" s="16">
        <f>SUM(S68:V68)</f>
        <v>0</v>
      </c>
      <c r="X68" s="308"/>
      <c r="Y68" s="308"/>
      <c r="Z68" s="308"/>
      <c r="AA68" s="308"/>
      <c r="AB68" s="16">
        <f>SUM(X68:AA68)</f>
        <v>0</v>
      </c>
      <c r="AC68" s="308"/>
      <c r="AD68" s="308"/>
      <c r="AE68" s="308"/>
      <c r="AF68" s="308"/>
      <c r="AG68" s="16">
        <f>SUM(AC68:AF68)</f>
        <v>0</v>
      </c>
      <c r="AH68" s="308"/>
      <c r="AI68" s="308"/>
      <c r="AJ68" s="308"/>
      <c r="AK68" s="308"/>
      <c r="AL68" s="16">
        <f>SUM(AH68:AK68)</f>
        <v>0</v>
      </c>
      <c r="AM68" s="308"/>
      <c r="AN68" s="308"/>
      <c r="AO68" s="308"/>
      <c r="AP68" s="308"/>
      <c r="AQ68" s="16"/>
      <c r="AR68" s="308"/>
      <c r="AS68" s="308"/>
      <c r="AT68" s="308"/>
      <c r="AU68" s="308"/>
      <c r="AV68" s="16"/>
      <c r="AW68" s="308"/>
      <c r="AX68" s="308"/>
      <c r="AY68" s="308"/>
      <c r="AZ68" s="308"/>
      <c r="BA68" s="16"/>
      <c r="BB68" s="308"/>
      <c r="BC68" s="308"/>
      <c r="BD68" s="308"/>
      <c r="BE68" s="308"/>
      <c r="BF68" s="16"/>
      <c r="BG68" s="298"/>
      <c r="BH68" s="354"/>
      <c r="BI68" s="298">
        <f>-20.34</f>
        <v>-20.34</v>
      </c>
      <c r="BJ68" s="298">
        <v>-24.555</v>
      </c>
      <c r="BK68" s="116">
        <f>SUM(BG68:BJ68)</f>
        <v>-44.894999999999996</v>
      </c>
      <c r="BL68" s="298">
        <v>-24.811</v>
      </c>
      <c r="BM68" s="608">
        <v>-14.132</v>
      </c>
      <c r="BN68" s="652">
        <v>-22.526</v>
      </c>
      <c r="BO68" s="300">
        <v>-38</v>
      </c>
      <c r="BP68" s="116">
        <f>SUM(BL68:BO68)</f>
        <v>-99.468999999999994</v>
      </c>
      <c r="BQ68" s="298">
        <v>-28</v>
      </c>
      <c r="BR68" s="299">
        <f>-30+6</f>
        <v>-24</v>
      </c>
      <c r="BS68" s="681">
        <f>-58+2</f>
        <v>-56</v>
      </c>
      <c r="BT68" s="300">
        <f>-34+4</f>
        <v>-30</v>
      </c>
      <c r="BU68" s="116">
        <f>SUM(BQ68:BT68)</f>
        <v>-138</v>
      </c>
      <c r="BV68" s="300">
        <v>-45</v>
      </c>
      <c r="BW68" s="300">
        <v>-32</v>
      </c>
      <c r="BX68" s="300">
        <v>-74</v>
      </c>
      <c r="BY68" s="300">
        <v>-40</v>
      </c>
      <c r="BZ68" s="696">
        <f>SUM(BV68:BY68)</f>
        <v>-191</v>
      </c>
      <c r="CA68" s="681">
        <v>-52</v>
      </c>
      <c r="CB68" s="681">
        <v>-57</v>
      </c>
      <c r="CC68" s="300">
        <v>-74</v>
      </c>
      <c r="CD68" s="998">
        <f>5490-206</f>
        <v>5284</v>
      </c>
      <c r="CE68" s="696">
        <f>SUM(CA68:CD68)</f>
        <v>5101</v>
      </c>
      <c r="CF68" s="308"/>
      <c r="CG68" s="310"/>
      <c r="CH68" s="300"/>
      <c r="CI68" s="300"/>
      <c r="CJ68" s="16"/>
      <c r="CK68" s="308"/>
      <c r="CL68" s="310"/>
      <c r="CM68" s="300"/>
      <c r="CN68" s="300"/>
      <c r="CO68" s="16"/>
      <c r="CP68" s="308"/>
      <c r="CQ68" s="310"/>
      <c r="CR68" s="300"/>
      <c r="CS68" s="300"/>
      <c r="CT68" s="16"/>
      <c r="CU68" s="308"/>
      <c r="CV68" s="310"/>
      <c r="CW68" s="300"/>
      <c r="CX68" s="300"/>
      <c r="CY68" s="16"/>
      <c r="CZ68" s="308"/>
      <c r="DA68" s="310"/>
      <c r="DB68" s="300"/>
      <c r="DC68" s="300"/>
      <c r="DD68" s="16"/>
      <c r="DE68" s="308"/>
      <c r="DF68" s="310"/>
      <c r="DG68" s="300"/>
      <c r="DH68" s="300"/>
      <c r="DI68" s="16"/>
      <c r="DJ68" s="308"/>
      <c r="DK68" s="310"/>
      <c r="DL68" s="300"/>
      <c r="DM68" s="300"/>
      <c r="DN68" s="16"/>
      <c r="DO68" s="308"/>
      <c r="DP68" s="310"/>
      <c r="DQ68" s="300"/>
      <c r="DR68" s="300"/>
      <c r="DS68" s="16"/>
      <c r="DT68" s="308"/>
      <c r="DU68" s="310"/>
      <c r="DV68" s="300"/>
      <c r="DW68" s="300"/>
      <c r="DX68" s="16"/>
      <c r="DY68" s="308"/>
      <c r="DZ68" s="310"/>
      <c r="EA68" s="300"/>
      <c r="EB68" s="300"/>
      <c r="EC68" s="16"/>
      <c r="ED68" s="308"/>
      <c r="EE68" s="310"/>
      <c r="EF68" s="300"/>
      <c r="EG68" s="300"/>
      <c r="EH68" s="16"/>
      <c r="EI68" s="308"/>
      <c r="EJ68" s="310"/>
      <c r="EK68" s="300"/>
      <c r="EL68" s="300"/>
      <c r="EM68" s="16"/>
      <c r="EN68" s="308"/>
      <c r="EO68" s="310"/>
      <c r="EP68" s="300"/>
      <c r="EQ68" s="300"/>
      <c r="ER68" s="16"/>
    </row>
    <row r="69" spans="2:156" ht="12.75" hidden="1" customHeight="1" outlineLevel="1">
      <c r="B69" s="21" t="s">
        <v>737</v>
      </c>
      <c r="C69" s="16"/>
      <c r="D69" s="308"/>
      <c r="E69" s="308"/>
      <c r="F69" s="308"/>
      <c r="G69" s="308"/>
      <c r="H69" s="16"/>
      <c r="I69" s="308"/>
      <c r="J69" s="308"/>
      <c r="K69" s="308"/>
      <c r="L69" s="308"/>
      <c r="M69" s="16"/>
      <c r="N69" s="308"/>
      <c r="O69" s="308"/>
      <c r="P69" s="308"/>
      <c r="Q69" s="308"/>
      <c r="R69" s="16"/>
      <c r="S69" s="308"/>
      <c r="T69" s="308"/>
      <c r="U69" s="308"/>
      <c r="V69" s="308"/>
      <c r="W69" s="16"/>
      <c r="X69" s="308"/>
      <c r="Y69" s="308"/>
      <c r="Z69" s="308"/>
      <c r="AA69" s="308"/>
      <c r="AB69" s="16"/>
      <c r="AC69" s="308"/>
      <c r="AD69" s="308"/>
      <c r="AE69" s="308"/>
      <c r="AF69" s="308"/>
      <c r="AG69" s="16"/>
      <c r="AH69" s="308"/>
      <c r="AI69" s="308"/>
      <c r="AJ69" s="308"/>
      <c r="AK69" s="308"/>
      <c r="AL69" s="16"/>
      <c r="AM69" s="308"/>
      <c r="AN69" s="308"/>
      <c r="AO69" s="308"/>
      <c r="AP69" s="308"/>
      <c r="AQ69" s="16"/>
      <c r="AR69" s="308"/>
      <c r="AS69" s="308"/>
      <c r="AT69" s="308"/>
      <c r="AU69" s="308"/>
      <c r="AV69" s="16"/>
      <c r="AW69" s="308"/>
      <c r="AX69" s="308"/>
      <c r="AY69" s="308"/>
      <c r="AZ69" s="308"/>
      <c r="BA69" s="16"/>
      <c r="BB69" s="308"/>
      <c r="BC69" s="308"/>
      <c r="BD69" s="308"/>
      <c r="BE69" s="308"/>
      <c r="BF69" s="16"/>
      <c r="BG69" s="298"/>
      <c r="BH69" s="354"/>
      <c r="BI69" s="298"/>
      <c r="BJ69" s="298"/>
      <c r="BK69" s="116"/>
      <c r="BL69" s="298">
        <v>-1.853</v>
      </c>
      <c r="BM69" s="310"/>
      <c r="BN69" s="652">
        <v>-5.0369999999999999</v>
      </c>
      <c r="BO69" s="300"/>
      <c r="BP69" s="116">
        <f>SUM(BL69:BO69)</f>
        <v>-6.89</v>
      </c>
      <c r="BQ69" s="299"/>
      <c r="BR69" s="299"/>
      <c r="BS69" s="681">
        <v>1</v>
      </c>
      <c r="BT69" s="300"/>
      <c r="BU69" s="116">
        <v>1</v>
      </c>
      <c r="BV69" s="300"/>
      <c r="BW69" s="300">
        <v>-5</v>
      </c>
      <c r="BX69" s="300">
        <v>1</v>
      </c>
      <c r="BY69" s="300">
        <v>1</v>
      </c>
      <c r="BZ69" s="696">
        <f>SUM(BV69:BY69)</f>
        <v>-3</v>
      </c>
      <c r="CA69" s="300"/>
      <c r="CB69" s="300"/>
      <c r="CC69" s="300"/>
      <c r="CD69" s="300"/>
      <c r="CE69" s="16"/>
      <c r="CF69" s="308"/>
      <c r="CG69" s="310"/>
      <c r="CH69" s="300"/>
      <c r="CI69" s="300"/>
      <c r="CJ69" s="16"/>
      <c r="CK69" s="308"/>
      <c r="CL69" s="310"/>
      <c r="CM69" s="300"/>
      <c r="CN69" s="300"/>
      <c r="CO69" s="16"/>
      <c r="CP69" s="308"/>
      <c r="CQ69" s="310"/>
      <c r="CR69" s="300"/>
      <c r="CS69" s="300"/>
      <c r="CT69" s="16"/>
      <c r="CU69" s="308"/>
      <c r="CV69" s="310"/>
      <c r="CW69" s="300"/>
      <c r="CX69" s="300"/>
      <c r="CY69" s="16"/>
      <c r="CZ69" s="308"/>
      <c r="DA69" s="310"/>
      <c r="DB69" s="300"/>
      <c r="DC69" s="300"/>
      <c r="DD69" s="16"/>
      <c r="DE69" s="308"/>
      <c r="DF69" s="310"/>
      <c r="DG69" s="300"/>
      <c r="DH69" s="300"/>
      <c r="DI69" s="16"/>
      <c r="DJ69" s="308"/>
      <c r="DK69" s="310"/>
      <c r="DL69" s="300"/>
      <c r="DM69" s="300"/>
      <c r="DN69" s="16"/>
      <c r="DO69" s="308"/>
      <c r="DP69" s="310"/>
      <c r="DQ69" s="300"/>
      <c r="DR69" s="300"/>
      <c r="DS69" s="16"/>
      <c r="DT69" s="308"/>
      <c r="DU69" s="310"/>
      <c r="DV69" s="300"/>
      <c r="DW69" s="300"/>
      <c r="DX69" s="16"/>
      <c r="DY69" s="308"/>
      <c r="DZ69" s="310"/>
      <c r="EA69" s="300"/>
      <c r="EB69" s="300"/>
      <c r="EC69" s="16"/>
      <c r="ED69" s="308"/>
      <c r="EE69" s="310"/>
      <c r="EF69" s="300"/>
      <c r="EG69" s="300"/>
      <c r="EH69" s="16"/>
      <c r="EI69" s="308"/>
      <c r="EJ69" s="310"/>
      <c r="EK69" s="300"/>
      <c r="EL69" s="300"/>
      <c r="EM69" s="16"/>
      <c r="EN69" s="308"/>
      <c r="EO69" s="310"/>
      <c r="EP69" s="300"/>
      <c r="EQ69" s="300"/>
      <c r="ER69" s="16"/>
    </row>
    <row r="70" spans="2:156" ht="12.75" hidden="1" customHeight="1" outlineLevel="1">
      <c r="B70" s="21" t="s">
        <v>821</v>
      </c>
      <c r="C70" s="16"/>
      <c r="D70" s="308"/>
      <c r="E70" s="308"/>
      <c r="F70" s="308"/>
      <c r="G70" s="308"/>
      <c r="H70" s="16"/>
      <c r="I70" s="308"/>
      <c r="J70" s="308"/>
      <c r="K70" s="308"/>
      <c r="L70" s="308"/>
      <c r="M70" s="16"/>
      <c r="N70" s="308"/>
      <c r="O70" s="308"/>
      <c r="P70" s="308"/>
      <c r="Q70" s="308"/>
      <c r="R70" s="16"/>
      <c r="S70" s="308"/>
      <c r="T70" s="308"/>
      <c r="U70" s="308"/>
      <c r="V70" s="308"/>
      <c r="W70" s="16"/>
      <c r="X70" s="308"/>
      <c r="Y70" s="308"/>
      <c r="Z70" s="308"/>
      <c r="AA70" s="308"/>
      <c r="AB70" s="16"/>
      <c r="AC70" s="308"/>
      <c r="AD70" s="308"/>
      <c r="AE70" s="308"/>
      <c r="AF70" s="308"/>
      <c r="AG70" s="16"/>
      <c r="AH70" s="308"/>
      <c r="AI70" s="308"/>
      <c r="AJ70" s="308"/>
      <c r="AK70" s="308"/>
      <c r="AL70" s="16"/>
      <c r="AM70" s="308"/>
      <c r="AN70" s="308"/>
      <c r="AO70" s="308"/>
      <c r="AP70" s="308"/>
      <c r="AQ70" s="16"/>
      <c r="AR70" s="308"/>
      <c r="AS70" s="308"/>
      <c r="AT70" s="308"/>
      <c r="AU70" s="308"/>
      <c r="AV70" s="16"/>
      <c r="AW70" s="308"/>
      <c r="AX70" s="308"/>
      <c r="AY70" s="308"/>
      <c r="AZ70" s="308"/>
      <c r="BA70" s="16"/>
      <c r="BB70" s="308"/>
      <c r="BC70" s="308"/>
      <c r="BD70" s="308"/>
      <c r="BE70" s="308"/>
      <c r="BF70" s="16"/>
      <c r="BG70" s="298"/>
      <c r="BH70" s="354"/>
      <c r="BI70" s="298"/>
      <c r="BJ70" s="298"/>
      <c r="BK70" s="116"/>
      <c r="BL70" s="298"/>
      <c r="BM70" s="310"/>
      <c r="BN70" s="300"/>
      <c r="BO70" s="300">
        <v>-5</v>
      </c>
      <c r="BP70" s="116">
        <f>SUM(BL70:BO70)</f>
        <v>-5</v>
      </c>
      <c r="BQ70" s="308"/>
      <c r="BR70" s="308"/>
      <c r="BS70" s="681"/>
      <c r="BT70" s="300"/>
      <c r="BU70" s="116">
        <f>SUM(BQ70:BT70)</f>
        <v>0</v>
      </c>
      <c r="BV70" s="300"/>
      <c r="BW70" s="300"/>
      <c r="BX70" s="300"/>
      <c r="BY70" s="300"/>
      <c r="BZ70" s="16"/>
      <c r="CA70" s="300"/>
      <c r="CB70" s="300"/>
      <c r="CC70" s="300"/>
      <c r="CD70" s="300"/>
      <c r="CE70" s="16"/>
      <c r="CF70" s="308"/>
      <c r="CG70" s="310"/>
      <c r="CH70" s="300"/>
      <c r="CI70" s="300"/>
      <c r="CJ70" s="16"/>
      <c r="CK70" s="308"/>
      <c r="CL70" s="310"/>
      <c r="CM70" s="300"/>
      <c r="CN70" s="300"/>
      <c r="CO70" s="16"/>
      <c r="CP70" s="308"/>
      <c r="CQ70" s="310"/>
      <c r="CR70" s="300"/>
      <c r="CS70" s="300"/>
      <c r="CT70" s="16"/>
      <c r="CU70" s="308"/>
      <c r="CV70" s="310"/>
      <c r="CW70" s="300"/>
      <c r="CX70" s="300"/>
      <c r="CY70" s="16"/>
      <c r="CZ70" s="308"/>
      <c r="DA70" s="310"/>
      <c r="DB70" s="300"/>
      <c r="DC70" s="300"/>
      <c r="DD70" s="16"/>
      <c r="DE70" s="308"/>
      <c r="DF70" s="310"/>
      <c r="DG70" s="300"/>
      <c r="DH70" s="300"/>
      <c r="DI70" s="16"/>
      <c r="DJ70" s="308"/>
      <c r="DK70" s="310"/>
      <c r="DL70" s="300"/>
      <c r="DM70" s="300"/>
      <c r="DN70" s="16"/>
      <c r="DO70" s="308"/>
      <c r="DP70" s="310"/>
      <c r="DQ70" s="300"/>
      <c r="DR70" s="300"/>
      <c r="DS70" s="16"/>
      <c r="DT70" s="308"/>
      <c r="DU70" s="310"/>
      <c r="DV70" s="300"/>
      <c r="DW70" s="300"/>
      <c r="DX70" s="16"/>
      <c r="DY70" s="308"/>
      <c r="DZ70" s="310"/>
      <c r="EA70" s="300"/>
      <c r="EB70" s="300"/>
      <c r="EC70" s="16"/>
      <c r="ED70" s="308"/>
      <c r="EE70" s="310"/>
      <c r="EF70" s="300"/>
      <c r="EG70" s="300"/>
      <c r="EH70" s="16"/>
      <c r="EI70" s="308"/>
      <c r="EJ70" s="310"/>
      <c r="EK70" s="300"/>
      <c r="EL70" s="300"/>
      <c r="EM70" s="16"/>
      <c r="EN70" s="308"/>
      <c r="EO70" s="310"/>
      <c r="EP70" s="300"/>
      <c r="EQ70" s="300"/>
      <c r="ER70" s="16"/>
    </row>
    <row r="71" spans="2:156" s="689" customFormat="1" ht="12.75" hidden="1" customHeight="1" outlineLevel="1">
      <c r="B71" s="21"/>
      <c r="C71" s="693"/>
      <c r="D71" s="308"/>
      <c r="E71" s="308"/>
      <c r="F71" s="308"/>
      <c r="G71" s="308"/>
      <c r="H71" s="693"/>
      <c r="I71" s="308"/>
      <c r="J71" s="308"/>
      <c r="K71" s="308"/>
      <c r="L71" s="308"/>
      <c r="M71" s="693"/>
      <c r="N71" s="308"/>
      <c r="O71" s="308"/>
      <c r="P71" s="308"/>
      <c r="Q71" s="308"/>
      <c r="R71" s="693"/>
      <c r="S71" s="308"/>
      <c r="T71" s="308"/>
      <c r="U71" s="308"/>
      <c r="V71" s="308"/>
      <c r="W71" s="693"/>
      <c r="X71" s="308"/>
      <c r="Y71" s="308"/>
      <c r="Z71" s="308"/>
      <c r="AA71" s="308"/>
      <c r="AB71" s="693"/>
      <c r="AC71" s="308"/>
      <c r="AD71" s="308"/>
      <c r="AE71" s="308"/>
      <c r="AF71" s="308"/>
      <c r="AG71" s="693"/>
      <c r="AH71" s="308"/>
      <c r="AI71" s="308"/>
      <c r="AJ71" s="308"/>
      <c r="AK71" s="308"/>
      <c r="AL71" s="693"/>
      <c r="AM71" s="308"/>
      <c r="AN71" s="308"/>
      <c r="AO71" s="308"/>
      <c r="AP71" s="308"/>
      <c r="AQ71" s="693"/>
      <c r="AR71" s="308"/>
      <c r="AS71" s="308"/>
      <c r="AT71" s="308"/>
      <c r="AU71" s="308"/>
      <c r="AV71" s="693"/>
      <c r="AW71" s="308"/>
      <c r="AX71" s="308"/>
      <c r="AY71" s="308"/>
      <c r="AZ71" s="308"/>
      <c r="BA71" s="693"/>
      <c r="BB71" s="308"/>
      <c r="BC71" s="308"/>
      <c r="BD71" s="308"/>
      <c r="BE71" s="308"/>
      <c r="BF71" s="693"/>
      <c r="BG71" s="711"/>
      <c r="BH71" s="354"/>
      <c r="BI71" s="711"/>
      <c r="BJ71" s="711"/>
      <c r="BK71" s="696"/>
      <c r="BL71" s="711"/>
      <c r="BM71" s="310"/>
      <c r="BN71" s="300"/>
      <c r="BO71" s="300"/>
      <c r="BP71" s="696"/>
      <c r="BQ71" s="308"/>
      <c r="BR71" s="308"/>
      <c r="BS71" s="681"/>
      <c r="BT71" s="300"/>
      <c r="BU71" s="696"/>
      <c r="BV71" s="300"/>
      <c r="BW71" s="300"/>
      <c r="BX71" s="300"/>
      <c r="BY71" s="300"/>
      <c r="BZ71" s="693"/>
      <c r="CA71" s="300"/>
      <c r="CB71" s="300"/>
      <c r="CC71" s="300"/>
      <c r="CD71" s="300"/>
      <c r="CE71" s="693"/>
      <c r="CF71" s="308"/>
      <c r="CG71" s="310"/>
      <c r="CH71" s="300"/>
      <c r="CI71" s="300"/>
      <c r="CJ71" s="693"/>
      <c r="CK71" s="308"/>
      <c r="CL71" s="310"/>
      <c r="CM71" s="300"/>
      <c r="CN71" s="300"/>
      <c r="CO71" s="693"/>
      <c r="CP71" s="308"/>
      <c r="CQ71" s="310"/>
      <c r="CR71" s="300"/>
      <c r="CS71" s="300"/>
      <c r="CT71" s="693"/>
      <c r="CU71" s="308"/>
      <c r="CV71" s="310"/>
      <c r="CW71" s="300"/>
      <c r="CX71" s="300"/>
      <c r="CY71" s="693"/>
      <c r="CZ71" s="308"/>
      <c r="DA71" s="310"/>
      <c r="DB71" s="300"/>
      <c r="DC71" s="300"/>
      <c r="DD71" s="693"/>
      <c r="DE71" s="308"/>
      <c r="DF71" s="310"/>
      <c r="DG71" s="300"/>
      <c r="DH71" s="300"/>
      <c r="DI71" s="693"/>
      <c r="DJ71" s="308"/>
      <c r="DK71" s="310"/>
      <c r="DL71" s="300"/>
      <c r="DM71" s="300"/>
      <c r="DN71" s="693"/>
      <c r="DO71" s="308"/>
      <c r="DP71" s="310"/>
      <c r="DQ71" s="300"/>
      <c r="DR71" s="300"/>
      <c r="DS71" s="693"/>
      <c r="DT71" s="308"/>
      <c r="DU71" s="310"/>
      <c r="DV71" s="300"/>
      <c r="DW71" s="300"/>
      <c r="DX71" s="693"/>
      <c r="DY71" s="308"/>
      <c r="DZ71" s="310"/>
      <c r="EA71" s="300"/>
      <c r="EB71" s="300"/>
      <c r="EC71" s="693"/>
      <c r="ED71" s="308"/>
      <c r="EE71" s="310"/>
      <c r="EF71" s="300"/>
      <c r="EG71" s="300"/>
      <c r="EH71" s="693"/>
      <c r="EI71" s="308"/>
      <c r="EJ71" s="310"/>
      <c r="EK71" s="300"/>
      <c r="EL71" s="300"/>
      <c r="EM71" s="693"/>
      <c r="EN71" s="308"/>
      <c r="EO71" s="310"/>
      <c r="EP71" s="300"/>
      <c r="EQ71" s="300"/>
      <c r="ER71" s="693"/>
      <c r="EU71"/>
      <c r="EV71"/>
      <c r="EW71"/>
      <c r="EX71"/>
      <c r="EY71"/>
      <c r="EZ71"/>
    </row>
    <row r="72" spans="2:156" ht="12.75" hidden="1" customHeight="1" outlineLevel="1">
      <c r="B72" s="20" t="s">
        <v>161</v>
      </c>
      <c r="C72" s="12"/>
      <c r="D72" s="300"/>
      <c r="E72" s="300"/>
      <c r="F72" s="300"/>
      <c r="G72" s="300"/>
      <c r="H72" s="12"/>
      <c r="I72" s="300"/>
      <c r="J72" s="300"/>
      <c r="K72" s="300"/>
      <c r="L72" s="300"/>
      <c r="M72" s="12"/>
      <c r="N72" s="300"/>
      <c r="O72" s="300"/>
      <c r="P72" s="300"/>
      <c r="Q72" s="300"/>
      <c r="R72" s="12"/>
      <c r="S72" s="300"/>
      <c r="T72" s="300"/>
      <c r="U72" s="300"/>
      <c r="V72" s="300"/>
      <c r="W72" s="12"/>
      <c r="X72" s="300"/>
      <c r="Y72" s="300"/>
      <c r="Z72" s="300"/>
      <c r="AA72" s="300"/>
      <c r="AB72" s="12"/>
      <c r="AC72" s="300"/>
      <c r="AD72" s="300"/>
      <c r="AE72" s="300"/>
      <c r="AF72" s="300"/>
      <c r="AG72" s="12"/>
      <c r="AH72" s="300"/>
      <c r="AI72" s="300"/>
      <c r="AJ72" s="300"/>
      <c r="AK72" s="300"/>
      <c r="AL72" s="12"/>
      <c r="AM72" s="300"/>
      <c r="AN72" s="300"/>
      <c r="AO72" s="300"/>
      <c r="AP72" s="300"/>
      <c r="AQ72" s="12"/>
      <c r="AR72" s="300"/>
      <c r="AS72" s="300"/>
      <c r="AT72" s="300"/>
      <c r="AU72" s="300"/>
      <c r="AV72" s="12"/>
      <c r="AW72" s="300"/>
      <c r="AX72" s="300"/>
      <c r="AY72" s="300"/>
      <c r="AZ72" s="300"/>
      <c r="BA72" s="12"/>
      <c r="BB72" s="300"/>
      <c r="BC72" s="300"/>
      <c r="BD72" s="300"/>
      <c r="BE72" s="300"/>
      <c r="BF72" s="12"/>
      <c r="BG72" s="298"/>
      <c r="BH72" s="298"/>
      <c r="BI72" s="298"/>
      <c r="BJ72" s="298"/>
      <c r="BK72" s="116"/>
      <c r="BL72" s="298"/>
      <c r="BM72" s="300"/>
      <c r="BN72" s="300"/>
      <c r="BO72" s="300"/>
      <c r="BP72" s="12"/>
      <c r="BQ72" s="300"/>
      <c r="BR72" s="300"/>
      <c r="BS72" s="300"/>
      <c r="BT72" s="300"/>
      <c r="BU72" s="12"/>
      <c r="BV72" s="300"/>
      <c r="BW72" s="300"/>
      <c r="BX72" s="300"/>
      <c r="BY72" s="300"/>
      <c r="BZ72" s="12"/>
      <c r="CA72" s="300"/>
      <c r="CB72" s="300"/>
      <c r="CC72" s="300"/>
      <c r="CD72" s="300"/>
      <c r="CE72" s="12"/>
      <c r="CF72" s="300"/>
      <c r="CG72" s="300"/>
      <c r="CH72" s="300"/>
      <c r="CI72" s="300"/>
      <c r="CJ72" s="12"/>
      <c r="CK72" s="300"/>
      <c r="CL72" s="300"/>
      <c r="CM72" s="300"/>
      <c r="CN72" s="300"/>
      <c r="CO72" s="12"/>
      <c r="CP72" s="300"/>
      <c r="CQ72" s="300"/>
      <c r="CR72" s="300"/>
      <c r="CS72" s="300"/>
      <c r="CT72" s="12"/>
      <c r="CU72" s="300"/>
      <c r="CV72" s="300"/>
      <c r="CW72" s="300"/>
      <c r="CX72" s="300"/>
      <c r="CY72" s="12"/>
      <c r="CZ72" s="300"/>
      <c r="DA72" s="300"/>
      <c r="DB72" s="300"/>
      <c r="DC72" s="300"/>
      <c r="DD72" s="12"/>
      <c r="DE72" s="300"/>
      <c r="DF72" s="300"/>
      <c r="DG72" s="300"/>
      <c r="DH72" s="300"/>
      <c r="DI72" s="12"/>
      <c r="DJ72" s="300"/>
      <c r="DK72" s="300"/>
      <c r="DL72" s="300"/>
      <c r="DM72" s="300"/>
      <c r="DN72" s="12"/>
      <c r="DO72" s="300"/>
      <c r="DP72" s="300"/>
      <c r="DQ72" s="300"/>
      <c r="DR72" s="300"/>
      <c r="DS72" s="12"/>
      <c r="DT72" s="300"/>
      <c r="DU72" s="300"/>
      <c r="DV72" s="300"/>
      <c r="DW72" s="300"/>
      <c r="DX72" s="12"/>
      <c r="DY72" s="300"/>
      <c r="DZ72" s="300"/>
      <c r="EA72" s="300"/>
      <c r="EB72" s="300"/>
      <c r="EC72" s="12"/>
      <c r="ED72" s="300"/>
      <c r="EE72" s="300"/>
      <c r="EF72" s="300"/>
      <c r="EG72" s="300"/>
      <c r="EH72" s="12"/>
      <c r="EI72" s="300"/>
      <c r="EJ72" s="300"/>
      <c r="EK72" s="300"/>
      <c r="EL72" s="300"/>
      <c r="EM72" s="12"/>
      <c r="EN72" s="300"/>
      <c r="EO72" s="300"/>
      <c r="EP72" s="300"/>
      <c r="EQ72" s="300"/>
      <c r="ER72" s="12"/>
    </row>
    <row r="73" spans="2:156" ht="12.75" hidden="1" customHeight="1" outlineLevel="2">
      <c r="B73" s="21" t="s">
        <v>108</v>
      </c>
      <c r="C73" s="32"/>
      <c r="D73" s="313"/>
      <c r="E73" s="313"/>
      <c r="F73" s="313"/>
      <c r="G73" s="313"/>
      <c r="H73" s="311">
        <f t="shared" ref="H73:H79" si="64">SUM(D73:G73)</f>
        <v>0</v>
      </c>
      <c r="I73" s="313"/>
      <c r="J73" s="313"/>
      <c r="K73" s="313"/>
      <c r="L73" s="313"/>
      <c r="M73" s="311">
        <f t="shared" ref="M73:M79" si="65">SUM(I73:L73)</f>
        <v>0</v>
      </c>
      <c r="N73" s="576"/>
      <c r="O73" s="576"/>
      <c r="P73" s="576"/>
      <c r="Q73" s="576"/>
      <c r="R73" s="311">
        <f t="shared" ref="R73:R79" si="66">SUM(N73:Q73)</f>
        <v>0</v>
      </c>
      <c r="S73" s="313"/>
      <c r="T73" s="313"/>
      <c r="U73" s="313"/>
      <c r="V73" s="313"/>
      <c r="W73" s="311">
        <f t="shared" ref="W73:W79" si="67">SUM(S73:V73)</f>
        <v>0</v>
      </c>
      <c r="X73" s="313"/>
      <c r="Y73" s="313"/>
      <c r="Z73" s="313"/>
      <c r="AA73" s="313"/>
      <c r="AB73" s="311">
        <f t="shared" ref="AB73:AB79" si="68">SUM(X73:AA73)</f>
        <v>0</v>
      </c>
      <c r="AC73" s="313"/>
      <c r="AD73" s="313"/>
      <c r="AE73" s="313"/>
      <c r="AF73" s="313"/>
      <c r="AG73" s="311">
        <f t="shared" ref="AG73:AG79" si="69">SUM(AC73:AF73)</f>
        <v>0</v>
      </c>
      <c r="AH73" s="313"/>
      <c r="AI73" s="313"/>
      <c r="AJ73" s="313"/>
      <c r="AK73" s="313"/>
      <c r="AL73" s="311">
        <f t="shared" ref="AL73:AL79" si="70">SUM(AH73:AK73)</f>
        <v>0</v>
      </c>
      <c r="AM73" s="313"/>
      <c r="AN73" s="312">
        <v>-3.7109999999999999</v>
      </c>
      <c r="AO73" s="312">
        <v>-4.9219999999999997</v>
      </c>
      <c r="AP73" s="312">
        <v>-5.0129999999999999</v>
      </c>
      <c r="AQ73" s="12">
        <f t="shared" ref="AQ73:AQ79" si="71">SUM(AM73:AP73)</f>
        <v>-13.645999999999999</v>
      </c>
      <c r="AR73" s="312">
        <v>-4.9779999999999998</v>
      </c>
      <c r="AS73" s="312">
        <v>-2.0419999999999998</v>
      </c>
      <c r="AT73" s="312"/>
      <c r="AU73" s="312"/>
      <c r="AV73" s="12">
        <f t="shared" ref="AV73:AV79" si="72">SUM(AR73:AU73)</f>
        <v>-7.02</v>
      </c>
      <c r="AW73" s="312"/>
      <c r="AX73" s="312"/>
      <c r="AY73" s="312"/>
      <c r="AZ73" s="312"/>
      <c r="BA73" s="12">
        <f t="shared" ref="BA73:BA79" si="73">SUM(AW73:AZ73)</f>
        <v>0</v>
      </c>
      <c r="BB73" s="312"/>
      <c r="BC73" s="312"/>
      <c r="BD73" s="312"/>
      <c r="BE73" s="312"/>
      <c r="BF73" s="12">
        <f t="shared" ref="BF73:BF79" si="74">SUM(BB73:BE73)</f>
        <v>0</v>
      </c>
      <c r="BG73" s="292"/>
      <c r="BH73" s="292"/>
      <c r="BI73" s="292"/>
      <c r="BJ73" s="292"/>
      <c r="BK73" s="116">
        <f t="shared" ref="BK73:BK79" si="75">SUM(BG73:BJ73)</f>
        <v>0</v>
      </c>
      <c r="BL73" s="312"/>
      <c r="BM73" s="312"/>
      <c r="BN73" s="312"/>
      <c r="BO73" s="313"/>
      <c r="BP73" s="311"/>
      <c r="BQ73" s="312"/>
      <c r="BR73" s="312"/>
      <c r="BS73" s="312"/>
      <c r="BT73" s="313"/>
      <c r="BU73" s="311"/>
      <c r="BV73" s="313"/>
      <c r="BW73" s="313"/>
      <c r="BX73" s="313"/>
      <c r="BY73" s="313"/>
      <c r="BZ73" s="311"/>
      <c r="CA73" s="313"/>
      <c r="CB73" s="313"/>
      <c r="CC73" s="313"/>
      <c r="CD73" s="313"/>
      <c r="CE73" s="311"/>
      <c r="CF73" s="312"/>
      <c r="CG73" s="312"/>
      <c r="CH73" s="312"/>
      <c r="CI73" s="313"/>
      <c r="CJ73" s="311"/>
      <c r="CK73" s="312"/>
      <c r="CL73" s="312"/>
      <c r="CM73" s="312"/>
      <c r="CN73" s="313"/>
      <c r="CO73" s="311"/>
      <c r="CP73" s="312"/>
      <c r="CQ73" s="312"/>
      <c r="CR73" s="312"/>
      <c r="CS73" s="313"/>
      <c r="CT73" s="311"/>
      <c r="CU73" s="312"/>
      <c r="CV73" s="312"/>
      <c r="CW73" s="312"/>
      <c r="CX73" s="313"/>
      <c r="CY73" s="311"/>
      <c r="CZ73" s="312"/>
      <c r="DA73" s="312"/>
      <c r="DB73" s="312"/>
      <c r="DC73" s="313"/>
      <c r="DD73" s="311"/>
      <c r="DE73" s="312"/>
      <c r="DF73" s="312"/>
      <c r="DG73" s="312"/>
      <c r="DH73" s="313"/>
      <c r="DI73" s="311"/>
      <c r="DJ73" s="312"/>
      <c r="DK73" s="312"/>
      <c r="DL73" s="312"/>
      <c r="DM73" s="313"/>
      <c r="DN73" s="311"/>
      <c r="DO73" s="312"/>
      <c r="DP73" s="312"/>
      <c r="DQ73" s="312"/>
      <c r="DR73" s="313"/>
      <c r="DS73" s="311"/>
      <c r="DT73" s="312"/>
      <c r="DU73" s="312"/>
      <c r="DV73" s="312"/>
      <c r="DW73" s="313"/>
      <c r="DX73" s="311"/>
      <c r="DY73" s="312"/>
      <c r="DZ73" s="312"/>
      <c r="EA73" s="312"/>
      <c r="EB73" s="313"/>
      <c r="EC73" s="311"/>
      <c r="ED73" s="312"/>
      <c r="EE73" s="312"/>
      <c r="EF73" s="312"/>
      <c r="EG73" s="313"/>
      <c r="EH73" s="311"/>
      <c r="EI73" s="312"/>
      <c r="EJ73" s="312"/>
      <c r="EK73" s="312"/>
      <c r="EL73" s="313"/>
      <c r="EM73" s="311"/>
      <c r="EN73" s="312"/>
      <c r="EO73" s="312"/>
      <c r="EP73" s="312"/>
      <c r="EQ73" s="313"/>
      <c r="ER73" s="311"/>
    </row>
    <row r="74" spans="2:156" ht="12.75" hidden="1" customHeight="1" outlineLevel="2">
      <c r="B74" s="21" t="s">
        <v>109</v>
      </c>
      <c r="C74" s="28"/>
      <c r="D74" s="312"/>
      <c r="E74" s="312"/>
      <c r="F74" s="312"/>
      <c r="G74" s="312"/>
      <c r="H74" s="12">
        <f t="shared" si="64"/>
        <v>0</v>
      </c>
      <c r="I74" s="312"/>
      <c r="J74" s="312"/>
      <c r="K74" s="312"/>
      <c r="L74" s="312"/>
      <c r="M74" s="12">
        <f t="shared" si="65"/>
        <v>0</v>
      </c>
      <c r="N74" s="300"/>
      <c r="O74" s="300"/>
      <c r="P74" s="300"/>
      <c r="Q74" s="300"/>
      <c r="R74" s="12">
        <f t="shared" si="66"/>
        <v>0</v>
      </c>
      <c r="S74" s="312"/>
      <c r="T74" s="312"/>
      <c r="U74" s="312"/>
      <c r="V74" s="312"/>
      <c r="W74" s="12">
        <f t="shared" si="67"/>
        <v>0</v>
      </c>
      <c r="X74" s="312"/>
      <c r="Y74" s="312"/>
      <c r="Z74" s="312"/>
      <c r="AA74" s="312"/>
      <c r="AB74" s="12">
        <f t="shared" si="68"/>
        <v>0</v>
      </c>
      <c r="AC74" s="312"/>
      <c r="AD74" s="312"/>
      <c r="AE74" s="312"/>
      <c r="AF74" s="312"/>
      <c r="AG74" s="12">
        <f t="shared" si="69"/>
        <v>0</v>
      </c>
      <c r="AH74" s="312"/>
      <c r="AI74" s="312"/>
      <c r="AJ74" s="312"/>
      <c r="AK74" s="312"/>
      <c r="AL74" s="12">
        <f t="shared" si="70"/>
        <v>0</v>
      </c>
      <c r="AM74" s="312"/>
      <c r="AN74" s="312">
        <v>-12.066000000000001</v>
      </c>
      <c r="AO74" s="312">
        <v>-14.585000000000001</v>
      </c>
      <c r="AP74" s="312">
        <v>-14.48</v>
      </c>
      <c r="AQ74" s="12">
        <f t="shared" si="71"/>
        <v>-41.131</v>
      </c>
      <c r="AR74" s="312">
        <v>-14.984</v>
      </c>
      <c r="AS74" s="312">
        <v>-14.981</v>
      </c>
      <c r="AT74" s="312">
        <v>-14.981</v>
      </c>
      <c r="AU74" s="312">
        <v>-14.981</v>
      </c>
      <c r="AV74" s="12">
        <f t="shared" si="72"/>
        <v>-59.927</v>
      </c>
      <c r="AW74" s="312">
        <v>-17.407</v>
      </c>
      <c r="AX74" s="312">
        <v>-17.408000000000001</v>
      </c>
      <c r="AY74" s="312">
        <v>-17.407</v>
      </c>
      <c r="AZ74" s="312">
        <v>-17.407</v>
      </c>
      <c r="BA74" s="12">
        <f t="shared" si="73"/>
        <v>-69.628999999999991</v>
      </c>
      <c r="BB74" s="312">
        <v>-15.836</v>
      </c>
      <c r="BC74" s="312">
        <v>-15.836</v>
      </c>
      <c r="BD74" s="312">
        <v>-15.837</v>
      </c>
      <c r="BE74" s="312">
        <v>-16.962</v>
      </c>
      <c r="BF74" s="12">
        <f t="shared" si="74"/>
        <v>-64.471000000000004</v>
      </c>
      <c r="BG74" s="292">
        <v>-21.545000000000002</v>
      </c>
      <c r="BH74" s="292">
        <v>-21.545999999999999</v>
      </c>
      <c r="BI74" s="292"/>
      <c r="BJ74" s="292"/>
      <c r="BK74" s="116">
        <f t="shared" si="75"/>
        <v>-43.091000000000001</v>
      </c>
      <c r="BL74" s="312"/>
      <c r="BM74" s="312"/>
      <c r="BN74" s="312"/>
      <c r="BO74" s="312"/>
      <c r="BP74" s="12"/>
      <c r="BQ74" s="312"/>
      <c r="BR74" s="312"/>
      <c r="BS74" s="312"/>
      <c r="BT74" s="312"/>
      <c r="BU74" s="12"/>
      <c r="BV74" s="312"/>
      <c r="BW74" s="312"/>
      <c r="BX74" s="312"/>
      <c r="BY74" s="312"/>
      <c r="BZ74" s="12"/>
      <c r="CA74" s="312"/>
      <c r="CB74" s="312"/>
      <c r="CC74" s="312"/>
      <c r="CD74" s="312"/>
      <c r="CE74" s="12"/>
      <c r="CF74" s="312"/>
      <c r="CG74" s="312"/>
      <c r="CH74" s="312"/>
      <c r="CI74" s="312"/>
      <c r="CJ74" s="12"/>
      <c r="CK74" s="312"/>
      <c r="CL74" s="312"/>
      <c r="CM74" s="312"/>
      <c r="CN74" s="312"/>
      <c r="CO74" s="12"/>
      <c r="CP74" s="312"/>
      <c r="CQ74" s="312"/>
      <c r="CR74" s="312"/>
      <c r="CS74" s="312"/>
      <c r="CT74" s="12"/>
      <c r="CU74" s="312"/>
      <c r="CV74" s="312"/>
      <c r="CW74" s="312"/>
      <c r="CX74" s="312"/>
      <c r="CY74" s="12"/>
      <c r="CZ74" s="312"/>
      <c r="DA74" s="312"/>
      <c r="DB74" s="312"/>
      <c r="DC74" s="312"/>
      <c r="DD74" s="12"/>
      <c r="DE74" s="312"/>
      <c r="DF74" s="312"/>
      <c r="DG74" s="312"/>
      <c r="DH74" s="312"/>
      <c r="DI74" s="12"/>
      <c r="DJ74" s="312"/>
      <c r="DK74" s="312"/>
      <c r="DL74" s="312"/>
      <c r="DM74" s="312"/>
      <c r="DN74" s="12"/>
      <c r="DO74" s="312"/>
      <c r="DP74" s="312"/>
      <c r="DQ74" s="312"/>
      <c r="DR74" s="312"/>
      <c r="DS74" s="12"/>
      <c r="DT74" s="312"/>
      <c r="DU74" s="312"/>
      <c r="DV74" s="312"/>
      <c r="DW74" s="312"/>
      <c r="DX74" s="12"/>
      <c r="DY74" s="312"/>
      <c r="DZ74" s="312"/>
      <c r="EA74" s="312"/>
      <c r="EB74" s="312"/>
      <c r="EC74" s="12"/>
      <c r="ED74" s="312"/>
      <c r="EE74" s="312"/>
      <c r="EF74" s="312"/>
      <c r="EG74" s="312"/>
      <c r="EH74" s="12"/>
      <c r="EI74" s="312"/>
      <c r="EJ74" s="312"/>
      <c r="EK74" s="312"/>
      <c r="EL74" s="312"/>
      <c r="EM74" s="12"/>
      <c r="EN74" s="312"/>
      <c r="EO74" s="312"/>
      <c r="EP74" s="312"/>
      <c r="EQ74" s="312"/>
      <c r="ER74" s="12"/>
    </row>
    <row r="75" spans="2:156" ht="12.75" hidden="1" customHeight="1" outlineLevel="2">
      <c r="B75" s="21" t="s">
        <v>105</v>
      </c>
      <c r="C75" s="28"/>
      <c r="D75" s="312"/>
      <c r="E75" s="312"/>
      <c r="F75" s="312"/>
      <c r="G75" s="312"/>
      <c r="H75" s="12">
        <f t="shared" si="64"/>
        <v>0</v>
      </c>
      <c r="I75" s="312"/>
      <c r="J75" s="312"/>
      <c r="K75" s="312"/>
      <c r="L75" s="312"/>
      <c r="M75" s="12">
        <f t="shared" si="65"/>
        <v>0</v>
      </c>
      <c r="N75" s="300"/>
      <c r="O75" s="300"/>
      <c r="P75" s="300"/>
      <c r="Q75" s="300"/>
      <c r="R75" s="12">
        <f t="shared" si="66"/>
        <v>0</v>
      </c>
      <c r="S75" s="312"/>
      <c r="T75" s="312"/>
      <c r="U75" s="312"/>
      <c r="V75" s="312"/>
      <c r="W75" s="12">
        <f t="shared" si="67"/>
        <v>0</v>
      </c>
      <c r="X75" s="312"/>
      <c r="Y75" s="312"/>
      <c r="Z75" s="312"/>
      <c r="AA75" s="312"/>
      <c r="AB75" s="12">
        <f t="shared" si="68"/>
        <v>0</v>
      </c>
      <c r="AC75" s="312"/>
      <c r="AD75" s="312"/>
      <c r="AE75" s="312"/>
      <c r="AF75" s="312"/>
      <c r="AG75" s="12">
        <f t="shared" si="69"/>
        <v>0</v>
      </c>
      <c r="AH75" s="312"/>
      <c r="AI75" s="312"/>
      <c r="AJ75" s="312"/>
      <c r="AK75" s="312"/>
      <c r="AL75" s="12">
        <f t="shared" si="70"/>
        <v>0</v>
      </c>
      <c r="AM75" s="312"/>
      <c r="AN75" s="312">
        <v>-8.1649999999999991</v>
      </c>
      <c r="AO75" s="312">
        <v>-0.23899999999999999</v>
      </c>
      <c r="AP75" s="312">
        <v>-0.03</v>
      </c>
      <c r="AQ75" s="12">
        <f t="shared" si="71"/>
        <v>-8.4339999999999993</v>
      </c>
      <c r="AR75" s="312"/>
      <c r="AS75" s="312"/>
      <c r="AT75" s="312">
        <v>-0.38700000000000001</v>
      </c>
      <c r="AU75" s="312"/>
      <c r="AV75" s="12">
        <f t="shared" si="72"/>
        <v>-0.38700000000000001</v>
      </c>
      <c r="AW75" s="312">
        <v>-0.82400000000000007</v>
      </c>
      <c r="AX75" s="312">
        <v>-0.36499999999999999</v>
      </c>
      <c r="AY75" s="312">
        <v>0</v>
      </c>
      <c r="AZ75" s="312">
        <v>-28.544</v>
      </c>
      <c r="BA75" s="12">
        <f t="shared" si="73"/>
        <v>-29.733000000000001</v>
      </c>
      <c r="BB75" s="312">
        <v>-17.613</v>
      </c>
      <c r="BC75" s="312">
        <v>-0.93899999999999995</v>
      </c>
      <c r="BD75" s="312">
        <v>-0.222</v>
      </c>
      <c r="BE75" s="312">
        <v>-1.236</v>
      </c>
      <c r="BF75" s="12">
        <f t="shared" si="74"/>
        <v>-20.010000000000002</v>
      </c>
      <c r="BG75" s="292">
        <v>-7.1559999999999997</v>
      </c>
      <c r="BH75" s="292">
        <v>-4.0000000000000001E-3</v>
      </c>
      <c r="BI75" s="292"/>
      <c r="BJ75" s="292"/>
      <c r="BK75" s="116">
        <f t="shared" si="75"/>
        <v>-7.1599999999999993</v>
      </c>
      <c r="BL75" s="312"/>
      <c r="BM75" s="312"/>
      <c r="BN75" s="312"/>
      <c r="BO75" s="312"/>
      <c r="BP75" s="12"/>
      <c r="BQ75" s="312"/>
      <c r="BR75" s="312"/>
      <c r="BS75" s="312"/>
      <c r="BT75" s="312"/>
      <c r="BU75" s="12"/>
      <c r="BV75" s="312"/>
      <c r="BW75" s="312"/>
      <c r="BX75" s="312"/>
      <c r="BY75" s="312"/>
      <c r="BZ75" s="12"/>
      <c r="CA75" s="312"/>
      <c r="CB75" s="312"/>
      <c r="CC75" s="312"/>
      <c r="CD75" s="312"/>
      <c r="CE75" s="12"/>
      <c r="CF75" s="312"/>
      <c r="CG75" s="312"/>
      <c r="CH75" s="312"/>
      <c r="CI75" s="312"/>
      <c r="CJ75" s="12"/>
      <c r="CK75" s="312"/>
      <c r="CL75" s="312"/>
      <c r="CM75" s="312"/>
      <c r="CN75" s="312"/>
      <c r="CO75" s="12"/>
      <c r="CP75" s="312"/>
      <c r="CQ75" s="312"/>
      <c r="CR75" s="312"/>
      <c r="CS75" s="312"/>
      <c r="CT75" s="12"/>
      <c r="CU75" s="312"/>
      <c r="CV75" s="312"/>
      <c r="CW75" s="312"/>
      <c r="CX75" s="312"/>
      <c r="CY75" s="12"/>
      <c r="CZ75" s="312"/>
      <c r="DA75" s="312"/>
      <c r="DB75" s="312"/>
      <c r="DC75" s="312"/>
      <c r="DD75" s="12"/>
      <c r="DE75" s="312"/>
      <c r="DF75" s="312"/>
      <c r="DG75" s="312"/>
      <c r="DH75" s="312"/>
      <c r="DI75" s="12"/>
      <c r="DJ75" s="312"/>
      <c r="DK75" s="312"/>
      <c r="DL75" s="312"/>
      <c r="DM75" s="312"/>
      <c r="DN75" s="12"/>
      <c r="DO75" s="312"/>
      <c r="DP75" s="312"/>
      <c r="DQ75" s="312"/>
      <c r="DR75" s="312"/>
      <c r="DS75" s="12"/>
      <c r="DT75" s="312"/>
      <c r="DU75" s="312"/>
      <c r="DV75" s="312"/>
      <c r="DW75" s="312"/>
      <c r="DX75" s="12"/>
      <c r="DY75" s="312"/>
      <c r="DZ75" s="312"/>
      <c r="EA75" s="312"/>
      <c r="EB75" s="312"/>
      <c r="EC75" s="12"/>
      <c r="ED75" s="312"/>
      <c r="EE75" s="312"/>
      <c r="EF75" s="312"/>
      <c r="EG75" s="312"/>
      <c r="EH75" s="12"/>
      <c r="EI75" s="312"/>
      <c r="EJ75" s="312"/>
      <c r="EK75" s="312"/>
      <c r="EL75" s="312"/>
      <c r="EM75" s="12"/>
      <c r="EN75" s="312"/>
      <c r="EO75" s="312"/>
      <c r="EP75" s="312"/>
      <c r="EQ75" s="312"/>
      <c r="ER75" s="12"/>
    </row>
    <row r="76" spans="2:156" ht="12.75" hidden="1" customHeight="1" outlineLevel="2">
      <c r="B76" s="21" t="s">
        <v>106</v>
      </c>
      <c r="C76" s="28"/>
      <c r="D76" s="312"/>
      <c r="E76" s="312"/>
      <c r="F76" s="312"/>
      <c r="G76" s="312"/>
      <c r="H76" s="12">
        <f t="shared" si="64"/>
        <v>0</v>
      </c>
      <c r="I76" s="312"/>
      <c r="J76" s="312"/>
      <c r="K76" s="312"/>
      <c r="L76" s="312"/>
      <c r="M76" s="12">
        <f t="shared" si="65"/>
        <v>0</v>
      </c>
      <c r="N76" s="300"/>
      <c r="O76" s="300"/>
      <c r="P76" s="300"/>
      <c r="Q76" s="300"/>
      <c r="R76" s="12">
        <f t="shared" si="66"/>
        <v>0</v>
      </c>
      <c r="S76" s="312"/>
      <c r="T76" s="312"/>
      <c r="U76" s="312"/>
      <c r="V76" s="312"/>
      <c r="W76" s="12">
        <f t="shared" si="67"/>
        <v>0</v>
      </c>
      <c r="X76" s="312"/>
      <c r="Y76" s="312"/>
      <c r="Z76" s="312"/>
      <c r="AA76" s="312"/>
      <c r="AB76" s="12">
        <f t="shared" si="68"/>
        <v>0</v>
      </c>
      <c r="AC76" s="312"/>
      <c r="AD76" s="312"/>
      <c r="AE76" s="312"/>
      <c r="AF76" s="312"/>
      <c r="AG76" s="12">
        <f t="shared" si="69"/>
        <v>0</v>
      </c>
      <c r="AH76" s="312"/>
      <c r="AI76" s="312"/>
      <c r="AJ76" s="312"/>
      <c r="AK76" s="312"/>
      <c r="AL76" s="12">
        <f t="shared" si="70"/>
        <v>0</v>
      </c>
      <c r="AM76" s="312"/>
      <c r="AN76" s="312">
        <v>-24.106000000000002</v>
      </c>
      <c r="AO76" s="312">
        <v>-8.4030000000000005</v>
      </c>
      <c r="AP76" s="312">
        <v>-19.375999999999998</v>
      </c>
      <c r="AQ76" s="12">
        <f t="shared" si="71"/>
        <v>-51.884999999999998</v>
      </c>
      <c r="AR76" s="312">
        <v>-14.683999999999999</v>
      </c>
      <c r="AS76" s="312">
        <v>-3.036</v>
      </c>
      <c r="AT76" s="312">
        <v>-7.7280000000000006</v>
      </c>
      <c r="AU76" s="312">
        <v>-14.19</v>
      </c>
      <c r="AV76" s="12">
        <f t="shared" si="72"/>
        <v>-39.637999999999998</v>
      </c>
      <c r="AW76" s="312">
        <v>-1.806</v>
      </c>
      <c r="AX76" s="312">
        <v>-0.41400000000000003</v>
      </c>
      <c r="AY76" s="312">
        <v>-0.5</v>
      </c>
      <c r="AZ76" s="312">
        <v>-1.2330000000000001</v>
      </c>
      <c r="BA76" s="12">
        <f t="shared" si="73"/>
        <v>-3.9530000000000003</v>
      </c>
      <c r="BB76" s="312">
        <v>-8.67</v>
      </c>
      <c r="BC76" s="312">
        <v>-8.827</v>
      </c>
      <c r="BD76" s="312">
        <v>-3.024</v>
      </c>
      <c r="BE76" s="312">
        <v>-2.5999999999999995E-2</v>
      </c>
      <c r="BF76" s="12">
        <f t="shared" si="74"/>
        <v>-20.547000000000001</v>
      </c>
      <c r="BG76" s="292">
        <v>-5.5010000000000003</v>
      </c>
      <c r="BH76" s="292">
        <v>0.23899999999999999</v>
      </c>
      <c r="BI76" s="292"/>
      <c r="BJ76" s="292"/>
      <c r="BK76" s="116">
        <f t="shared" si="75"/>
        <v>-5.2620000000000005</v>
      </c>
      <c r="BL76" s="312"/>
      <c r="BM76" s="312"/>
      <c r="BN76" s="312"/>
      <c r="BO76" s="312"/>
      <c r="BP76" s="12"/>
      <c r="BQ76" s="312"/>
      <c r="BR76" s="312"/>
      <c r="BS76" s="312"/>
      <c r="BT76" s="312"/>
      <c r="BU76" s="12"/>
      <c r="BV76" s="312"/>
      <c r="BW76" s="312"/>
      <c r="BX76" s="312"/>
      <c r="BY76" s="312"/>
      <c r="BZ76" s="12"/>
      <c r="CA76" s="312"/>
      <c r="CB76" s="312"/>
      <c r="CC76" s="312"/>
      <c r="CD76" s="312"/>
      <c r="CE76" s="12"/>
      <c r="CF76" s="312"/>
      <c r="CG76" s="312"/>
      <c r="CH76" s="312"/>
      <c r="CI76" s="312"/>
      <c r="CJ76" s="12"/>
      <c r="CK76" s="312"/>
      <c r="CL76" s="312"/>
      <c r="CM76" s="312"/>
      <c r="CN76" s="312"/>
      <c r="CO76" s="12"/>
      <c r="CP76" s="312"/>
      <c r="CQ76" s="312"/>
      <c r="CR76" s="312"/>
      <c r="CS76" s="312"/>
      <c r="CT76" s="12"/>
      <c r="CU76" s="312"/>
      <c r="CV76" s="312"/>
      <c r="CW76" s="312"/>
      <c r="CX76" s="312"/>
      <c r="CY76" s="12"/>
      <c r="CZ76" s="312"/>
      <c r="DA76" s="312"/>
      <c r="DB76" s="312"/>
      <c r="DC76" s="312"/>
      <c r="DD76" s="12"/>
      <c r="DE76" s="312"/>
      <c r="DF76" s="312"/>
      <c r="DG76" s="312"/>
      <c r="DH76" s="312"/>
      <c r="DI76" s="12"/>
      <c r="DJ76" s="312"/>
      <c r="DK76" s="312"/>
      <c r="DL76" s="312"/>
      <c r="DM76" s="312"/>
      <c r="DN76" s="12"/>
      <c r="DO76" s="312"/>
      <c r="DP76" s="312"/>
      <c r="DQ76" s="312"/>
      <c r="DR76" s="312"/>
      <c r="DS76" s="12"/>
      <c r="DT76" s="312"/>
      <c r="DU76" s="312"/>
      <c r="DV76" s="312"/>
      <c r="DW76" s="312"/>
      <c r="DX76" s="12"/>
      <c r="DY76" s="312"/>
      <c r="DZ76" s="312"/>
      <c r="EA76" s="312"/>
      <c r="EB76" s="312"/>
      <c r="EC76" s="12"/>
      <c r="ED76" s="312"/>
      <c r="EE76" s="312"/>
      <c r="EF76" s="312"/>
      <c r="EG76" s="312"/>
      <c r="EH76" s="12"/>
      <c r="EI76" s="312"/>
      <c r="EJ76" s="312"/>
      <c r="EK76" s="312"/>
      <c r="EL76" s="312"/>
      <c r="EM76" s="12"/>
      <c r="EN76" s="312"/>
      <c r="EO76" s="312"/>
      <c r="EP76" s="312"/>
      <c r="EQ76" s="312"/>
      <c r="ER76" s="12"/>
    </row>
    <row r="77" spans="2:156" ht="12.75" hidden="1" customHeight="1" outlineLevel="2">
      <c r="B77" s="21" t="s">
        <v>110</v>
      </c>
      <c r="C77" s="28"/>
      <c r="D77" s="312"/>
      <c r="E77" s="312"/>
      <c r="F77" s="312"/>
      <c r="G77" s="312"/>
      <c r="H77" s="12">
        <f t="shared" si="64"/>
        <v>0</v>
      </c>
      <c r="I77" s="300">
        <v>-488.59899999999999</v>
      </c>
      <c r="J77" s="312"/>
      <c r="K77" s="312"/>
      <c r="L77" s="312"/>
      <c r="M77" s="12">
        <f t="shared" si="65"/>
        <v>-488.59899999999999</v>
      </c>
      <c r="N77" s="300"/>
      <c r="O77" s="300"/>
      <c r="P77" s="300"/>
      <c r="Q77" s="300"/>
      <c r="R77" s="12">
        <f t="shared" si="66"/>
        <v>0</v>
      </c>
      <c r="S77" s="312"/>
      <c r="T77" s="312"/>
      <c r="U77" s="312"/>
      <c r="V77" s="312"/>
      <c r="W77" s="12">
        <f t="shared" si="67"/>
        <v>0</v>
      </c>
      <c r="X77" s="312"/>
      <c r="Y77" s="312"/>
      <c r="Z77" s="312">
        <v>-355.56799999999998</v>
      </c>
      <c r="AA77" s="312">
        <v>-2038.4829999999999</v>
      </c>
      <c r="AB77" s="12">
        <f t="shared" si="68"/>
        <v>-2394.0509999999999</v>
      </c>
      <c r="AC77" s="312"/>
      <c r="AD77" s="312"/>
      <c r="AE77" s="312"/>
      <c r="AF77" s="312"/>
      <c r="AG77" s="12">
        <f t="shared" si="69"/>
        <v>0</v>
      </c>
      <c r="AH77" s="312"/>
      <c r="AI77" s="312">
        <v>-10.851000000000001</v>
      </c>
      <c r="AJ77" s="312"/>
      <c r="AK77" s="312"/>
      <c r="AL77" s="12">
        <f t="shared" si="70"/>
        <v>-10.851000000000001</v>
      </c>
      <c r="AM77" s="312"/>
      <c r="AN77" s="312"/>
      <c r="AO77" s="312"/>
      <c r="AP77" s="312"/>
      <c r="AQ77" s="12">
        <f t="shared" si="71"/>
        <v>0</v>
      </c>
      <c r="AR77" s="312"/>
      <c r="AS77" s="312"/>
      <c r="AT77" s="312"/>
      <c r="AU77" s="312">
        <v>-136</v>
      </c>
      <c r="AV77" s="12">
        <f t="shared" si="72"/>
        <v>-136</v>
      </c>
      <c r="AW77" s="312"/>
      <c r="AX77" s="312"/>
      <c r="AY77" s="312"/>
      <c r="AZ77" s="312">
        <v>-26.63</v>
      </c>
      <c r="BA77" s="12">
        <f t="shared" si="73"/>
        <v>-26.63</v>
      </c>
      <c r="BB77" s="312"/>
      <c r="BC77" s="312"/>
      <c r="BD77" s="312"/>
      <c r="BE77" s="312"/>
      <c r="BF77" s="12">
        <f t="shared" si="74"/>
        <v>0</v>
      </c>
      <c r="BG77" s="292"/>
      <c r="BH77" s="292"/>
      <c r="BI77" s="292"/>
      <c r="BJ77" s="292"/>
      <c r="BK77" s="116">
        <f t="shared" si="75"/>
        <v>0</v>
      </c>
      <c r="BL77" s="312"/>
      <c r="BM77" s="312"/>
      <c r="BN77" s="312"/>
      <c r="BO77" s="312"/>
      <c r="BP77" s="12"/>
      <c r="BQ77" s="312"/>
      <c r="BR77" s="312"/>
      <c r="BS77" s="312"/>
      <c r="BT77" s="312"/>
      <c r="BU77" s="12"/>
      <c r="BV77" s="312"/>
      <c r="BW77" s="312"/>
      <c r="BX77" s="312"/>
      <c r="BY77" s="312"/>
      <c r="BZ77" s="12"/>
      <c r="CA77" s="312"/>
      <c r="CB77" s="312"/>
      <c r="CC77" s="312"/>
      <c r="CD77" s="312"/>
      <c r="CE77" s="12"/>
      <c r="CF77" s="312"/>
      <c r="CG77" s="312"/>
      <c r="CH77" s="312"/>
      <c r="CI77" s="312"/>
      <c r="CJ77" s="12"/>
      <c r="CK77" s="312"/>
      <c r="CL77" s="312"/>
      <c r="CM77" s="312"/>
      <c r="CN77" s="312"/>
      <c r="CO77" s="12"/>
      <c r="CP77" s="312"/>
      <c r="CQ77" s="312"/>
      <c r="CR77" s="312"/>
      <c r="CS77" s="312"/>
      <c r="CT77" s="12"/>
      <c r="CU77" s="312"/>
      <c r="CV77" s="312"/>
      <c r="CW77" s="312"/>
      <c r="CX77" s="312"/>
      <c r="CY77" s="12"/>
      <c r="CZ77" s="312"/>
      <c r="DA77" s="312"/>
      <c r="DB77" s="312"/>
      <c r="DC77" s="312"/>
      <c r="DD77" s="12"/>
      <c r="DE77" s="312"/>
      <c r="DF77" s="312"/>
      <c r="DG77" s="312"/>
      <c r="DH77" s="312"/>
      <c r="DI77" s="12"/>
      <c r="DJ77" s="312"/>
      <c r="DK77" s="312"/>
      <c r="DL77" s="312"/>
      <c r="DM77" s="312"/>
      <c r="DN77" s="12"/>
      <c r="DO77" s="312"/>
      <c r="DP77" s="312"/>
      <c r="DQ77" s="312"/>
      <c r="DR77" s="312"/>
      <c r="DS77" s="12"/>
      <c r="DT77" s="312"/>
      <c r="DU77" s="312"/>
      <c r="DV77" s="312"/>
      <c r="DW77" s="312"/>
      <c r="DX77" s="12"/>
      <c r="DY77" s="312"/>
      <c r="DZ77" s="312"/>
      <c r="EA77" s="312"/>
      <c r="EB77" s="312"/>
      <c r="EC77" s="12"/>
      <c r="ED77" s="312"/>
      <c r="EE77" s="312"/>
      <c r="EF77" s="312"/>
      <c r="EG77" s="312"/>
      <c r="EH77" s="12"/>
      <c r="EI77" s="312"/>
      <c r="EJ77" s="312"/>
      <c r="EK77" s="312"/>
      <c r="EL77" s="312"/>
      <c r="EM77" s="12"/>
      <c r="EN77" s="312"/>
      <c r="EO77" s="312"/>
      <c r="EP77" s="312"/>
      <c r="EQ77" s="312"/>
      <c r="ER77" s="12"/>
    </row>
    <row r="78" spans="2:156" ht="12.75" hidden="1" customHeight="1" outlineLevel="2">
      <c r="B78" s="21" t="s">
        <v>111</v>
      </c>
      <c r="C78" s="12">
        <v>167.61399999999998</v>
      </c>
      <c r="D78" s="312"/>
      <c r="E78" s="312"/>
      <c r="F78" s="300">
        <v>-16.047999999999998</v>
      </c>
      <c r="G78" s="312"/>
      <c r="H78" s="12">
        <f t="shared" si="64"/>
        <v>-16.047999999999998</v>
      </c>
      <c r="I78" s="312"/>
      <c r="J78" s="312"/>
      <c r="K78" s="300">
        <v>13.25</v>
      </c>
      <c r="L78" s="300">
        <v>-10.923</v>
      </c>
      <c r="M78" s="12">
        <f t="shared" si="65"/>
        <v>2.327</v>
      </c>
      <c r="N78" s="300">
        <v>20.576000000000001</v>
      </c>
      <c r="O78" s="300"/>
      <c r="P78" s="300"/>
      <c r="Q78" s="300">
        <v>-7.4379999999999997</v>
      </c>
      <c r="R78" s="12">
        <f t="shared" si="66"/>
        <v>13.138000000000002</v>
      </c>
      <c r="S78" s="312"/>
      <c r="T78" s="312"/>
      <c r="U78" s="312"/>
      <c r="V78" s="312"/>
      <c r="W78" s="12">
        <f t="shared" si="67"/>
        <v>0</v>
      </c>
      <c r="X78" s="312"/>
      <c r="Y78" s="312"/>
      <c r="Z78" s="312"/>
      <c r="AA78" s="312"/>
      <c r="AB78" s="12">
        <f t="shared" si="68"/>
        <v>0</v>
      </c>
      <c r="AC78" s="312"/>
      <c r="AD78" s="312"/>
      <c r="AE78" s="312"/>
      <c r="AF78" s="312"/>
      <c r="AG78" s="12">
        <f t="shared" si="69"/>
        <v>0</v>
      </c>
      <c r="AH78" s="312"/>
      <c r="AI78" s="312"/>
      <c r="AJ78" s="312"/>
      <c r="AK78" s="312"/>
      <c r="AL78" s="12">
        <f t="shared" si="70"/>
        <v>0</v>
      </c>
      <c r="AM78" s="312"/>
      <c r="AN78" s="312"/>
      <c r="AO78" s="312"/>
      <c r="AP78" s="312"/>
      <c r="AQ78" s="12">
        <f t="shared" si="71"/>
        <v>0</v>
      </c>
      <c r="AR78" s="312"/>
      <c r="AS78" s="312"/>
      <c r="AT78" s="312"/>
      <c r="AU78" s="312"/>
      <c r="AV78" s="12">
        <f t="shared" si="72"/>
        <v>0</v>
      </c>
      <c r="AW78" s="312"/>
      <c r="AX78" s="312">
        <v>0.41799999999999998</v>
      </c>
      <c r="AY78" s="312">
        <v>-7.3450000000000006</v>
      </c>
      <c r="AZ78" s="312">
        <v>-31.103000000000002</v>
      </c>
      <c r="BA78" s="12">
        <f t="shared" si="73"/>
        <v>-38.03</v>
      </c>
      <c r="BB78" s="312">
        <v>-2.7360000000000002</v>
      </c>
      <c r="BC78" s="312">
        <v>-2.57</v>
      </c>
      <c r="BD78" s="312">
        <v>-58.81</v>
      </c>
      <c r="BE78" s="312">
        <v>-5.3529999999999998</v>
      </c>
      <c r="BF78" s="12">
        <f t="shared" si="74"/>
        <v>-69.468999999999994</v>
      </c>
      <c r="BG78" s="292">
        <v>-6.024</v>
      </c>
      <c r="BH78" s="292">
        <v>-11.417999999999999</v>
      </c>
      <c r="BI78" s="292"/>
      <c r="BJ78" s="292"/>
      <c r="BK78" s="116">
        <f t="shared" si="75"/>
        <v>-17.442</v>
      </c>
      <c r="BL78" s="312"/>
      <c r="BM78" s="312"/>
      <c r="BN78" s="312"/>
      <c r="BO78" s="312"/>
      <c r="BP78" s="12"/>
      <c r="BQ78" s="312"/>
      <c r="BR78" s="312"/>
      <c r="BS78" s="312"/>
      <c r="BT78" s="312"/>
      <c r="BU78" s="12"/>
      <c r="BV78" s="312"/>
      <c r="BW78" s="312"/>
      <c r="BX78" s="312"/>
      <c r="BY78" s="312"/>
      <c r="BZ78" s="12"/>
      <c r="CA78" s="312"/>
      <c r="CB78" s="312"/>
      <c r="CC78" s="312"/>
      <c r="CD78" s="312"/>
      <c r="CE78" s="12"/>
      <c r="CF78" s="312"/>
      <c r="CG78" s="312"/>
      <c r="CH78" s="312"/>
      <c r="CI78" s="312"/>
      <c r="CJ78" s="12"/>
      <c r="CK78" s="312"/>
      <c r="CL78" s="312"/>
      <c r="CM78" s="312"/>
      <c r="CN78" s="312"/>
      <c r="CO78" s="12"/>
      <c r="CP78" s="312"/>
      <c r="CQ78" s="312"/>
      <c r="CR78" s="312"/>
      <c r="CS78" s="312"/>
      <c r="CT78" s="12"/>
      <c r="CU78" s="312"/>
      <c r="CV78" s="312"/>
      <c r="CW78" s="312"/>
      <c r="CX78" s="312"/>
      <c r="CY78" s="12"/>
      <c r="CZ78" s="312"/>
      <c r="DA78" s="312"/>
      <c r="DB78" s="312"/>
      <c r="DC78" s="312"/>
      <c r="DD78" s="12"/>
      <c r="DE78" s="312"/>
      <c r="DF78" s="312"/>
      <c r="DG78" s="312"/>
      <c r="DH78" s="312"/>
      <c r="DI78" s="12"/>
      <c r="DJ78" s="312"/>
      <c r="DK78" s="312"/>
      <c r="DL78" s="312"/>
      <c r="DM78" s="312"/>
      <c r="DN78" s="12"/>
      <c r="DO78" s="312"/>
      <c r="DP78" s="312"/>
      <c r="DQ78" s="312"/>
      <c r="DR78" s="312"/>
      <c r="DS78" s="12"/>
      <c r="DT78" s="312"/>
      <c r="DU78" s="312"/>
      <c r="DV78" s="312"/>
      <c r="DW78" s="312"/>
      <c r="DX78" s="12"/>
      <c r="DY78" s="312"/>
      <c r="DZ78" s="312"/>
      <c r="EA78" s="312"/>
      <c r="EB78" s="312"/>
      <c r="EC78" s="12"/>
      <c r="ED78" s="312"/>
      <c r="EE78" s="312"/>
      <c r="EF78" s="312"/>
      <c r="EG78" s="312"/>
      <c r="EH78" s="12"/>
      <c r="EI78" s="312"/>
      <c r="EJ78" s="312"/>
      <c r="EK78" s="312"/>
      <c r="EL78" s="312"/>
      <c r="EM78" s="12"/>
      <c r="EN78" s="312"/>
      <c r="EO78" s="312"/>
      <c r="EP78" s="312"/>
      <c r="EQ78" s="312"/>
      <c r="ER78" s="12"/>
    </row>
    <row r="79" spans="2:156" ht="12.75" hidden="1" customHeight="1" outlineLevel="2">
      <c r="B79" s="21" t="s">
        <v>112</v>
      </c>
      <c r="C79" s="28"/>
      <c r="D79" s="312"/>
      <c r="E79" s="312"/>
      <c r="F79" s="312"/>
      <c r="G79" s="312"/>
      <c r="H79" s="12">
        <f t="shared" si="64"/>
        <v>0</v>
      </c>
      <c r="I79" s="312"/>
      <c r="J79" s="312"/>
      <c r="K79" s="312">
        <v>-0.66300000000000003</v>
      </c>
      <c r="L79" s="312">
        <v>112.129</v>
      </c>
      <c r="M79" s="12">
        <f t="shared" si="65"/>
        <v>111.46600000000001</v>
      </c>
      <c r="N79" s="312">
        <v>-8.0250000000000004</v>
      </c>
      <c r="O79" s="312"/>
      <c r="P79" s="312"/>
      <c r="Q79" s="312">
        <v>2.9009999999999998</v>
      </c>
      <c r="R79" s="12">
        <f t="shared" si="66"/>
        <v>-5.1240000000000006</v>
      </c>
      <c r="S79" s="312"/>
      <c r="T79" s="312"/>
      <c r="U79" s="312"/>
      <c r="V79" s="312">
        <v>25.081</v>
      </c>
      <c r="W79" s="12">
        <f t="shared" si="67"/>
        <v>25.081</v>
      </c>
      <c r="X79" s="312"/>
      <c r="Y79" s="312"/>
      <c r="Z79" s="312"/>
      <c r="AA79" s="312"/>
      <c r="AB79" s="12">
        <f t="shared" si="68"/>
        <v>0</v>
      </c>
      <c r="AC79" s="312"/>
      <c r="AD79" s="312"/>
      <c r="AE79" s="312"/>
      <c r="AF79" s="312"/>
      <c r="AG79" s="12">
        <f t="shared" si="69"/>
        <v>0</v>
      </c>
      <c r="AH79" s="312"/>
      <c r="AI79" s="312">
        <f>+(10.851-7.769)</f>
        <v>3.0820000000000007</v>
      </c>
      <c r="AJ79" s="312"/>
      <c r="AK79" s="312"/>
      <c r="AL79" s="12">
        <f t="shared" si="70"/>
        <v>3.0820000000000007</v>
      </c>
      <c r="AM79" s="312"/>
      <c r="AN79" s="312">
        <f>24.843-AN37</f>
        <v>10.523</v>
      </c>
      <c r="AO79" s="312">
        <f>19.506-AO37</f>
        <v>7.1170000000000009</v>
      </c>
      <c r="AP79" s="312">
        <f>18.52-AP37</f>
        <v>9.5000000000000036</v>
      </c>
      <c r="AQ79" s="12">
        <f t="shared" si="71"/>
        <v>27.140000000000004</v>
      </c>
      <c r="AR79" s="312">
        <f>21.621-AR37</f>
        <v>9.1929999999999978</v>
      </c>
      <c r="AS79" s="312">
        <f>19.496-AS37</f>
        <v>5.8439999999999994</v>
      </c>
      <c r="AT79" s="312">
        <f>20.108-AT37</f>
        <v>6.1180000000000003</v>
      </c>
      <c r="AU79" s="312">
        <f>68.66-AU37</f>
        <v>56.398999999999994</v>
      </c>
      <c r="AV79" s="12">
        <f t="shared" si="72"/>
        <v>77.553999999999988</v>
      </c>
      <c r="AW79" s="312">
        <f>17.849-AW37</f>
        <v>4.9930000000000003</v>
      </c>
      <c r="AX79" s="312">
        <f>16.433-AX37</f>
        <v>4.222999999999999</v>
      </c>
      <c r="AY79" s="312">
        <f>17.223-AY37</f>
        <v>5.9239999999999995</v>
      </c>
      <c r="AZ79" s="312">
        <f>73.221-AZ37</f>
        <v>62.261000000000003</v>
      </c>
      <c r="BA79" s="12">
        <f t="shared" si="73"/>
        <v>77.400999999999996</v>
      </c>
      <c r="BB79" s="312">
        <f>25.09-BB37</f>
        <v>12.026000000000007</v>
      </c>
      <c r="BC79" s="312">
        <f>20.862-BC37</f>
        <v>7.6949999999999967</v>
      </c>
      <c r="BD79" s="312">
        <f>18.922-BD37</f>
        <v>3.9000000000000021</v>
      </c>
      <c r="BE79" s="312">
        <f>19.811-BE37</f>
        <v>5.1070000000000064</v>
      </c>
      <c r="BF79" s="12">
        <f t="shared" si="74"/>
        <v>28.728000000000012</v>
      </c>
      <c r="BG79" s="292">
        <f>22.236-BG37</f>
        <v>5.8490000000000002</v>
      </c>
      <c r="BH79" s="292">
        <f>21.562-BH37</f>
        <v>5.987999999999996</v>
      </c>
      <c r="BI79" s="292"/>
      <c r="BJ79" s="292"/>
      <c r="BK79" s="116">
        <f t="shared" si="75"/>
        <v>11.836999999999996</v>
      </c>
      <c r="BL79" s="312"/>
      <c r="BM79" s="312"/>
      <c r="BN79" s="312"/>
      <c r="BO79" s="312"/>
      <c r="BP79" s="12"/>
      <c r="BQ79" s="312"/>
      <c r="BR79" s="312"/>
      <c r="BS79" s="312"/>
      <c r="BT79" s="312"/>
      <c r="BU79" s="12"/>
      <c r="BV79" s="312"/>
      <c r="BW79" s="312"/>
      <c r="BX79" s="312"/>
      <c r="BY79" s="312"/>
      <c r="BZ79" s="12"/>
      <c r="CA79" s="312"/>
      <c r="CB79" s="312"/>
      <c r="CC79" s="312"/>
      <c r="CD79" s="312"/>
      <c r="CE79" s="12"/>
      <c r="CF79" s="312"/>
      <c r="CG79" s="312"/>
      <c r="CH79" s="312"/>
      <c r="CI79" s="312"/>
      <c r="CJ79" s="12"/>
      <c r="CK79" s="312"/>
      <c r="CL79" s="312"/>
      <c r="CM79" s="312"/>
      <c r="CN79" s="312"/>
      <c r="CO79" s="12"/>
      <c r="CP79" s="312"/>
      <c r="CQ79" s="312"/>
      <c r="CR79" s="312"/>
      <c r="CS79" s="312"/>
      <c r="CT79" s="12"/>
      <c r="CU79" s="312"/>
      <c r="CV79" s="312"/>
      <c r="CW79" s="312"/>
      <c r="CX79" s="312"/>
      <c r="CY79" s="12"/>
      <c r="CZ79" s="312"/>
      <c r="DA79" s="312"/>
      <c r="DB79" s="312"/>
      <c r="DC79" s="312"/>
      <c r="DD79" s="12"/>
      <c r="DE79" s="312"/>
      <c r="DF79" s="312"/>
      <c r="DG79" s="312"/>
      <c r="DH79" s="312"/>
      <c r="DI79" s="12"/>
      <c r="DJ79" s="312"/>
      <c r="DK79" s="312"/>
      <c r="DL79" s="312"/>
      <c r="DM79" s="312"/>
      <c r="DN79" s="12"/>
      <c r="DO79" s="312"/>
      <c r="DP79" s="312"/>
      <c r="DQ79" s="312"/>
      <c r="DR79" s="312"/>
      <c r="DS79" s="12"/>
      <c r="DT79" s="312"/>
      <c r="DU79" s="312"/>
      <c r="DV79" s="312"/>
      <c r="DW79" s="312"/>
      <c r="DX79" s="12"/>
      <c r="DY79" s="312"/>
      <c r="DZ79" s="312"/>
      <c r="EA79" s="312"/>
      <c r="EB79" s="312"/>
      <c r="EC79" s="12"/>
      <c r="ED79" s="312"/>
      <c r="EE79" s="312"/>
      <c r="EF79" s="312"/>
      <c r="EG79" s="312"/>
      <c r="EH79" s="12"/>
      <c r="EI79" s="312"/>
      <c r="EJ79" s="312"/>
      <c r="EK79" s="312"/>
      <c r="EL79" s="312"/>
      <c r="EM79" s="12"/>
      <c r="EN79" s="312"/>
      <c r="EO79" s="312"/>
      <c r="EP79" s="312"/>
      <c r="EQ79" s="312"/>
      <c r="ER79" s="12"/>
    </row>
    <row r="80" spans="2:156" ht="12.75" hidden="1" customHeight="1" outlineLevel="1" collapsed="1">
      <c r="B80" s="21"/>
      <c r="C80" s="16"/>
      <c r="D80" s="308"/>
      <c r="E80" s="308"/>
      <c r="F80" s="308"/>
      <c r="G80" s="308"/>
      <c r="H80" s="16"/>
      <c r="I80" s="308"/>
      <c r="J80" s="308"/>
      <c r="K80" s="308"/>
      <c r="L80" s="308"/>
      <c r="M80" s="16"/>
      <c r="N80" s="308"/>
      <c r="O80" s="308"/>
      <c r="P80" s="308"/>
      <c r="Q80" s="308"/>
      <c r="R80" s="16"/>
      <c r="S80" s="308"/>
      <c r="T80" s="308"/>
      <c r="U80" s="308"/>
      <c r="V80" s="308"/>
      <c r="W80" s="16"/>
      <c r="X80" s="308"/>
      <c r="Y80" s="308"/>
      <c r="Z80" s="308"/>
      <c r="AA80" s="308"/>
      <c r="AB80" s="16"/>
      <c r="AC80" s="308"/>
      <c r="AD80" s="308"/>
      <c r="AE80" s="308"/>
      <c r="AF80" s="308"/>
      <c r="AG80" s="16"/>
      <c r="AH80" s="308"/>
      <c r="AI80" s="308"/>
      <c r="AJ80" s="308"/>
      <c r="AK80" s="308"/>
      <c r="AL80" s="16"/>
      <c r="AM80" s="308"/>
      <c r="AN80" s="308"/>
      <c r="AO80" s="308"/>
      <c r="AP80" s="308"/>
      <c r="AQ80" s="16"/>
      <c r="AR80" s="308"/>
      <c r="AS80" s="308"/>
      <c r="AT80" s="308"/>
      <c r="AU80" s="308"/>
      <c r="AV80" s="16"/>
      <c r="AW80" s="308"/>
      <c r="AX80" s="308"/>
      <c r="AY80" s="308"/>
      <c r="AZ80" s="308"/>
      <c r="BA80" s="16"/>
      <c r="BB80" s="308"/>
      <c r="BC80" s="308"/>
      <c r="BD80" s="308"/>
      <c r="BE80" s="308"/>
      <c r="BF80" s="16"/>
      <c r="BG80" s="308"/>
      <c r="BH80" s="310"/>
      <c r="BI80" s="300"/>
      <c r="BJ80" s="300"/>
      <c r="BK80" s="16"/>
      <c r="BL80" s="308"/>
      <c r="BM80" s="310"/>
      <c r="BN80" s="300"/>
      <c r="BO80" s="300"/>
      <c r="BP80" s="16"/>
      <c r="BQ80" s="308"/>
      <c r="BR80" s="310"/>
      <c r="BS80" s="300"/>
      <c r="BT80" s="300"/>
      <c r="BU80" s="16"/>
      <c r="BV80" s="300"/>
      <c r="BW80" s="300"/>
      <c r="BX80" s="300"/>
      <c r="BY80" s="300"/>
      <c r="BZ80" s="16"/>
      <c r="CA80" s="300"/>
      <c r="CB80" s="300"/>
      <c r="CC80" s="300"/>
      <c r="CD80" s="300"/>
      <c r="CE80" s="16"/>
      <c r="CF80" s="308"/>
      <c r="CG80" s="310"/>
      <c r="CH80" s="300"/>
      <c r="CI80" s="300"/>
      <c r="CJ80" s="16"/>
      <c r="CK80" s="308"/>
      <c r="CL80" s="310"/>
      <c r="CM80" s="300"/>
      <c r="CN80" s="300"/>
      <c r="CO80" s="16"/>
      <c r="CP80" s="308"/>
      <c r="CQ80" s="310"/>
      <c r="CR80" s="300"/>
      <c r="CS80" s="300"/>
      <c r="CT80" s="16"/>
      <c r="CU80" s="308"/>
      <c r="CV80" s="310"/>
      <c r="CW80" s="300"/>
      <c r="CX80" s="300"/>
      <c r="CY80" s="16"/>
      <c r="CZ80" s="308"/>
      <c r="DA80" s="310"/>
      <c r="DB80" s="300"/>
      <c r="DC80" s="300"/>
      <c r="DD80" s="16"/>
      <c r="DE80" s="308"/>
      <c r="DF80" s="310"/>
      <c r="DG80" s="300"/>
      <c r="DH80" s="300"/>
      <c r="DI80" s="16"/>
      <c r="DJ80" s="308"/>
      <c r="DK80" s="310"/>
      <c r="DL80" s="300"/>
      <c r="DM80" s="300"/>
      <c r="DN80" s="16"/>
      <c r="DO80" s="308"/>
      <c r="DP80" s="310"/>
      <c r="DQ80" s="300"/>
      <c r="DR80" s="300"/>
      <c r="DS80" s="16"/>
      <c r="DT80" s="308"/>
      <c r="DU80" s="310"/>
      <c r="DV80" s="300"/>
      <c r="DW80" s="300"/>
      <c r="DX80" s="16"/>
      <c r="DY80" s="308"/>
      <c r="DZ80" s="310"/>
      <c r="EA80" s="300"/>
      <c r="EB80" s="300"/>
      <c r="EC80" s="16"/>
      <c r="ED80" s="308"/>
      <c r="EE80" s="310"/>
      <c r="EF80" s="300"/>
      <c r="EG80" s="300"/>
      <c r="EH80" s="16"/>
      <c r="EI80" s="308"/>
      <c r="EJ80" s="310"/>
      <c r="EK80" s="300"/>
      <c r="EL80" s="300"/>
      <c r="EM80" s="16"/>
      <c r="EN80" s="308"/>
      <c r="EO80" s="310"/>
      <c r="EP80" s="300"/>
      <c r="EQ80" s="300"/>
      <c r="ER80" s="16"/>
    </row>
    <row r="81" spans="2:156" ht="12.75" hidden="1" customHeight="1" outlineLevel="1">
      <c r="B81" s="21"/>
      <c r="C81" s="16"/>
      <c r="D81" s="308"/>
      <c r="E81" s="308"/>
      <c r="F81" s="308"/>
      <c r="G81" s="308"/>
      <c r="H81" s="16"/>
      <c r="I81" s="308"/>
      <c r="J81" s="308"/>
      <c r="K81" s="308"/>
      <c r="L81" s="308"/>
      <c r="M81" s="16"/>
      <c r="N81" s="308"/>
      <c r="O81" s="308"/>
      <c r="P81" s="308"/>
      <c r="Q81" s="308"/>
      <c r="R81" s="16"/>
      <c r="S81" s="308"/>
      <c r="T81" s="308"/>
      <c r="U81" s="308"/>
      <c r="V81" s="308"/>
      <c r="W81" s="16"/>
      <c r="X81" s="308"/>
      <c r="Y81" s="308"/>
      <c r="Z81" s="308"/>
      <c r="AA81" s="308"/>
      <c r="AB81" s="16"/>
      <c r="AC81" s="308"/>
      <c r="AD81" s="308"/>
      <c r="AE81" s="308"/>
      <c r="AF81" s="308"/>
      <c r="AG81" s="16"/>
      <c r="AH81" s="308"/>
      <c r="AI81" s="308"/>
      <c r="AJ81" s="308"/>
      <c r="AK81" s="308"/>
      <c r="AL81" s="16"/>
      <c r="AM81" s="308"/>
      <c r="AN81" s="308"/>
      <c r="AO81" s="308"/>
      <c r="AP81" s="308"/>
      <c r="AQ81" s="16"/>
      <c r="AR81" s="308"/>
      <c r="AS81" s="308"/>
      <c r="AT81" s="308"/>
      <c r="AU81" s="308"/>
      <c r="AV81" s="16"/>
      <c r="AW81" s="308"/>
      <c r="AX81" s="308"/>
      <c r="AY81" s="308"/>
      <c r="AZ81" s="308"/>
      <c r="BA81" s="16"/>
      <c r="BB81" s="308"/>
      <c r="BC81" s="308"/>
      <c r="BD81" s="308"/>
      <c r="BE81" s="308"/>
      <c r="BF81" s="16"/>
      <c r="BG81" s="308"/>
      <c r="BH81" s="310"/>
      <c r="BI81" s="300"/>
      <c r="BJ81" s="300"/>
      <c r="BK81" s="16"/>
      <c r="BL81" s="308"/>
      <c r="BM81" s="310"/>
      <c r="BN81" s="300"/>
      <c r="BO81" s="300"/>
      <c r="BP81" s="16"/>
      <c r="BQ81" s="308"/>
      <c r="BR81" s="310"/>
      <c r="BS81" s="300"/>
      <c r="BT81" s="300"/>
      <c r="BU81" s="16"/>
      <c r="BV81" s="300"/>
      <c r="BW81" s="300"/>
      <c r="BX81" s="300"/>
      <c r="BY81" s="300"/>
      <c r="BZ81" s="16"/>
      <c r="CA81" s="300"/>
      <c r="CB81" s="300"/>
      <c r="CC81" s="300"/>
      <c r="CD81" s="300"/>
      <c r="CE81" s="16"/>
      <c r="CF81" s="991"/>
      <c r="CG81" s="310"/>
      <c r="CH81" s="300"/>
      <c r="CI81" s="300"/>
      <c r="CJ81" s="16"/>
      <c r="CK81" s="308"/>
      <c r="CL81" s="310"/>
      <c r="CM81" s="300"/>
      <c r="CN81" s="300"/>
      <c r="CO81" s="16"/>
      <c r="CP81" s="308"/>
      <c r="CQ81" s="310"/>
      <c r="CR81" s="300"/>
      <c r="CS81" s="300"/>
      <c r="CT81" s="16"/>
      <c r="CU81" s="308"/>
      <c r="CV81" s="310"/>
      <c r="CW81" s="300"/>
      <c r="CX81" s="300"/>
      <c r="CY81" s="16"/>
      <c r="CZ81" s="308"/>
      <c r="DA81" s="310"/>
      <c r="DB81" s="300"/>
      <c r="DC81" s="300"/>
      <c r="DD81" s="16"/>
      <c r="DE81" s="308"/>
      <c r="DF81" s="310"/>
      <c r="DG81" s="300"/>
      <c r="DH81" s="300"/>
      <c r="DI81" s="16"/>
      <c r="DJ81" s="308"/>
      <c r="DK81" s="310"/>
      <c r="DL81" s="300"/>
      <c r="DM81" s="300"/>
      <c r="DN81" s="16"/>
      <c r="DO81" s="308"/>
      <c r="DP81" s="310"/>
      <c r="DQ81" s="300"/>
      <c r="DR81" s="300"/>
      <c r="DS81" s="16"/>
      <c r="DT81" s="308"/>
      <c r="DU81" s="310"/>
      <c r="DV81" s="300"/>
      <c r="DW81" s="300"/>
      <c r="DX81" s="16"/>
      <c r="DY81" s="308"/>
      <c r="DZ81" s="310"/>
      <c r="EA81" s="300"/>
      <c r="EB81" s="300"/>
      <c r="EC81" s="16"/>
      <c r="ED81" s="308"/>
      <c r="EE81" s="310"/>
      <c r="EF81" s="300"/>
      <c r="EG81" s="300"/>
      <c r="EH81" s="16"/>
      <c r="EI81" s="308"/>
      <c r="EJ81" s="310"/>
      <c r="EK81" s="300"/>
      <c r="EL81" s="300"/>
      <c r="EM81" s="16"/>
      <c r="EN81" s="308"/>
      <c r="EO81" s="310"/>
      <c r="EP81" s="300"/>
      <c r="EQ81" s="300"/>
      <c r="ER81" s="16"/>
    </row>
    <row r="82" spans="2:156" s="116" customFormat="1" ht="12.75" hidden="1" customHeight="1" outlineLevel="1" thickBot="1">
      <c r="B82" s="269" t="s">
        <v>113</v>
      </c>
      <c r="C82" s="584">
        <f t="shared" ref="C82:AH82" si="76">C38+C73+C74+C75+C76+C77+C78+C79</f>
        <v>52.400999999999954</v>
      </c>
      <c r="D82" s="585">
        <f t="shared" si="76"/>
        <v>-3.8500000000000054</v>
      </c>
      <c r="E82" s="585">
        <f t="shared" si="76"/>
        <v>19.710999999999995</v>
      </c>
      <c r="F82" s="585">
        <f t="shared" si="76"/>
        <v>20.756999999999987</v>
      </c>
      <c r="G82" s="585">
        <f t="shared" si="76"/>
        <v>35.479000000000049</v>
      </c>
      <c r="H82" s="584">
        <f t="shared" si="76"/>
        <v>72.097000000000037</v>
      </c>
      <c r="I82" s="585">
        <f t="shared" si="76"/>
        <v>-438.05399999999997</v>
      </c>
      <c r="J82" s="585">
        <f t="shared" si="76"/>
        <v>100.37200000000001</v>
      </c>
      <c r="K82" s="585">
        <f t="shared" si="76"/>
        <v>73.096000000000018</v>
      </c>
      <c r="L82" s="585">
        <f t="shared" si="76"/>
        <v>192.58299999999997</v>
      </c>
      <c r="M82" s="584">
        <f t="shared" si="76"/>
        <v>-72.002999999999872</v>
      </c>
      <c r="N82" s="585">
        <f t="shared" si="76"/>
        <v>114.42799999999994</v>
      </c>
      <c r="O82" s="585">
        <f t="shared" si="76"/>
        <v>111.45899999999997</v>
      </c>
      <c r="P82" s="585">
        <f t="shared" si="76"/>
        <v>113.24000000000002</v>
      </c>
      <c r="Q82" s="585">
        <f t="shared" si="76"/>
        <v>110.24300000000001</v>
      </c>
      <c r="R82" s="584">
        <f t="shared" si="76"/>
        <v>449.37000000000006</v>
      </c>
      <c r="S82" s="585">
        <f t="shared" si="76"/>
        <v>157.11299999999994</v>
      </c>
      <c r="T82" s="585">
        <f t="shared" si="76"/>
        <v>195.96699999999993</v>
      </c>
      <c r="U82" s="585">
        <f t="shared" si="76"/>
        <v>179.23200000000008</v>
      </c>
      <c r="V82" s="585">
        <f t="shared" si="76"/>
        <v>281.60200000000003</v>
      </c>
      <c r="W82" s="584">
        <f t="shared" si="76"/>
        <v>813.91399999999987</v>
      </c>
      <c r="X82" s="585">
        <f t="shared" si="76"/>
        <v>262.70400000000012</v>
      </c>
      <c r="Y82" s="585">
        <f t="shared" si="76"/>
        <v>265.14999999999992</v>
      </c>
      <c r="Z82" s="585">
        <f t="shared" si="76"/>
        <v>-52.164000000000101</v>
      </c>
      <c r="AA82" s="585">
        <f t="shared" si="76"/>
        <v>-1665.8110000000001</v>
      </c>
      <c r="AB82" s="584">
        <f t="shared" si="76"/>
        <v>-1190.1209999999996</v>
      </c>
      <c r="AC82" s="585">
        <f t="shared" si="76"/>
        <v>407.03400000000011</v>
      </c>
      <c r="AD82" s="585">
        <f t="shared" si="76"/>
        <v>407.93000000000012</v>
      </c>
      <c r="AE82" s="585">
        <f t="shared" si="76"/>
        <v>398.31900000000007</v>
      </c>
      <c r="AF82" s="585">
        <f t="shared" si="76"/>
        <v>401.3660000000001</v>
      </c>
      <c r="AG82" s="584">
        <f t="shared" si="76"/>
        <v>1614.6489999999997</v>
      </c>
      <c r="AH82" s="585">
        <f t="shared" si="76"/>
        <v>488.30000000000018</v>
      </c>
      <c r="AI82" s="585">
        <f t="shared" ref="AI82:BH82" si="77">AI38+AI73+AI74+AI75+AI76+AI77+AI78+AI79</f>
        <v>434.78299999999996</v>
      </c>
      <c r="AJ82" s="585">
        <f t="shared" si="77"/>
        <v>495.85300000000007</v>
      </c>
      <c r="AK82" s="585">
        <f t="shared" si="77"/>
        <v>559.96299999999985</v>
      </c>
      <c r="AL82" s="584">
        <f t="shared" si="77"/>
        <v>1978.8989999999992</v>
      </c>
      <c r="AM82" s="585">
        <f t="shared" si="77"/>
        <v>589.11199999999997</v>
      </c>
      <c r="AN82" s="585">
        <f t="shared" si="77"/>
        <v>571.39799999999991</v>
      </c>
      <c r="AO82" s="585">
        <f t="shared" si="77"/>
        <v>673.03300000000036</v>
      </c>
      <c r="AP82" s="585">
        <f t="shared" si="77"/>
        <v>802.21199999999999</v>
      </c>
      <c r="AQ82" s="584">
        <f t="shared" si="77"/>
        <v>2635.7549999999992</v>
      </c>
      <c r="AR82" s="585">
        <f t="shared" si="77"/>
        <v>854.90100000000007</v>
      </c>
      <c r="AS82" s="585">
        <f t="shared" si="77"/>
        <v>712.06100000000038</v>
      </c>
      <c r="AT82" s="585">
        <f t="shared" si="77"/>
        <v>704.87599999999986</v>
      </c>
      <c r="AU82" s="585">
        <f t="shared" si="77"/>
        <v>629.41899999999987</v>
      </c>
      <c r="AV82" s="584">
        <f t="shared" si="77"/>
        <v>2901.2570000000001</v>
      </c>
      <c r="AW82" s="585">
        <f t="shared" si="77"/>
        <v>651.1410000000003</v>
      </c>
      <c r="AX82" s="585">
        <f t="shared" si="77"/>
        <v>746.22699999999998</v>
      </c>
      <c r="AY82" s="585">
        <f t="shared" si="77"/>
        <v>740.62399999999968</v>
      </c>
      <c r="AZ82" s="585">
        <f t="shared" si="77"/>
        <v>665.14499999999987</v>
      </c>
      <c r="BA82" s="584">
        <f t="shared" si="77"/>
        <v>2803.1369999999988</v>
      </c>
      <c r="BB82" s="585">
        <f t="shared" si="77"/>
        <v>441.95599999999985</v>
      </c>
      <c r="BC82" s="585">
        <f t="shared" si="77"/>
        <v>711.56399999999962</v>
      </c>
      <c r="BD82" s="585">
        <f t="shared" si="77"/>
        <v>693.01599999999951</v>
      </c>
      <c r="BE82" s="585">
        <f t="shared" si="77"/>
        <v>802.56600000000026</v>
      </c>
      <c r="BF82" s="584">
        <f t="shared" si="77"/>
        <v>2591.5660000000021</v>
      </c>
      <c r="BG82" s="585">
        <f t="shared" si="77"/>
        <v>722.18600000000026</v>
      </c>
      <c r="BH82" s="585">
        <f t="shared" si="77"/>
        <v>772.60500000000025</v>
      </c>
      <c r="BI82" s="585">
        <f>BI30+BI43+BI48+BI57-BI68</f>
        <v>788.60700000000008</v>
      </c>
      <c r="BJ82" s="585">
        <f>BJ30+BJ43+BJ48+BJ57-BJ68</f>
        <v>791.41100000000017</v>
      </c>
      <c r="BK82" s="584">
        <f>SUM(BG82:BJ82)</f>
        <v>3074.8090000000007</v>
      </c>
      <c r="BL82" s="585">
        <f>BL30+BL43+BL48+BL57-BL68</f>
        <v>2225.5570000000021</v>
      </c>
      <c r="BM82" s="585">
        <f>BM30+BM43+BM48+BM57-BM68</f>
        <v>3655.5930000000021</v>
      </c>
      <c r="BN82" s="585">
        <f>BN30+BN43+BN48+BN57-BN68</f>
        <v>2731.2740000000003</v>
      </c>
      <c r="BO82" s="585">
        <f>BO30+BO43+BO48+BO57-BO68</f>
        <v>3481.8721077385035</v>
      </c>
      <c r="BP82" s="584">
        <f>BP30+BP43+BP48+BP57-BP68-BP70</f>
        <v>12099.696107738504</v>
      </c>
      <c r="BQ82" s="585">
        <f t="shared" ref="BQ82:BV82" si="78">BQ30+BQ43+BQ48+BQ57-BQ68</f>
        <v>4333</v>
      </c>
      <c r="BR82" s="585">
        <f t="shared" si="78"/>
        <v>4492</v>
      </c>
      <c r="BS82" s="585">
        <f t="shared" si="78"/>
        <v>4601</v>
      </c>
      <c r="BT82" s="585">
        <f t="shared" si="78"/>
        <v>4683</v>
      </c>
      <c r="BU82" s="584">
        <f t="shared" si="78"/>
        <v>18109</v>
      </c>
      <c r="BV82" s="585">
        <f t="shared" si="78"/>
        <v>3568</v>
      </c>
      <c r="BW82" s="585">
        <f>BW30+BW43+BW48+BW57-BW68+BW69</f>
        <v>3497</v>
      </c>
      <c r="BX82" s="585">
        <f>BX30+BX43+BX48+BX57-BX68+BX69</f>
        <v>3330</v>
      </c>
      <c r="BY82" s="585">
        <f>BY30+BY43+BY48+BY57-BY68+BY69</f>
        <v>3108</v>
      </c>
      <c r="BZ82" s="584">
        <f>BZ30+BZ43+BZ48+BZ57-BZ68+BZ69</f>
        <v>13503</v>
      </c>
      <c r="CA82" s="585">
        <f>CA30+CA43+CA48+CA57-CA68</f>
        <v>2702</v>
      </c>
      <c r="CB82" s="585">
        <f>CB30+CB43+CB48+CB57-CB68</f>
        <v>3073</v>
      </c>
      <c r="CC82" s="585">
        <f>CC30+CC43+CC48+CC57-CC68+CC69+CC66</f>
        <v>2718</v>
      </c>
      <c r="CD82" s="585">
        <f>CD30+CD43+CD48+CD57-CD68</f>
        <v>-3865</v>
      </c>
      <c r="CE82" s="584">
        <f>CE30+CE43+CE48+CE57-CE68+CE66</f>
        <v>4628</v>
      </c>
      <c r="CF82" s="585">
        <f>CF30+CF43+CF48+CF57-CF68</f>
        <v>1765.7218993296813</v>
      </c>
      <c r="CG82" s="585">
        <f>CG30+CG43+CG48+CG57-CG68</f>
        <v>1933.6101090655347</v>
      </c>
      <c r="CH82" s="585">
        <f>CH30+CH43+CH48+CH57-CH68+CH69+CH66</f>
        <v>2004.83377827758</v>
      </c>
      <c r="CI82" s="585">
        <f>CI30+CI43+CI48+CI57-CI68</f>
        <v>1767.7226220928519</v>
      </c>
      <c r="CJ82" s="584">
        <f>CJ30+CJ43+CJ48+CJ57-CJ68</f>
        <v>7471.8884087656488</v>
      </c>
      <c r="CK82" s="585"/>
      <c r="CL82" s="585"/>
      <c r="CM82" s="585"/>
      <c r="CN82" s="585"/>
      <c r="CO82" s="584">
        <f>CO30+CO43+CO48+CO57-CO68</f>
        <v>7560.1187914066522</v>
      </c>
      <c r="CP82" s="585"/>
      <c r="CQ82" s="585"/>
      <c r="CR82" s="585"/>
      <c r="CS82" s="585"/>
      <c r="CT82" s="584">
        <f>CT30+CT43+CT48+CT57-CT68</f>
        <v>8436.9316372378798</v>
      </c>
      <c r="CU82" s="585"/>
      <c r="CV82" s="585"/>
      <c r="CW82" s="585"/>
      <c r="CX82" s="585"/>
      <c r="CY82" s="584">
        <f>CY30+CY43+CY48+CY57-CY68</f>
        <v>7405.4092785834673</v>
      </c>
      <c r="CZ82" s="585"/>
      <c r="DA82" s="585"/>
      <c r="DB82" s="585"/>
      <c r="DC82" s="585"/>
      <c r="DD82" s="584">
        <f>DD30+DD43+DD48+DD57-DD68</f>
        <v>7993.8263287557656</v>
      </c>
      <c r="DE82" s="585"/>
      <c r="DF82" s="585"/>
      <c r="DG82" s="585"/>
      <c r="DH82" s="585"/>
      <c r="DI82" s="584">
        <f>DI30+DI43+DI48+DI57-DI68</f>
        <v>8534.4654793306363</v>
      </c>
      <c r="DJ82" s="585"/>
      <c r="DK82" s="585"/>
      <c r="DL82" s="585"/>
      <c r="DM82" s="585"/>
      <c r="DN82" s="584">
        <f>DN30+DN43+DN48+DN57-DN68</f>
        <v>9150.4295821581127</v>
      </c>
      <c r="DO82" s="585"/>
      <c r="DP82" s="585"/>
      <c r="DQ82" s="585"/>
      <c r="DR82" s="585"/>
      <c r="DS82" s="584">
        <f>DS30+DS43+DS48+DS57-DS68</f>
        <v>5548.3505454377319</v>
      </c>
      <c r="DT82" s="585"/>
      <c r="DU82" s="585"/>
      <c r="DV82" s="585"/>
      <c r="DW82" s="585"/>
      <c r="DX82" s="584">
        <f>DX30+DX43+DX48+DX57-DX68</f>
        <v>4384.9076549805577</v>
      </c>
      <c r="DY82" s="585"/>
      <c r="DZ82" s="585"/>
      <c r="EA82" s="585"/>
      <c r="EB82" s="585"/>
      <c r="EC82" s="584">
        <f>EC30+EC43+EC48+EC57-EC68</f>
        <v>4106.8334771323216</v>
      </c>
      <c r="ED82" s="585"/>
      <c r="EE82" s="585"/>
      <c r="EF82" s="585"/>
      <c r="EG82" s="585"/>
      <c r="EH82" s="584">
        <f>EH30+EH43+EH48+EH57-EH68</f>
        <v>4568.8011493604699</v>
      </c>
      <c r="EI82" s="585"/>
      <c r="EJ82" s="585"/>
      <c r="EK82" s="585"/>
      <c r="EL82" s="585"/>
      <c r="EM82" s="584">
        <f>EM30+EM43+EM48+EM57-EM68</f>
        <v>6407.0662351851242</v>
      </c>
      <c r="EN82" s="585"/>
      <c r="EO82" s="585"/>
      <c r="EP82" s="585"/>
      <c r="EQ82" s="585"/>
      <c r="ER82" s="584">
        <f>ER30+ER43+ER48+ER57-ER68</f>
        <v>6422.513273049979</v>
      </c>
      <c r="EU82"/>
      <c r="EV82"/>
      <c r="EW82"/>
      <c r="EX82"/>
      <c r="EY82"/>
      <c r="EZ82"/>
    </row>
    <row r="83" spans="2:156" ht="12.75" hidden="1" customHeight="1" outlineLevel="1">
      <c r="B83" s="21"/>
      <c r="C83" s="12"/>
      <c r="D83" s="300"/>
      <c r="E83" s="300"/>
      <c r="F83" s="300"/>
      <c r="G83" s="300"/>
      <c r="H83" s="12"/>
      <c r="I83" s="300"/>
      <c r="J83" s="300"/>
      <c r="K83" s="300"/>
      <c r="L83" s="300"/>
      <c r="M83" s="12"/>
      <c r="N83" s="300"/>
      <c r="O83" s="300"/>
      <c r="P83" s="300"/>
      <c r="Q83" s="300"/>
      <c r="R83" s="12"/>
      <c r="S83" s="300"/>
      <c r="T83" s="300"/>
      <c r="U83" s="300"/>
      <c r="V83" s="300"/>
      <c r="W83" s="12"/>
      <c r="X83" s="300"/>
      <c r="Y83" s="300"/>
      <c r="Z83" s="300"/>
      <c r="AA83" s="300"/>
      <c r="AB83" s="12"/>
      <c r="AC83" s="300"/>
      <c r="AD83" s="300"/>
      <c r="AE83" s="300"/>
      <c r="AF83" s="300"/>
      <c r="AG83" s="12"/>
      <c r="AH83" s="300"/>
      <c r="AI83" s="300"/>
      <c r="AJ83" s="300"/>
      <c r="AK83" s="300"/>
      <c r="AL83" s="12"/>
      <c r="AM83" s="300"/>
      <c r="AN83" s="300"/>
      <c r="AO83" s="300"/>
      <c r="AP83" s="300"/>
      <c r="AQ83" s="12"/>
      <c r="AR83" s="300"/>
      <c r="AS83" s="300"/>
      <c r="AT83" s="300"/>
      <c r="AU83" s="300"/>
      <c r="AV83" s="12"/>
      <c r="AW83" s="300"/>
      <c r="AX83" s="300"/>
      <c r="AY83" s="300"/>
      <c r="AZ83" s="300"/>
      <c r="BA83" s="12"/>
      <c r="BB83" s="300"/>
      <c r="BC83" s="300"/>
      <c r="BD83" s="300"/>
      <c r="BE83" s="300"/>
      <c r="BF83" s="12"/>
      <c r="BG83" s="300"/>
      <c r="BH83" s="300"/>
      <c r="BI83" s="300"/>
      <c r="BJ83" s="300"/>
      <c r="BK83" s="12"/>
      <c r="BL83" s="300"/>
      <c r="BM83" s="300"/>
      <c r="BN83" s="300"/>
      <c r="BO83" s="300"/>
      <c r="BP83" s="12"/>
      <c r="BQ83" s="300"/>
      <c r="BR83" s="300"/>
      <c r="BS83" s="300"/>
      <c r="BT83" s="300"/>
      <c r="BU83" s="12"/>
      <c r="BV83" s="300"/>
      <c r="BW83" s="300"/>
      <c r="BX83" s="300"/>
      <c r="BY83" s="300"/>
      <c r="BZ83" s="12"/>
      <c r="CA83" s="300"/>
      <c r="CB83" s="300"/>
      <c r="CC83" s="300"/>
      <c r="CD83" s="300"/>
      <c r="CE83" s="12"/>
      <c r="CF83" s="300"/>
      <c r="CG83" s="300"/>
      <c r="CH83" s="300"/>
      <c r="CI83" s="300"/>
      <c r="CJ83" s="12"/>
      <c r="CK83" s="300"/>
      <c r="CL83" s="300"/>
      <c r="CM83" s="300"/>
      <c r="CN83" s="300"/>
      <c r="CO83" s="12"/>
      <c r="CP83" s="300"/>
      <c r="CQ83" s="300"/>
      <c r="CR83" s="300"/>
      <c r="CS83" s="300"/>
      <c r="CT83" s="12"/>
      <c r="CU83" s="300"/>
      <c r="CV83" s="300"/>
      <c r="CW83" s="300"/>
      <c r="CX83" s="300"/>
      <c r="CY83" s="12"/>
      <c r="CZ83" s="300"/>
      <c r="DA83" s="300"/>
      <c r="DB83" s="300"/>
      <c r="DC83" s="300"/>
      <c r="DD83" s="12"/>
      <c r="DE83" s="300"/>
      <c r="DF83" s="300"/>
      <c r="DG83" s="300"/>
      <c r="DH83" s="300"/>
      <c r="DI83" s="12"/>
      <c r="DJ83" s="300"/>
      <c r="DK83" s="300"/>
      <c r="DL83" s="300"/>
      <c r="DM83" s="300"/>
      <c r="DN83" s="12"/>
      <c r="DO83" s="300"/>
      <c r="DP83" s="300"/>
      <c r="DQ83" s="300"/>
      <c r="DR83" s="300"/>
      <c r="DS83" s="12"/>
      <c r="DT83" s="300"/>
      <c r="DU83" s="300"/>
      <c r="DV83" s="300"/>
      <c r="DW83" s="300"/>
      <c r="DX83" s="12"/>
      <c r="DY83" s="300"/>
      <c r="DZ83" s="300"/>
      <c r="EA83" s="300"/>
      <c r="EB83" s="300"/>
      <c r="EC83" s="12"/>
      <c r="ED83" s="300"/>
      <c r="EE83" s="300"/>
      <c r="EF83" s="300"/>
      <c r="EG83" s="300"/>
      <c r="EH83" s="12"/>
      <c r="EI83" s="300"/>
      <c r="EJ83" s="300"/>
      <c r="EK83" s="300"/>
      <c r="EL83" s="300"/>
      <c r="EM83" s="12"/>
      <c r="EN83" s="300"/>
      <c r="EO83" s="300"/>
      <c r="EP83" s="300"/>
      <c r="EQ83" s="300"/>
      <c r="ER83" s="12"/>
    </row>
    <row r="84" spans="2:156" s="281" customFormat="1" ht="12.75" customHeight="1" collapsed="1">
      <c r="B84" s="281" t="s">
        <v>149</v>
      </c>
      <c r="C84" s="281">
        <f t="shared" ref="C84:M84" si="79">C82/C87</f>
        <v>3.2374914121618588E-2</v>
      </c>
      <c r="D84" s="586">
        <f t="shared" si="79"/>
        <v>-2.48323013415893E-3</v>
      </c>
      <c r="E84" s="586">
        <f t="shared" si="79"/>
        <v>1.1938246481091161E-2</v>
      </c>
      <c r="F84" s="586">
        <f t="shared" si="79"/>
        <v>1.2585491850989516E-2</v>
      </c>
      <c r="G84" s="586">
        <f t="shared" si="79"/>
        <v>2.1384021563030427E-2</v>
      </c>
      <c r="H84" s="281">
        <f t="shared" si="79"/>
        <v>4.3647113237794063E-2</v>
      </c>
      <c r="I84" s="586">
        <f t="shared" si="79"/>
        <v>-0.27609187810092373</v>
      </c>
      <c r="J84" s="586">
        <f t="shared" si="79"/>
        <v>5.4469479899279333E-2</v>
      </c>
      <c r="K84" s="586">
        <f t="shared" si="79"/>
        <v>3.9142019945851481E-2</v>
      </c>
      <c r="L84" s="586">
        <f t="shared" si="79"/>
        <v>0.104677872427393</v>
      </c>
      <c r="M84" s="281">
        <f t="shared" si="79"/>
        <v>-4.4754605802938684E-2</v>
      </c>
      <c r="N84" s="586">
        <f>(N82+N111)/N87</f>
        <v>6.2841820843523674E-2</v>
      </c>
      <c r="O84" s="586">
        <f>(O82+O111)/O87</f>
        <v>6.1021713108171574E-2</v>
      </c>
      <c r="P84" s="586">
        <f>(P82+P111)/P87</f>
        <v>6.1520084902701347E-2</v>
      </c>
      <c r="Q84" s="586">
        <f>(Q82+Q111)/Q87</f>
        <v>6.2740792570170734E-2</v>
      </c>
      <c r="R84" s="281">
        <f>(R82+R111)/R87</f>
        <v>0.24692189054940705</v>
      </c>
      <c r="S84" s="586">
        <f t="shared" ref="S84:BK84" si="80">S82/S87</f>
        <v>8.3996266191065774E-2</v>
      </c>
      <c r="T84" s="586">
        <f t="shared" si="80"/>
        <v>0.10366540060728527</v>
      </c>
      <c r="U84" s="586">
        <f t="shared" si="80"/>
        <v>9.4141375941508357E-2</v>
      </c>
      <c r="V84" s="586">
        <f t="shared" si="80"/>
        <v>0.1469202274743048</v>
      </c>
      <c r="W84" s="281">
        <f t="shared" si="80"/>
        <v>0.42902248441861834</v>
      </c>
      <c r="X84" s="586">
        <f t="shared" si="80"/>
        <v>0.13631325731317021</v>
      </c>
      <c r="Y84" s="586">
        <f t="shared" si="80"/>
        <v>0.13919599678297914</v>
      </c>
      <c r="Z84" s="586">
        <f t="shared" si="80"/>
        <v>-2.8509093134950966E-2</v>
      </c>
      <c r="AA84" s="586">
        <f t="shared" si="80"/>
        <v>-0.9051372639366746</v>
      </c>
      <c r="AB84" s="281">
        <f t="shared" si="80"/>
        <v>-0.64806439035865337</v>
      </c>
      <c r="AC84" s="586">
        <f t="shared" si="80"/>
        <v>0.21139879258265162</v>
      </c>
      <c r="AD84" s="586">
        <f t="shared" si="80"/>
        <v>0.21072331826334195</v>
      </c>
      <c r="AE84" s="586">
        <f t="shared" si="80"/>
        <v>0.20766482837578715</v>
      </c>
      <c r="AF84" s="586">
        <f t="shared" si="80"/>
        <v>0.20704465404003414</v>
      </c>
      <c r="AG84" s="281">
        <f t="shared" si="80"/>
        <v>0.83716438742539045</v>
      </c>
      <c r="AH84" s="586">
        <f t="shared" si="80"/>
        <v>0.25259840629700991</v>
      </c>
      <c r="AI84" s="586">
        <f t="shared" si="80"/>
        <v>0.2251214968368882</v>
      </c>
      <c r="AJ84" s="586">
        <f t="shared" si="80"/>
        <v>0.25809949145572753</v>
      </c>
      <c r="AK84" s="586">
        <f t="shared" si="80"/>
        <v>0.29695641982654469</v>
      </c>
      <c r="AL84" s="281">
        <f t="shared" si="80"/>
        <v>1.0319396135895493</v>
      </c>
      <c r="AM84" s="586">
        <f t="shared" si="80"/>
        <v>0.31253322355193058</v>
      </c>
      <c r="AN84" s="586">
        <f t="shared" si="80"/>
        <v>0.30573111405511949</v>
      </c>
      <c r="AO84" s="586">
        <f t="shared" si="80"/>
        <v>0.36090501745986825</v>
      </c>
      <c r="AP84" s="586">
        <f t="shared" si="80"/>
        <v>0.43273316913237808</v>
      </c>
      <c r="AQ84" s="281">
        <f t="shared" si="80"/>
        <v>1.4108390990773021</v>
      </c>
      <c r="AR84" s="586">
        <f t="shared" si="80"/>
        <v>0.46043217775709633</v>
      </c>
      <c r="AS84" s="586">
        <f t="shared" si="80"/>
        <v>0.39613831608907024</v>
      </c>
      <c r="AT84" s="586">
        <f t="shared" si="80"/>
        <v>0.41598955653023739</v>
      </c>
      <c r="AU84" s="586">
        <f t="shared" si="80"/>
        <v>0.38189378164149901</v>
      </c>
      <c r="AV84" s="281">
        <f t="shared" si="80"/>
        <v>1.6609058204983767</v>
      </c>
      <c r="AW84" s="586">
        <f t="shared" si="80"/>
        <v>0.40101951452041451</v>
      </c>
      <c r="AX84" s="586">
        <f t="shared" si="80"/>
        <v>0.46592594905094908</v>
      </c>
      <c r="AY84" s="586">
        <f t="shared" si="80"/>
        <v>0.47396174639580579</v>
      </c>
      <c r="AZ84" s="586">
        <f t="shared" si="80"/>
        <v>0.43398305681916044</v>
      </c>
      <c r="BA84" s="281">
        <f t="shared" si="80"/>
        <v>1.7739717336514462</v>
      </c>
      <c r="BB84" s="586">
        <f t="shared" si="80"/>
        <v>0.28425702480614562</v>
      </c>
      <c r="BC84" s="586">
        <f t="shared" si="80"/>
        <v>0.4558350608451438</v>
      </c>
      <c r="BD84" s="586">
        <f t="shared" si="80"/>
        <v>0.43734223227448021</v>
      </c>
      <c r="BE84" s="586">
        <f t="shared" si="80"/>
        <v>0.49028461048334743</v>
      </c>
      <c r="BF84" s="281">
        <f t="shared" si="80"/>
        <v>1.6375897365579215</v>
      </c>
      <c r="BG84" s="586">
        <f t="shared" si="80"/>
        <v>0.43372971544568983</v>
      </c>
      <c r="BH84" s="586">
        <f t="shared" si="80"/>
        <v>0.45592793953889393</v>
      </c>
      <c r="BI84" s="586">
        <f t="shared" si="80"/>
        <v>0.4661078859363863</v>
      </c>
      <c r="BJ84" s="586">
        <f t="shared" si="80"/>
        <v>0.46712631004856547</v>
      </c>
      <c r="BK84" s="281">
        <f t="shared" si="80"/>
        <v>1.8232578245226221</v>
      </c>
      <c r="BL84" s="586">
        <f t="shared" ref="BL84:BZ84" si="81">BL82/BL87</f>
        <v>1.3248380381588836</v>
      </c>
      <c r="BM84" s="586">
        <f t="shared" si="81"/>
        <v>2.1963230324167964</v>
      </c>
      <c r="BN84" s="586">
        <f t="shared" si="81"/>
        <v>1.6689422130972242</v>
      </c>
      <c r="BO84" s="586">
        <f t="shared" si="81"/>
        <v>2.1802580511825318</v>
      </c>
      <c r="BP84" s="281">
        <f t="shared" si="81"/>
        <v>7.3465064406426857</v>
      </c>
      <c r="BQ84" s="586">
        <f t="shared" si="81"/>
        <v>2.761631612492033</v>
      </c>
      <c r="BR84" s="586">
        <f t="shared" si="81"/>
        <v>2.9168831168831169</v>
      </c>
      <c r="BS84" s="586">
        <f t="shared" si="81"/>
        <v>3.0612109115103125</v>
      </c>
      <c r="BT84" s="586">
        <f t="shared" si="81"/>
        <v>3.1813858695652173</v>
      </c>
      <c r="BU84" s="281">
        <f t="shared" si="81"/>
        <v>11.905982905982906</v>
      </c>
      <c r="BV84" s="586">
        <f t="shared" si="81"/>
        <v>2.5269121813031163</v>
      </c>
      <c r="BW84" s="586">
        <f t="shared" si="81"/>
        <v>2.5808118081180811</v>
      </c>
      <c r="BX84" s="586">
        <f t="shared" si="81"/>
        <v>2.4869305451829722</v>
      </c>
      <c r="BY84" s="586">
        <f t="shared" si="81"/>
        <v>2.3421250941974376</v>
      </c>
      <c r="BZ84" s="281">
        <f t="shared" si="81"/>
        <v>9.9432989690721651</v>
      </c>
      <c r="CA84" s="586">
        <f t="shared" ref="CA84:CI84" si="82">CA82/CA87</f>
        <v>2.0469696969696969</v>
      </c>
      <c r="CB84" s="586">
        <f t="shared" si="82"/>
        <v>2.3333333333333335</v>
      </c>
      <c r="CC84" s="586">
        <f t="shared" si="82"/>
        <v>2.0606520090978013</v>
      </c>
      <c r="CD84" s="586">
        <f t="shared" si="82"/>
        <v>-2.9571537872991582</v>
      </c>
      <c r="CE84" s="281">
        <f>CE82/CE87</f>
        <v>3.5173855215656471</v>
      </c>
      <c r="CF84" s="586">
        <f t="shared" si="82"/>
        <v>1.3422173984684092</v>
      </c>
      <c r="CG84" s="586">
        <f t="shared" si="82"/>
        <v>1.4698379916041246</v>
      </c>
      <c r="CH84" s="586">
        <f t="shared" si="82"/>
        <v>1.5239788209360015</v>
      </c>
      <c r="CI84" s="586">
        <f t="shared" si="82"/>
        <v>1.3437382522921393</v>
      </c>
      <c r="CJ84" s="281">
        <f>CJ82/CJ87</f>
        <v>5.679772463300675</v>
      </c>
      <c r="CK84" s="586"/>
      <c r="CL84" s="586"/>
      <c r="CM84" s="586"/>
      <c r="CN84" s="586"/>
      <c r="CO84" s="281">
        <f>CO82/CO87</f>
        <v>5.8505422650302936</v>
      </c>
      <c r="CP84" s="586"/>
      <c r="CQ84" s="586"/>
      <c r="CR84" s="586"/>
      <c r="CS84" s="586"/>
      <c r="CT84" s="281">
        <f>CT82/CT87</f>
        <v>6.8377963005346034</v>
      </c>
      <c r="CU84" s="586"/>
      <c r="CV84" s="586"/>
      <c r="CW84" s="586"/>
      <c r="CX84" s="586"/>
      <c r="CY84" s="281">
        <f>CY82/CY87</f>
        <v>6.3088765422941542</v>
      </c>
      <c r="CZ84" s="586"/>
      <c r="DA84" s="586"/>
      <c r="DB84" s="586"/>
      <c r="DC84" s="586"/>
      <c r="DD84" s="281">
        <f>DD82/DD87</f>
        <v>7.0988392198266439</v>
      </c>
      <c r="DE84" s="586"/>
      <c r="DF84" s="586"/>
      <c r="DG84" s="586"/>
      <c r="DH84" s="586"/>
      <c r="DI84" s="281">
        <f>DI82/DI87</f>
        <v>7.9161495305593652</v>
      </c>
      <c r="DJ84" s="586"/>
      <c r="DK84" s="586"/>
      <c r="DL84" s="586"/>
      <c r="DM84" s="586"/>
      <c r="DN84" s="281">
        <f>DN82/DN87</f>
        <v>8.7141802930871837</v>
      </c>
      <c r="DO84" s="586"/>
      <c r="DP84" s="586"/>
      <c r="DQ84" s="586"/>
      <c r="DR84" s="586"/>
      <c r="DS84" s="281">
        <f>DS82/DS87</f>
        <v>5.3249384734968022</v>
      </c>
      <c r="DT84" s="586"/>
      <c r="DU84" s="586"/>
      <c r="DV84" s="586"/>
      <c r="DW84" s="586"/>
      <c r="DX84" s="281">
        <f>DX82/DX87</f>
        <v>4.2420640394340552</v>
      </c>
      <c r="DY84" s="586"/>
      <c r="DZ84" s="586"/>
      <c r="EA84" s="586"/>
      <c r="EB84" s="586"/>
      <c r="EC84" s="281">
        <f>EC82/EC87</f>
        <v>4.0057683788296918</v>
      </c>
      <c r="ED84" s="586"/>
      <c r="EE84" s="586"/>
      <c r="EF84" s="586"/>
      <c r="EG84" s="586"/>
      <c r="EH84" s="281">
        <f>EH82/EH87</f>
        <v>4.4940183970513141</v>
      </c>
      <c r="EI84" s="586"/>
      <c r="EJ84" s="586"/>
      <c r="EK84" s="586"/>
      <c r="EL84" s="586"/>
      <c r="EM84" s="281">
        <f>EM82/EM87</f>
        <v>6.356732698372257</v>
      </c>
      <c r="EN84" s="586"/>
      <c r="EO84" s="586"/>
      <c r="EP84" s="586"/>
      <c r="EQ84" s="586"/>
      <c r="ER84" s="281">
        <f>ER82/ER87</f>
        <v>6.4284610752233204</v>
      </c>
      <c r="EU84"/>
      <c r="EV84"/>
      <c r="EW84"/>
      <c r="EX84"/>
      <c r="EY84"/>
      <c r="EZ84"/>
    </row>
    <row r="85" spans="2:156" ht="12.75" customHeight="1">
      <c r="C85" s="16"/>
      <c r="D85" s="308"/>
      <c r="E85" s="308"/>
      <c r="F85" s="308"/>
      <c r="G85" s="308"/>
      <c r="H85" s="16"/>
      <c r="I85" s="308"/>
      <c r="J85" s="308"/>
      <c r="K85" s="308"/>
      <c r="L85" s="308"/>
      <c r="M85" s="16"/>
      <c r="N85" s="308"/>
      <c r="O85" s="308"/>
      <c r="P85" s="308"/>
      <c r="Q85" s="308"/>
      <c r="R85" s="16"/>
      <c r="S85" s="308"/>
      <c r="T85" s="308"/>
      <c r="U85" s="308"/>
      <c r="V85" s="308"/>
      <c r="W85" s="16"/>
      <c r="X85" s="308"/>
      <c r="Y85" s="308"/>
      <c r="Z85" s="308"/>
      <c r="AA85" s="308"/>
      <c r="AB85" s="16"/>
      <c r="AC85" s="308"/>
      <c r="AD85" s="308"/>
      <c r="AE85" s="308"/>
      <c r="AF85" s="308"/>
      <c r="AG85" s="16"/>
      <c r="AH85" s="308"/>
      <c r="AI85" s="308"/>
      <c r="AJ85" s="308"/>
      <c r="AK85" s="308"/>
      <c r="AL85" s="16"/>
      <c r="AM85" s="308"/>
      <c r="AN85" s="308"/>
      <c r="AO85" s="308"/>
      <c r="AP85" s="308"/>
      <c r="AQ85" s="16"/>
      <c r="AR85" s="308"/>
      <c r="AS85" s="308"/>
      <c r="AT85" s="308"/>
      <c r="AU85" s="308"/>
      <c r="AV85" s="16"/>
      <c r="AW85" s="308"/>
      <c r="AX85" s="308"/>
      <c r="AY85" s="308"/>
      <c r="AZ85" s="308"/>
      <c r="BA85" s="16"/>
      <c r="BB85" s="308"/>
      <c r="BC85" s="308"/>
      <c r="BD85" s="308"/>
      <c r="BE85" s="308"/>
      <c r="BF85" s="16"/>
      <c r="BG85" s="308"/>
      <c r="BH85" s="308"/>
      <c r="BI85" s="308"/>
      <c r="BJ85" s="308"/>
      <c r="BK85" s="16"/>
      <c r="BL85" s="308"/>
      <c r="BM85" s="308"/>
      <c r="BN85" s="308"/>
      <c r="BO85" s="308"/>
      <c r="BP85" s="16"/>
      <c r="BQ85" s="308"/>
      <c r="BR85" s="308"/>
      <c r="BS85" s="308"/>
      <c r="BT85" s="308"/>
      <c r="BU85" s="16"/>
      <c r="BV85" s="308"/>
      <c r="BW85" s="308"/>
      <c r="BX85" s="308"/>
      <c r="BY85" s="308"/>
      <c r="BZ85" s="16"/>
      <c r="CA85" s="308"/>
      <c r="CB85" s="308"/>
      <c r="CC85" s="308"/>
      <c r="CD85" s="308"/>
      <c r="CE85" s="16"/>
      <c r="CF85" s="308"/>
      <c r="CG85" s="308"/>
      <c r="CH85" s="308"/>
      <c r="CI85" s="308"/>
      <c r="CJ85" s="16"/>
      <c r="CK85" s="308"/>
      <c r="CL85" s="308"/>
      <c r="CM85" s="308"/>
      <c r="CN85" s="308"/>
      <c r="CO85" s="16"/>
      <c r="CP85" s="308"/>
      <c r="CQ85" s="308"/>
      <c r="CR85" s="308"/>
      <c r="CS85" s="308"/>
      <c r="CT85" s="16"/>
      <c r="CU85" s="308"/>
      <c r="CV85" s="308"/>
      <c r="CW85" s="308"/>
      <c r="CX85" s="308"/>
      <c r="CY85" s="16"/>
      <c r="CZ85" s="308"/>
      <c r="DA85" s="308"/>
      <c r="DB85" s="308"/>
      <c r="DC85" s="308"/>
      <c r="DD85" s="16"/>
      <c r="DE85" s="308"/>
      <c r="DF85" s="308"/>
      <c r="DG85" s="308"/>
      <c r="DH85" s="308"/>
      <c r="DI85" s="16"/>
      <c r="DJ85" s="308"/>
      <c r="DK85" s="308"/>
      <c r="DL85" s="308"/>
      <c r="DM85" s="308"/>
      <c r="DN85" s="16"/>
      <c r="DO85" s="308"/>
      <c r="DP85" s="308"/>
      <c r="DQ85" s="308"/>
      <c r="DR85" s="308"/>
      <c r="DS85" s="16"/>
      <c r="DT85" s="308"/>
      <c r="DU85" s="308"/>
      <c r="DV85" s="308"/>
      <c r="DW85" s="308"/>
      <c r="DX85" s="16"/>
      <c r="DY85" s="308"/>
      <c r="DZ85" s="308"/>
      <c r="EA85" s="308"/>
      <c r="EB85" s="308"/>
      <c r="EC85" s="16"/>
      <c r="ED85" s="308"/>
      <c r="EE85" s="308"/>
      <c r="EF85" s="308"/>
      <c r="EG85" s="308"/>
      <c r="EH85" s="16"/>
      <c r="EI85" s="308"/>
      <c r="EJ85" s="308"/>
      <c r="EK85" s="308"/>
      <c r="EL85" s="308"/>
      <c r="EM85" s="16"/>
      <c r="EN85" s="308"/>
      <c r="EO85" s="308"/>
      <c r="EP85" s="308"/>
      <c r="EQ85" s="308"/>
      <c r="ER85" s="16"/>
    </row>
    <row r="86" spans="2:156" s="116" customFormat="1" ht="12.75" customHeight="1">
      <c r="B86" s="583" t="s">
        <v>150</v>
      </c>
      <c r="C86" s="116">
        <f>(190.245*2*2)*2</f>
        <v>1521.96</v>
      </c>
      <c r="D86" s="298">
        <f>(193.8*2*2)*2</f>
        <v>1550.4</v>
      </c>
      <c r="E86" s="298">
        <f>(195.167*2*2)*2</f>
        <v>1561.336</v>
      </c>
      <c r="F86" s="298">
        <f>(196.14*2*2)*2</f>
        <v>1569.12</v>
      </c>
      <c r="G86" s="298">
        <f>(196.987*2*2)*2</f>
        <v>1575.896</v>
      </c>
      <c r="H86" s="116">
        <f>(195.543*2*2)*2</f>
        <v>1564.3440000000001</v>
      </c>
      <c r="I86" s="298">
        <f>(198.328*2*2)*2</f>
        <v>1586.624</v>
      </c>
      <c r="J86" s="298">
        <f>(200.236*2*2)*2</f>
        <v>1601.8879999999999</v>
      </c>
      <c r="K86" s="298">
        <f>(403.348*2)*2</f>
        <v>1613.3920000000001</v>
      </c>
      <c r="L86" s="298">
        <f>(408.222*2)*2</f>
        <v>1632.8879999999999</v>
      </c>
      <c r="M86" s="116">
        <f>(402.21*2)*2</f>
        <v>1608.84</v>
      </c>
      <c r="N86" s="298">
        <f>(427.268*2)*2</f>
        <v>1709.0719999999999</v>
      </c>
      <c r="O86" s="298">
        <f>(429.124*2)*2</f>
        <v>1716.4960000000001</v>
      </c>
      <c r="P86" s="298">
        <f>(431.273*2)*2</f>
        <v>1725.0920000000001</v>
      </c>
      <c r="Q86" s="298">
        <f>(440.253*2)*2</f>
        <v>1761.0119999999999</v>
      </c>
      <c r="R86" s="116">
        <f>(432*2)*2</f>
        <v>1728</v>
      </c>
      <c r="S86" s="298">
        <f>(449.549*2)*2</f>
        <v>1798.1959999999999</v>
      </c>
      <c r="T86" s="298">
        <f>(452.942*2)*2</f>
        <v>1811.768</v>
      </c>
      <c r="U86" s="298">
        <f>(456.098*2)*2</f>
        <v>1824.3920000000001</v>
      </c>
      <c r="V86" s="298">
        <f>(458.538*2)*2</f>
        <v>1834.152</v>
      </c>
      <c r="W86" s="116">
        <f>454.339*2*2</f>
        <v>1817.356</v>
      </c>
      <c r="X86" s="298">
        <f>(461.425*2)*2</f>
        <v>1845.7</v>
      </c>
      <c r="Y86" s="298">
        <v>1830.018</v>
      </c>
      <c r="Z86" s="298">
        <v>1829.732</v>
      </c>
      <c r="AA86" s="298">
        <v>1840.396</v>
      </c>
      <c r="AB86" s="116">
        <f>918.212*2</f>
        <v>1836.424</v>
      </c>
      <c r="AC86" s="298">
        <v>1853.88</v>
      </c>
      <c r="AD86" s="298">
        <v>1863.354</v>
      </c>
      <c r="AE86" s="298">
        <v>1853.9259999999999</v>
      </c>
      <c r="AF86" s="298">
        <v>1861.962</v>
      </c>
      <c r="AG86" s="116">
        <f>929.133*2</f>
        <v>1858.2660000000001</v>
      </c>
      <c r="AH86" s="298">
        <v>1856.2080000000001</v>
      </c>
      <c r="AI86" s="298">
        <v>1845.5920000000001</v>
      </c>
      <c r="AJ86" s="298">
        <v>1841.614</v>
      </c>
      <c r="AK86" s="298">
        <v>1822.336</v>
      </c>
      <c r="AL86" s="116">
        <f>920.693*2</f>
        <v>1841.386</v>
      </c>
      <c r="AM86" s="298">
        <v>1819.56</v>
      </c>
      <c r="AN86" s="298">
        <v>1811.222</v>
      </c>
      <c r="AO86" s="298">
        <v>1806.6379999999999</v>
      </c>
      <c r="AP86" s="298">
        <v>1799.6579999999999</v>
      </c>
      <c r="AQ86" s="116">
        <f>904.604*2</f>
        <v>1809.2080000000001</v>
      </c>
      <c r="AR86" s="298">
        <v>1803.212</v>
      </c>
      <c r="AS86" s="298">
        <v>1763.604</v>
      </c>
      <c r="AT86" s="298">
        <v>1666.0119999999999</v>
      </c>
      <c r="AU86" s="298">
        <v>1618.194</v>
      </c>
      <c r="AV86" s="116">
        <f>856.06*2</f>
        <v>1712.12</v>
      </c>
      <c r="AW86" s="298">
        <v>1592.23</v>
      </c>
      <c r="AX86" s="298">
        <v>1569.614</v>
      </c>
      <c r="AY86" s="298">
        <v>1534.066</v>
      </c>
      <c r="AZ86" s="298">
        <v>1504.4480000000001</v>
      </c>
      <c r="BA86" s="116">
        <v>1514.6210000000001</v>
      </c>
      <c r="BB86" s="298">
        <v>1516.4</v>
      </c>
      <c r="BC86" s="298">
        <v>1512.3</v>
      </c>
      <c r="BD86" s="298">
        <v>1515.9</v>
      </c>
      <c r="BE86" s="298">
        <v>1517.2080000000001</v>
      </c>
      <c r="BF86" s="116">
        <v>1514.6210000000001</v>
      </c>
      <c r="BG86" s="298">
        <v>1521.3720000000001</v>
      </c>
      <c r="BH86" s="298">
        <v>1526.9449999999999</v>
      </c>
      <c r="BI86" s="298">
        <v>1532.105</v>
      </c>
      <c r="BJ86" s="298">
        <v>1533.8820000000001</v>
      </c>
      <c r="BK86" s="116">
        <f>AVERAGE(BG86:BJ86)</f>
        <v>1528.576</v>
      </c>
      <c r="BL86" s="298">
        <v>1536.5250000000001</v>
      </c>
      <c r="BM86" s="298">
        <v>1532.723</v>
      </c>
      <c r="BN86" s="298">
        <v>1513.8989999999999</v>
      </c>
      <c r="BO86" s="298">
        <v>1506</v>
      </c>
      <c r="BP86" s="116">
        <v>1522</v>
      </c>
      <c r="BQ86" s="298">
        <v>1488</v>
      </c>
      <c r="BR86" s="298">
        <v>1472</v>
      </c>
      <c r="BS86" s="298">
        <v>1463</v>
      </c>
      <c r="BT86" s="298">
        <v>1436</v>
      </c>
      <c r="BU86" s="116">
        <v>1464</v>
      </c>
      <c r="BV86" s="292">
        <v>1383</v>
      </c>
      <c r="BW86" s="292">
        <v>1335</v>
      </c>
      <c r="BX86" s="292">
        <v>1322</v>
      </c>
      <c r="BY86" s="292">
        <v>1316</v>
      </c>
      <c r="BZ86" s="116">
        <v>1339</v>
      </c>
      <c r="CA86" s="300">
        <v>1308</v>
      </c>
      <c r="CB86" s="300">
        <v>1307</v>
      </c>
      <c r="CC86" s="300">
        <v>1306</v>
      </c>
      <c r="CD86" s="300">
        <v>1307</v>
      </c>
      <c r="CE86" s="696">
        <f>AVERAGE(CA86:CD86)</f>
        <v>1307</v>
      </c>
      <c r="CF86" s="300">
        <f>CJ86</f>
        <v>1306.7775000000001</v>
      </c>
      <c r="CG86" s="300">
        <f>CJ86</f>
        <v>1306.7775000000001</v>
      </c>
      <c r="CH86" s="300">
        <f>CJ86</f>
        <v>1306.7775000000001</v>
      </c>
      <c r="CI86" s="300">
        <f>4*CJ86-SUM(CF86:CH86)</f>
        <v>1306.7775000000001</v>
      </c>
      <c r="CJ86" s="116">
        <f>AVERAGE(CF!T92,CF!T93)</f>
        <v>1306.7775000000001</v>
      </c>
      <c r="CK86" s="308"/>
      <c r="CL86" s="308"/>
      <c r="CM86" s="308"/>
      <c r="CN86" s="308"/>
      <c r="CO86" s="116">
        <f>AVERAGE(CF!U92,CF!U93)</f>
        <v>1283.614775</v>
      </c>
      <c r="CP86" s="308"/>
      <c r="CQ86" s="308"/>
      <c r="CR86" s="308"/>
      <c r="CS86" s="308"/>
      <c r="CT86" s="116">
        <f>AVERAGE(CF!V92,CF!V93)</f>
        <v>1225.6616006499999</v>
      </c>
      <c r="CU86" s="308"/>
      <c r="CV86" s="308"/>
      <c r="CW86" s="308"/>
      <c r="CX86" s="308"/>
      <c r="CY86" s="116">
        <f>AVERAGE(CF!W92,CF!W93)</f>
        <v>1166.0018673915001</v>
      </c>
      <c r="CZ86" s="308"/>
      <c r="DA86" s="308"/>
      <c r="DB86" s="308"/>
      <c r="DC86" s="308"/>
      <c r="DD86" s="116">
        <f>AVERAGE(CF!X92,CF!X93)</f>
        <v>1118.586510126265</v>
      </c>
      <c r="DE86" s="308"/>
      <c r="DF86" s="308"/>
      <c r="DG86" s="308"/>
      <c r="DH86" s="308"/>
      <c r="DI86" s="116">
        <f>AVERAGE(CF!Y92,CF!Y93)</f>
        <v>1070.9385350149012</v>
      </c>
      <c r="DJ86" s="308"/>
      <c r="DK86" s="308"/>
      <c r="DL86" s="308"/>
      <c r="DM86" s="308"/>
      <c r="DN86" s="116">
        <f>AVERAGE(CF!Z92,CF!Z93)</f>
        <v>1043.07887766356</v>
      </c>
      <c r="DO86" s="308"/>
      <c r="DP86" s="308"/>
      <c r="DQ86" s="308"/>
      <c r="DR86" s="308"/>
      <c r="DS86" s="116">
        <f>AVERAGE(CF!AA92,CF!AA93)</f>
        <v>1035.0265894738395</v>
      </c>
      <c r="DT86" s="308"/>
      <c r="DU86" s="308"/>
      <c r="DV86" s="308"/>
      <c r="DW86" s="308"/>
      <c r="DX86" s="116">
        <f>AVERAGE(CF!AB92,CF!AB93)</f>
        <v>1026.799007221194</v>
      </c>
      <c r="DY86" s="308"/>
      <c r="DZ86" s="308"/>
      <c r="EA86" s="308"/>
      <c r="EB86" s="308"/>
      <c r="EC86" s="116">
        <f>AVERAGE(CF!AC92,CF!AC93)</f>
        <v>1018.4119073712865</v>
      </c>
      <c r="ED86" s="308"/>
      <c r="EE86" s="308"/>
      <c r="EF86" s="308"/>
      <c r="EG86" s="308"/>
      <c r="EH86" s="116">
        <f>AVERAGE(CF!AD92,CF!AD93)</f>
        <v>1009.8796465078707</v>
      </c>
      <c r="EI86" s="308"/>
      <c r="EJ86" s="308"/>
      <c r="EK86" s="308"/>
      <c r="EL86" s="308"/>
      <c r="EM86" s="116">
        <f>AVERAGE(CF!AE92,CF!AE93)</f>
        <v>1001.2152891221623</v>
      </c>
      <c r="EN86" s="308"/>
      <c r="EO86" s="308"/>
      <c r="EP86" s="308"/>
      <c r="EQ86" s="308"/>
      <c r="ER86" s="116">
        <f>AVERAGE(CF!AF92,CF!AF93)</f>
        <v>992.43072390116765</v>
      </c>
      <c r="EU86"/>
      <c r="EV86"/>
      <c r="EW86"/>
      <c r="EX86"/>
      <c r="EY86"/>
      <c r="EZ86"/>
    </row>
    <row r="87" spans="2:156" s="116" customFormat="1" ht="12.75" customHeight="1">
      <c r="B87" s="583" t="s">
        <v>151</v>
      </c>
      <c r="C87" s="116">
        <v>1618.568</v>
      </c>
      <c r="D87" s="298">
        <v>1550.4</v>
      </c>
      <c r="E87" s="298">
        <v>1651.08</v>
      </c>
      <c r="F87" s="298">
        <v>1649.28</v>
      </c>
      <c r="G87" s="298">
        <v>1659.136</v>
      </c>
      <c r="H87" s="116">
        <v>1651.816</v>
      </c>
      <c r="I87" s="298">
        <v>1586.624</v>
      </c>
      <c r="J87" s="298">
        <v>1842.72</v>
      </c>
      <c r="K87" s="298">
        <v>1867.4559999999999</v>
      </c>
      <c r="L87" s="298">
        <v>1839.768</v>
      </c>
      <c r="M87" s="116">
        <v>1608.84</v>
      </c>
      <c r="N87" s="298">
        <v>1841.6079999999999</v>
      </c>
      <c r="O87" s="298">
        <v>1847.9159999999999</v>
      </c>
      <c r="P87" s="298">
        <v>1861.896</v>
      </c>
      <c r="Q87" s="298">
        <v>1840.796</v>
      </c>
      <c r="R87" s="116">
        <v>1856.9839999999999</v>
      </c>
      <c r="S87" s="298">
        <v>1870.4760000000001</v>
      </c>
      <c r="T87" s="298">
        <v>1890.38</v>
      </c>
      <c r="U87" s="298">
        <v>1903.86</v>
      </c>
      <c r="V87" s="298">
        <v>1916.7</v>
      </c>
      <c r="W87" s="116">
        <v>1897.136</v>
      </c>
      <c r="X87" s="298">
        <v>1927.2080000000001</v>
      </c>
      <c r="Y87" s="298">
        <v>1904.8679999999999</v>
      </c>
      <c r="Z87" s="298">
        <v>1829.732</v>
      </c>
      <c r="AA87" s="298">
        <v>1840.396</v>
      </c>
      <c r="AB87" s="116">
        <v>1836.424</v>
      </c>
      <c r="AC87" s="298">
        <v>1925.432</v>
      </c>
      <c r="AD87" s="298">
        <v>1935.856</v>
      </c>
      <c r="AE87" s="298">
        <v>1918.086</v>
      </c>
      <c r="AF87" s="298">
        <v>1938.548</v>
      </c>
      <c r="AG87" s="116">
        <v>1928.712</v>
      </c>
      <c r="AH87" s="298">
        <v>1933.1079999999999</v>
      </c>
      <c r="AI87" s="298">
        <v>1931.326</v>
      </c>
      <c r="AJ87" s="298">
        <v>1921.17</v>
      </c>
      <c r="AK87" s="298">
        <v>1885.674</v>
      </c>
      <c r="AL87" s="116">
        <v>1917.65</v>
      </c>
      <c r="AM87" s="298">
        <v>1884.9580000000001</v>
      </c>
      <c r="AN87" s="298">
        <v>1868.9559999999999</v>
      </c>
      <c r="AO87" s="298">
        <v>1864.848</v>
      </c>
      <c r="AP87" s="298">
        <v>1853.826</v>
      </c>
      <c r="AQ87" s="116">
        <v>1868.2180000000001</v>
      </c>
      <c r="AR87" s="298">
        <v>1856.7360000000001</v>
      </c>
      <c r="AS87" s="298">
        <v>1797.5060000000001</v>
      </c>
      <c r="AT87" s="298">
        <v>1694.4559999999999</v>
      </c>
      <c r="AU87" s="298">
        <v>1648.152</v>
      </c>
      <c r="AV87" s="116">
        <v>1746.7919999999999</v>
      </c>
      <c r="AW87" s="298">
        <v>1623.7139999999999</v>
      </c>
      <c r="AX87" s="298">
        <v>1601.6</v>
      </c>
      <c r="AY87" s="298">
        <v>1562.624</v>
      </c>
      <c r="AZ87" s="298">
        <v>1532.652</v>
      </c>
      <c r="BA87" s="116">
        <v>1580.1475</v>
      </c>
      <c r="BB87" s="298">
        <v>1554.7760000000001</v>
      </c>
      <c r="BC87" s="298">
        <v>1561.0119999999999</v>
      </c>
      <c r="BD87" s="298">
        <v>1584.6079999999999</v>
      </c>
      <c r="BE87" s="298">
        <v>1636.9390000000001</v>
      </c>
      <c r="BF87" s="116">
        <v>1582.549</v>
      </c>
      <c r="BG87" s="298">
        <v>1665.06</v>
      </c>
      <c r="BH87" s="298">
        <v>1694.577</v>
      </c>
      <c r="BI87" s="298">
        <v>1691.8979999999999</v>
      </c>
      <c r="BJ87" s="298">
        <v>1694.212</v>
      </c>
      <c r="BK87" s="116">
        <f>AVERAGE(BG87:BJ87)</f>
        <v>1686.4367499999998</v>
      </c>
      <c r="BL87" s="564">
        <v>1679.8710000000001</v>
      </c>
      <c r="BM87" s="564">
        <v>1664.415</v>
      </c>
      <c r="BN87" s="564">
        <v>1636.53</v>
      </c>
      <c r="BO87" s="564">
        <v>1597</v>
      </c>
      <c r="BP87" s="116">
        <v>1647</v>
      </c>
      <c r="BQ87" s="564">
        <v>1569</v>
      </c>
      <c r="BR87" s="564">
        <v>1540</v>
      </c>
      <c r="BS87" s="564">
        <v>1503</v>
      </c>
      <c r="BT87" s="564">
        <v>1472</v>
      </c>
      <c r="BU87" s="116">
        <v>1521</v>
      </c>
      <c r="BV87" s="564">
        <v>1412</v>
      </c>
      <c r="BW87" s="564">
        <v>1355</v>
      </c>
      <c r="BX87" s="564">
        <v>1339</v>
      </c>
      <c r="BY87" s="564">
        <v>1327</v>
      </c>
      <c r="BZ87" s="582">
        <v>1358</v>
      </c>
      <c r="CA87" s="300">
        <v>1320</v>
      </c>
      <c r="CB87" s="300">
        <v>1317</v>
      </c>
      <c r="CC87" s="300">
        <v>1319</v>
      </c>
      <c r="CD87" s="300">
        <v>1307</v>
      </c>
      <c r="CE87" s="696">
        <f t="shared" ref="CE87:CE88" si="83">AVERAGE(CA87:CD87)</f>
        <v>1315.75</v>
      </c>
      <c r="CF87" s="300">
        <f>CJ87</f>
        <v>1315.5260104246368</v>
      </c>
      <c r="CG87" s="300">
        <f>CJ87</f>
        <v>1315.5260104246368</v>
      </c>
      <c r="CH87" s="300">
        <f>CJ87</f>
        <v>1315.5260104246368</v>
      </c>
      <c r="CI87" s="300">
        <f>4*CJ87-SUM(CF87:CH87)</f>
        <v>1315.5260104246368</v>
      </c>
      <c r="CJ87" s="582">
        <f>(CE87/CE86)*CJ86</f>
        <v>1315.5260104246368</v>
      </c>
      <c r="CK87" s="308"/>
      <c r="CL87" s="308"/>
      <c r="CM87" s="308"/>
      <c r="CN87" s="308"/>
      <c r="CO87" s="582">
        <f>(CJ87/CJ86)*CO86</f>
        <v>1292.2082174493114</v>
      </c>
      <c r="CP87" s="308"/>
      <c r="CQ87" s="308"/>
      <c r="CR87" s="308"/>
      <c r="CS87" s="308"/>
      <c r="CT87" s="582">
        <f>(CO87/CO86)*CT86</f>
        <v>1233.8670627813599</v>
      </c>
      <c r="CU87" s="308"/>
      <c r="CV87" s="308"/>
      <c r="CW87" s="308"/>
      <c r="CX87" s="308"/>
      <c r="CY87" s="582">
        <f>(CT87/CT86)*CY86</f>
        <v>1173.8079242695992</v>
      </c>
      <c r="CZ87" s="308"/>
      <c r="DA87" s="308"/>
      <c r="DB87" s="308"/>
      <c r="DC87" s="308"/>
      <c r="DD87" s="582">
        <f>(CY87/CY86)*DD86</f>
        <v>1126.0751344289465</v>
      </c>
      <c r="DE87" s="308"/>
      <c r="DF87" s="308"/>
      <c r="DG87" s="308"/>
      <c r="DH87" s="308"/>
      <c r="DI87" s="582">
        <f>(DD87/DD86)*DI86</f>
        <v>1078.1081694306474</v>
      </c>
      <c r="DJ87" s="308"/>
      <c r="DK87" s="308"/>
      <c r="DL87" s="308"/>
      <c r="DM87" s="308"/>
      <c r="DN87" s="582">
        <f>(DI87/DI86)*DN86</f>
        <v>1050.06199945358</v>
      </c>
      <c r="DO87" s="308"/>
      <c r="DP87" s="308"/>
      <c r="DQ87" s="308"/>
      <c r="DR87" s="308"/>
      <c r="DS87" s="582">
        <f>(DN87/DN86)*DS86</f>
        <v>1041.9558034431557</v>
      </c>
      <c r="DT87" s="308"/>
      <c r="DU87" s="308"/>
      <c r="DV87" s="308"/>
      <c r="DW87" s="308"/>
      <c r="DX87" s="582">
        <f>(DS87/DS86)*DX86</f>
        <v>1033.6731398250083</v>
      </c>
      <c r="DY87" s="308"/>
      <c r="DZ87" s="308"/>
      <c r="EA87" s="308"/>
      <c r="EB87" s="308"/>
      <c r="EC87" s="582">
        <f>(DX87/DX86)*EC86</f>
        <v>1025.2298906838334</v>
      </c>
      <c r="ED87" s="308"/>
      <c r="EE87" s="308"/>
      <c r="EF87" s="308"/>
      <c r="EG87" s="308"/>
      <c r="EH87" s="582">
        <f>(EC87/EC86)*EH86</f>
        <v>1016.640508716703</v>
      </c>
      <c r="EI87" s="308"/>
      <c r="EJ87" s="308"/>
      <c r="EK87" s="308"/>
      <c r="EL87" s="308"/>
      <c r="EM87" s="582">
        <f>(EH87/EH86)*EM86</f>
        <v>1007.9181458779533</v>
      </c>
      <c r="EN87" s="308"/>
      <c r="EO87" s="308"/>
      <c r="EP87" s="308"/>
      <c r="EQ87" s="308"/>
      <c r="ER87" s="582">
        <f>(EM87/EM86)*ER86</f>
        <v>999.07477044603013</v>
      </c>
      <c r="EU87"/>
      <c r="EV87"/>
      <c r="EW87"/>
      <c r="EX87"/>
      <c r="EY87"/>
      <c r="EZ87"/>
    </row>
    <row r="88" spans="2:156" s="116" customFormat="1" ht="12.75" customHeight="1">
      <c r="B88" s="583" t="s">
        <v>164</v>
      </c>
      <c r="C88" s="116">
        <f>+C87</f>
        <v>1618.568</v>
      </c>
      <c r="D88" s="298">
        <f>D87</f>
        <v>1550.4</v>
      </c>
      <c r="E88" s="298">
        <f>E87</f>
        <v>1651.08</v>
      </c>
      <c r="F88" s="298">
        <f>(206.16*2*2)*2</f>
        <v>1649.28</v>
      </c>
      <c r="G88" s="298">
        <f>(207.392*2*2)*2</f>
        <v>1659.136</v>
      </c>
      <c r="H88" s="116">
        <f>(206.477*2*2)*2</f>
        <v>1651.816</v>
      </c>
      <c r="I88" s="298">
        <f>(208.299*2*2)*2</f>
        <v>1666.3920000000001</v>
      </c>
      <c r="J88" s="298">
        <f>+J87</f>
        <v>1842.72</v>
      </c>
      <c r="K88" s="298">
        <f>(223.254*2*2)*2</f>
        <v>1786.0319999999999</v>
      </c>
      <c r="L88" s="298">
        <f>(459.942*2)*2</f>
        <v>1839.768</v>
      </c>
      <c r="M88" s="116">
        <f>(456.3*2)*2</f>
        <v>1825.2</v>
      </c>
      <c r="N88" s="298">
        <f>+N87</f>
        <v>1841.6079999999999</v>
      </c>
      <c r="O88" s="298">
        <f>+O87</f>
        <v>1847.9159999999999</v>
      </c>
      <c r="P88" s="298">
        <f>+P87</f>
        <v>1861.896</v>
      </c>
      <c r="Q88" s="298">
        <f>(467.813*2)*2</f>
        <v>1871.252</v>
      </c>
      <c r="R88" s="116">
        <f>(467.813*2)*2</f>
        <v>1871.252</v>
      </c>
      <c r="S88" s="298">
        <f>+S87</f>
        <v>1870.4760000000001</v>
      </c>
      <c r="T88" s="298">
        <f>+T87</f>
        <v>1890.38</v>
      </c>
      <c r="U88" s="298">
        <f>+U87</f>
        <v>1903.86</v>
      </c>
      <c r="V88" s="298">
        <f>+V87</f>
        <v>1916.7</v>
      </c>
      <c r="W88" s="116">
        <f>+W87</f>
        <v>1897.136</v>
      </c>
      <c r="X88" s="298">
        <f>(482.787*2)*2</f>
        <v>1931.1479999999999</v>
      </c>
      <c r="Y88" s="298">
        <v>1906.982</v>
      </c>
      <c r="Z88" s="298">
        <v>1907.2919999999999</v>
      </c>
      <c r="AA88" s="298">
        <v>1918.5419999999999</v>
      </c>
      <c r="AB88" s="116">
        <v>1916.008</v>
      </c>
      <c r="AC88" s="298">
        <v>1929.2739999999999</v>
      </c>
      <c r="AD88" s="298">
        <v>1941.454</v>
      </c>
      <c r="AE88" s="298">
        <v>1921.646</v>
      </c>
      <c r="AF88" s="298">
        <v>1943.002</v>
      </c>
      <c r="AG88" s="116">
        <v>1932.9580000000001</v>
      </c>
      <c r="AH88" s="298">
        <v>1937.35</v>
      </c>
      <c r="AI88" s="298">
        <v>1936.1320000000001</v>
      </c>
      <c r="AJ88" s="298">
        <v>1925.018</v>
      </c>
      <c r="AK88" s="298">
        <v>1887.04</v>
      </c>
      <c r="AL88" s="116">
        <v>1921.0219999999999</v>
      </c>
      <c r="AM88" s="298">
        <v>1886.556</v>
      </c>
      <c r="AN88" s="298">
        <v>1869.0119999999999</v>
      </c>
      <c r="AO88" s="298">
        <v>1864.61</v>
      </c>
      <c r="AP88" s="298">
        <v>1852.63</v>
      </c>
      <c r="AQ88" s="116">
        <v>1868.2739999999999</v>
      </c>
      <c r="AR88" s="298">
        <v>1855.33</v>
      </c>
      <c r="AS88" s="298">
        <v>1794.396</v>
      </c>
      <c r="AT88" s="298">
        <v>1690.04</v>
      </c>
      <c r="AU88" s="298">
        <v>1643.7819999999999</v>
      </c>
      <c r="AV88" s="116">
        <v>1743.31</v>
      </c>
      <c r="AW88" s="298">
        <v>1619.654</v>
      </c>
      <c r="AX88" s="298">
        <v>1597.58</v>
      </c>
      <c r="AY88" s="298">
        <v>1558.432</v>
      </c>
      <c r="AZ88" s="298">
        <v>1528.386</v>
      </c>
      <c r="BA88" s="116">
        <f>AVERAGE(AW88:AZ88)</f>
        <v>1576.0129999999999</v>
      </c>
      <c r="BB88" s="298">
        <f>(775.35)*2</f>
        <v>1550.7</v>
      </c>
      <c r="BC88" s="298">
        <v>1557.866</v>
      </c>
      <c r="BD88" s="298">
        <v>1581.9880000000001</v>
      </c>
      <c r="BE88" s="298">
        <v>1634.9739999999999</v>
      </c>
      <c r="BF88" s="116">
        <v>1580.027</v>
      </c>
      <c r="BG88" s="298">
        <v>1663.3440000000001</v>
      </c>
      <c r="BH88" s="298">
        <v>1693.3489999999999</v>
      </c>
      <c r="BI88" s="298">
        <v>1690.759</v>
      </c>
      <c r="BJ88" s="298">
        <v>1693.21</v>
      </c>
      <c r="BK88" s="116">
        <f>AVERAGE(BG88:BJ88)</f>
        <v>1685.1655000000001</v>
      </c>
      <c r="BL88" s="564">
        <v>1678.96</v>
      </c>
      <c r="BM88" s="564">
        <v>1663.45</v>
      </c>
      <c r="BN88" s="564">
        <v>1635.91</v>
      </c>
      <c r="BO88" s="564">
        <v>1596</v>
      </c>
      <c r="BP88" s="116">
        <v>1646</v>
      </c>
      <c r="BQ88" s="564">
        <v>1568</v>
      </c>
      <c r="BR88" s="564">
        <v>1540</v>
      </c>
      <c r="BS88" s="564">
        <v>1502</v>
      </c>
      <c r="BT88" s="564">
        <v>1472</v>
      </c>
      <c r="BU88" s="116">
        <f>BU87</f>
        <v>1521</v>
      </c>
      <c r="BV88" s="564">
        <v>1411</v>
      </c>
      <c r="BW88" s="564">
        <v>1354</v>
      </c>
      <c r="BX88" s="564">
        <v>1338</v>
      </c>
      <c r="BY88" s="564">
        <v>1326</v>
      </c>
      <c r="BZ88" s="582">
        <v>1358</v>
      </c>
      <c r="CA88" s="300">
        <f>CA87</f>
        <v>1320</v>
      </c>
      <c r="CB88" s="300">
        <f>CA88/CA87*CB87</f>
        <v>1317</v>
      </c>
      <c r="CC88" s="300">
        <f t="shared" ref="CC88" si="84">CB88/CB87*CC87</f>
        <v>1319</v>
      </c>
      <c r="CD88" s="300">
        <v>1320</v>
      </c>
      <c r="CE88" s="696">
        <f t="shared" si="83"/>
        <v>1319</v>
      </c>
      <c r="CF88" s="300">
        <f>CJ88</f>
        <v>1318.7754571537873</v>
      </c>
      <c r="CG88" s="300">
        <f>CJ88</f>
        <v>1318.7754571537873</v>
      </c>
      <c r="CH88" s="300">
        <f>CJ88</f>
        <v>1318.7754571537873</v>
      </c>
      <c r="CI88" s="300">
        <f>4*CJ88-SUM(CF88:CH88)</f>
        <v>1318.7754571537871</v>
      </c>
      <c r="CJ88" s="582">
        <f>(CE88/CE87)*CJ87</f>
        <v>1318.7754571537873</v>
      </c>
      <c r="CK88" s="308"/>
      <c r="CL88" s="308"/>
      <c r="CM88" s="308"/>
      <c r="CN88" s="308"/>
      <c r="CO88" s="582">
        <f>(CJ88/CJ87)*CO87</f>
        <v>1295.4000675019126</v>
      </c>
      <c r="CP88" s="308"/>
      <c r="CQ88" s="308"/>
      <c r="CR88" s="308"/>
      <c r="CS88" s="308"/>
      <c r="CT88" s="582">
        <f>(CO88/CO87)*CT87</f>
        <v>1236.914805858722</v>
      </c>
      <c r="CU88" s="308"/>
      <c r="CV88" s="308"/>
      <c r="CW88" s="308"/>
      <c r="CX88" s="308"/>
      <c r="CY88" s="582">
        <f>(CT88/CT87)*CY87</f>
        <v>1176.7073168243217</v>
      </c>
      <c r="CZ88" s="308"/>
      <c r="DA88" s="308"/>
      <c r="DB88" s="308"/>
      <c r="DC88" s="308"/>
      <c r="DD88" s="582">
        <f>(CY88/CY87)*DD87</f>
        <v>1128.8566234556567</v>
      </c>
      <c r="DE88" s="308"/>
      <c r="DF88" s="308"/>
      <c r="DG88" s="308"/>
      <c r="DH88" s="308"/>
      <c r="DI88" s="582">
        <f>(DD88/DD87)*DI87</f>
        <v>1080.771176499353</v>
      </c>
      <c r="DJ88" s="308"/>
      <c r="DK88" s="308"/>
      <c r="DL88" s="308"/>
      <c r="DM88" s="308"/>
      <c r="DN88" s="582">
        <f>(DI88/DI87)*DN87</f>
        <v>1052.6557304041587</v>
      </c>
      <c r="DO88" s="308"/>
      <c r="DP88" s="308"/>
      <c r="DQ88" s="308"/>
      <c r="DR88" s="308"/>
      <c r="DS88" s="582">
        <f>(DN88/DN87)*DS87</f>
        <v>1044.5295114889016</v>
      </c>
      <c r="DT88" s="308"/>
      <c r="DU88" s="308"/>
      <c r="DV88" s="308"/>
      <c r="DW88" s="308"/>
      <c r="DX88" s="582">
        <f>(DS88/DS87)*DX87</f>
        <v>1036.2263890778536</v>
      </c>
      <c r="DY88" s="308"/>
      <c r="DZ88" s="308"/>
      <c r="EA88" s="308"/>
      <c r="EB88" s="308"/>
      <c r="EC88" s="582">
        <f>(DX88/DX87)*EC87</f>
        <v>1027.7622844856364</v>
      </c>
      <c r="ED88" s="308"/>
      <c r="EE88" s="308"/>
      <c r="EF88" s="308"/>
      <c r="EG88" s="308"/>
      <c r="EH88" s="582">
        <f>(EC88/EC87)*EH87</f>
        <v>1019.1516861085549</v>
      </c>
      <c r="EI88" s="308"/>
      <c r="EJ88" s="308"/>
      <c r="EK88" s="308"/>
      <c r="EL88" s="308"/>
      <c r="EM88" s="582">
        <f>(EH88/EH87)*EM87</f>
        <v>1010.407778387247</v>
      </c>
      <c r="EN88" s="308"/>
      <c r="EO88" s="308"/>
      <c r="EP88" s="308"/>
      <c r="EQ88" s="308"/>
      <c r="ER88" s="582">
        <f>(EM88/EM87)*ER87</f>
        <v>1001.5425591626932</v>
      </c>
      <c r="EU88"/>
      <c r="EV88"/>
      <c r="EW88"/>
      <c r="EX88"/>
      <c r="EY88"/>
      <c r="EZ88"/>
    </row>
    <row r="89" spans="2:156" ht="12.75" customHeight="1" thickBot="1">
      <c r="C89" s="16"/>
      <c r="D89" s="308"/>
      <c r="E89" s="308"/>
      <c r="F89" s="308"/>
      <c r="G89" s="308"/>
      <c r="H89" s="16"/>
      <c r="I89" s="308"/>
      <c r="J89" s="308"/>
      <c r="K89" s="308"/>
      <c r="L89" s="308"/>
      <c r="M89" s="16"/>
      <c r="N89" s="308"/>
      <c r="O89" s="308"/>
      <c r="P89" s="308"/>
      <c r="Q89" s="308"/>
      <c r="R89" s="16"/>
      <c r="S89" s="308"/>
      <c r="T89" s="308"/>
      <c r="U89" s="308"/>
      <c r="V89" s="308"/>
      <c r="W89" s="16"/>
      <c r="X89" s="308"/>
      <c r="Y89" s="308"/>
      <c r="Z89" s="308"/>
      <c r="AA89" s="308"/>
      <c r="AB89" s="16"/>
      <c r="AC89" s="308"/>
      <c r="AD89" s="308"/>
      <c r="AE89" s="308"/>
      <c r="AF89" s="308"/>
      <c r="AG89" s="16"/>
      <c r="AH89" s="308"/>
      <c r="AI89" s="308"/>
      <c r="AJ89" s="308"/>
      <c r="AK89" s="308"/>
      <c r="AL89" s="16"/>
      <c r="AM89" s="308"/>
      <c r="AN89" s="308"/>
      <c r="AO89" s="308"/>
      <c r="AP89" s="308"/>
      <c r="AQ89" s="16"/>
      <c r="AR89" s="308"/>
      <c r="AS89" s="308"/>
      <c r="AT89" s="308"/>
      <c r="AU89" s="308"/>
      <c r="AV89" s="16"/>
      <c r="AW89" s="308"/>
      <c r="AX89" s="308"/>
      <c r="AY89" s="308"/>
      <c r="AZ89" s="308"/>
      <c r="BA89" s="16"/>
      <c r="BB89" s="308"/>
      <c r="BC89" s="308"/>
      <c r="BD89" s="308"/>
      <c r="BE89" s="308"/>
      <c r="BF89" s="16"/>
      <c r="BG89" s="308"/>
      <c r="BH89" s="308"/>
      <c r="BI89" s="308"/>
      <c r="BJ89" s="308"/>
      <c r="BK89" s="16"/>
      <c r="BL89" s="308"/>
      <c r="BM89" s="308"/>
      <c r="BN89" s="308"/>
      <c r="BO89" s="308"/>
      <c r="BP89" s="607"/>
      <c r="BQ89" s="308"/>
      <c r="BR89" s="308"/>
      <c r="BS89" s="308"/>
      <c r="BT89" s="308"/>
      <c r="BU89" s="16"/>
      <c r="BV89" s="308"/>
      <c r="BW89" s="308"/>
      <c r="BX89" s="308"/>
      <c r="BY89" s="308"/>
      <c r="BZ89" s="16"/>
      <c r="CA89" s="308"/>
      <c r="CB89" s="308"/>
      <c r="CC89" s="308"/>
      <c r="CD89" s="308"/>
      <c r="CE89" s="16"/>
      <c r="CF89" s="308"/>
      <c r="CG89" s="308"/>
      <c r="CH89" s="308"/>
      <c r="CI89" s="308"/>
      <c r="CJ89" s="16"/>
      <c r="CK89" s="308"/>
      <c r="CL89" s="308"/>
      <c r="CM89" s="308"/>
      <c r="CN89" s="308"/>
      <c r="CO89" s="16"/>
      <c r="CP89" s="308"/>
      <c r="CQ89" s="308"/>
      <c r="CR89" s="308"/>
      <c r="CS89" s="308"/>
      <c r="CT89" s="16"/>
      <c r="CU89" s="308"/>
      <c r="CV89" s="308"/>
      <c r="CW89" s="308"/>
      <c r="CX89" s="308"/>
      <c r="CY89" s="16"/>
      <c r="CZ89" s="308"/>
      <c r="DA89" s="308"/>
      <c r="DB89" s="308"/>
      <c r="DC89" s="308"/>
      <c r="DD89" s="16"/>
      <c r="DE89" s="308"/>
      <c r="DF89" s="308"/>
      <c r="DG89" s="308"/>
      <c r="DH89" s="308"/>
      <c r="DI89" s="16"/>
      <c r="DJ89" s="308"/>
      <c r="DK89" s="308"/>
      <c r="DL89" s="308"/>
      <c r="DM89" s="308"/>
      <c r="DN89" s="16"/>
      <c r="DO89" s="308"/>
      <c r="DP89" s="308"/>
      <c r="DQ89" s="308"/>
      <c r="DR89" s="308"/>
      <c r="DS89" s="16"/>
      <c r="DT89" s="308"/>
      <c r="DU89" s="308"/>
      <c r="DV89" s="308"/>
      <c r="DW89" s="308"/>
      <c r="DX89" s="16"/>
      <c r="DY89" s="308"/>
      <c r="DZ89" s="308"/>
      <c r="EA89" s="308"/>
      <c r="EB89" s="308"/>
      <c r="EC89" s="16"/>
      <c r="ED89" s="308"/>
      <c r="EE89" s="308"/>
      <c r="EF89" s="308"/>
      <c r="EG89" s="308"/>
      <c r="EH89" s="16"/>
      <c r="EI89" s="308"/>
      <c r="EJ89" s="308"/>
      <c r="EK89" s="308"/>
      <c r="EL89" s="308"/>
      <c r="EM89" s="16"/>
      <c r="EN89" s="308"/>
      <c r="EO89" s="308"/>
      <c r="EP89" s="308"/>
      <c r="EQ89" s="308"/>
      <c r="ER89" s="16"/>
    </row>
    <row r="90" spans="2:156" ht="12.75" customHeight="1">
      <c r="B90" s="36" t="s">
        <v>729</v>
      </c>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c r="EA90" s="36"/>
      <c r="EB90" s="36"/>
      <c r="EC90" s="36"/>
      <c r="ED90" s="36"/>
      <c r="EE90" s="36"/>
      <c r="EF90" s="36"/>
      <c r="EG90" s="36"/>
      <c r="EH90" s="36"/>
      <c r="EI90" s="36"/>
      <c r="EJ90" s="36"/>
      <c r="EK90" s="36"/>
      <c r="EL90" s="36"/>
      <c r="EM90" s="36"/>
      <c r="EN90" s="36"/>
      <c r="EO90" s="36"/>
      <c r="EP90" s="36"/>
      <c r="EQ90" s="36"/>
      <c r="ER90" s="36"/>
    </row>
    <row r="91" spans="2:156" ht="12.75" customHeight="1">
      <c r="B91" s="314" t="s">
        <v>165</v>
      </c>
      <c r="C91" s="37">
        <f t="shared" ref="C91:AH91" si="85">C9/C3</f>
        <v>0.22916688485102374</v>
      </c>
      <c r="D91" s="315">
        <f t="shared" si="85"/>
        <v>0.17029882196546506</v>
      </c>
      <c r="E91" s="315">
        <f t="shared" si="85"/>
        <v>0.18891542628054764</v>
      </c>
      <c r="F91" s="315">
        <f t="shared" si="85"/>
        <v>0.16981555893877756</v>
      </c>
      <c r="G91" s="315">
        <f t="shared" si="85"/>
        <v>0.14048096336372581</v>
      </c>
      <c r="H91" s="37">
        <f t="shared" si="85"/>
        <v>0.16449033804458343</v>
      </c>
      <c r="I91" s="315">
        <f t="shared" si="85"/>
        <v>0.13703162268215743</v>
      </c>
      <c r="J91" s="315">
        <f t="shared" si="85"/>
        <v>0.13918705672221549</v>
      </c>
      <c r="K91" s="315">
        <f t="shared" si="85"/>
        <v>0.13363905706556742</v>
      </c>
      <c r="L91" s="315">
        <f t="shared" si="85"/>
        <v>0.12742045267843871</v>
      </c>
      <c r="M91" s="37">
        <f t="shared" si="85"/>
        <v>0.13390112406303167</v>
      </c>
      <c r="N91" s="315">
        <f t="shared" si="85"/>
        <v>0.12635898548366686</v>
      </c>
      <c r="O91" s="315">
        <f t="shared" si="85"/>
        <v>0.14061978004356368</v>
      </c>
      <c r="P91" s="315">
        <f t="shared" si="85"/>
        <v>0.13144013877133301</v>
      </c>
      <c r="Q91" s="315">
        <f t="shared" si="85"/>
        <v>0.13697301036894546</v>
      </c>
      <c r="R91" s="37">
        <f t="shared" si="85"/>
        <v>0.13410453017770529</v>
      </c>
      <c r="S91" s="315">
        <f t="shared" si="85"/>
        <v>0.14346182388789916</v>
      </c>
      <c r="T91" s="315">
        <f t="shared" si="85"/>
        <v>0.14108121607820576</v>
      </c>
      <c r="U91" s="315">
        <f t="shared" si="85"/>
        <v>0.1401914367171514</v>
      </c>
      <c r="V91" s="315">
        <f t="shared" si="85"/>
        <v>0.15026366668963531</v>
      </c>
      <c r="W91" s="37">
        <f t="shared" si="85"/>
        <v>0.1438822438966694</v>
      </c>
      <c r="X91" s="315">
        <f t="shared" si="85"/>
        <v>0.15584076602789293</v>
      </c>
      <c r="Y91" s="315">
        <f t="shared" si="85"/>
        <v>0.12757431550506104</v>
      </c>
      <c r="Z91" s="315">
        <f t="shared" si="85"/>
        <v>0.16008566397039073</v>
      </c>
      <c r="AA91" s="315">
        <f t="shared" si="85"/>
        <v>0.1987879087780251</v>
      </c>
      <c r="AB91" s="37">
        <f t="shared" si="85"/>
        <v>0.16323168985866868</v>
      </c>
      <c r="AC91" s="315">
        <f t="shared" si="85"/>
        <v>0.20135452436857923</v>
      </c>
      <c r="AD91" s="315">
        <f t="shared" si="85"/>
        <v>0.19937838237991373</v>
      </c>
      <c r="AE91" s="315">
        <f t="shared" si="85"/>
        <v>0.203051986057212</v>
      </c>
      <c r="AF91" s="315">
        <f t="shared" si="85"/>
        <v>0.20735575296479489</v>
      </c>
      <c r="AG91" s="37">
        <f t="shared" si="85"/>
        <v>0.20296185357646165</v>
      </c>
      <c r="AH91" s="315">
        <f t="shared" si="85"/>
        <v>0.20866796459494649</v>
      </c>
      <c r="AI91" s="315">
        <f t="shared" ref="AI91:BM91" si="86">AI9/AI3</f>
        <v>0.21593209422156792</v>
      </c>
      <c r="AJ91" s="315">
        <f t="shared" si="86"/>
        <v>0.22233138239614136</v>
      </c>
      <c r="AK91" s="315">
        <f t="shared" si="86"/>
        <v>0.22939863320487808</v>
      </c>
      <c r="AL91" s="37">
        <f t="shared" si="86"/>
        <v>0.21966151641088455</v>
      </c>
      <c r="AM91" s="315">
        <f t="shared" si="86"/>
        <v>0.2253139722847787</v>
      </c>
      <c r="AN91" s="315">
        <f t="shared" si="86"/>
        <v>0.23240379551358156</v>
      </c>
      <c r="AO91" s="315">
        <f t="shared" si="86"/>
        <v>0.23513801164980236</v>
      </c>
      <c r="AP91" s="315">
        <f t="shared" si="86"/>
        <v>0.25024024633146347</v>
      </c>
      <c r="AQ91" s="37">
        <f t="shared" si="86"/>
        <v>0.23648917172168724</v>
      </c>
      <c r="AR91" s="315">
        <f t="shared" si="86"/>
        <v>0.23355720687693893</v>
      </c>
      <c r="AS91" s="315">
        <f t="shared" si="86"/>
        <v>0.24115187692995974</v>
      </c>
      <c r="AT91" s="315">
        <f t="shared" si="86"/>
        <v>0.2465078831599537</v>
      </c>
      <c r="AU91" s="315">
        <f t="shared" si="86"/>
        <v>0.24853101016558582</v>
      </c>
      <c r="AV91" s="37">
        <f t="shared" si="86"/>
        <v>0.24259379768741776</v>
      </c>
      <c r="AW91" s="315">
        <f t="shared" si="86"/>
        <v>0.2436495816112875</v>
      </c>
      <c r="AX91" s="315">
        <f t="shared" si="86"/>
        <v>0.2517998733077465</v>
      </c>
      <c r="AY91" s="315">
        <f t="shared" si="86"/>
        <v>0.24800724541219898</v>
      </c>
      <c r="AZ91" s="315">
        <f t="shared" si="86"/>
        <v>0.26548679203537751</v>
      </c>
      <c r="BA91" s="37">
        <f t="shared" si="86"/>
        <v>0.25256200077039292</v>
      </c>
      <c r="BB91" s="315">
        <f t="shared" si="86"/>
        <v>0.25493967872729856</v>
      </c>
      <c r="BC91" s="315">
        <f t="shared" si="86"/>
        <v>0.25821974461925529</v>
      </c>
      <c r="BD91" s="315">
        <f t="shared" si="86"/>
        <v>0.24397839771095556</v>
      </c>
      <c r="BE91" s="315">
        <f t="shared" si="86"/>
        <v>0.25834824347782454</v>
      </c>
      <c r="BF91" s="37">
        <f t="shared" si="86"/>
        <v>0.25546512262603804</v>
      </c>
      <c r="BG91" s="315">
        <f t="shared" si="86"/>
        <v>0.25541075081217657</v>
      </c>
      <c r="BH91" s="315">
        <f t="shared" si="86"/>
        <v>0.24866245058396069</v>
      </c>
      <c r="BI91" s="315">
        <f t="shared" si="86"/>
        <v>0.24312375053189467</v>
      </c>
      <c r="BJ91" s="315">
        <f t="shared" si="86"/>
        <v>0.25548322648273686</v>
      </c>
      <c r="BK91" s="37">
        <f t="shared" si="86"/>
        <v>0.25068967138653292</v>
      </c>
      <c r="BL91" s="315">
        <f t="shared" si="86"/>
        <v>0.12550528908591999</v>
      </c>
      <c r="BM91" s="315">
        <f t="shared" si="86"/>
        <v>0.11272744453906219</v>
      </c>
      <c r="BN91" s="315">
        <f>BI91</f>
        <v>0.24312375053189467</v>
      </c>
      <c r="BO91" s="315">
        <f>BJ91</f>
        <v>0.25548322648273686</v>
      </c>
      <c r="BP91" s="37">
        <f>BK91</f>
        <v>0.25068967138653292</v>
      </c>
      <c r="BQ91" s="315">
        <f>BQ9/BQ3</f>
        <v>9.101958136394328E-2</v>
      </c>
      <c r="BR91" s="315">
        <f>BR9/BR3</f>
        <v>9.6972680285503321E-2</v>
      </c>
      <c r="BS91" s="315">
        <f t="shared" ref="BS91:BZ91" si="87">BN91</f>
        <v>0.24312375053189467</v>
      </c>
      <c r="BT91" s="315">
        <f t="shared" si="87"/>
        <v>0.25548322648273686</v>
      </c>
      <c r="BU91" s="37">
        <f t="shared" si="87"/>
        <v>0.25068967138653292</v>
      </c>
      <c r="BV91" s="315">
        <f t="shared" si="87"/>
        <v>9.101958136394328E-2</v>
      </c>
      <c r="BW91" s="315">
        <f t="shared" si="87"/>
        <v>9.6972680285503321E-2</v>
      </c>
      <c r="BX91" s="315">
        <f t="shared" si="87"/>
        <v>0.24312375053189467</v>
      </c>
      <c r="BY91" s="315">
        <f t="shared" si="87"/>
        <v>0.25548322648273686</v>
      </c>
      <c r="BZ91" s="37">
        <f t="shared" si="87"/>
        <v>0.25068967138653292</v>
      </c>
      <c r="CA91" s="315">
        <f t="shared" ref="CA91" si="88">BV91</f>
        <v>9.101958136394328E-2</v>
      </c>
      <c r="CB91" s="315">
        <f t="shared" ref="CB91" si="89">BW91</f>
        <v>9.6972680285503321E-2</v>
      </c>
      <c r="CC91" s="315">
        <f t="shared" ref="CC91" si="90">BX91</f>
        <v>0.24312375053189467</v>
      </c>
      <c r="CD91" s="315">
        <f t="shared" ref="CD91" si="91">BY91</f>
        <v>0.25548322648273686</v>
      </c>
      <c r="CE91" s="37">
        <f>BZ91</f>
        <v>0.25068967138653292</v>
      </c>
      <c r="CF91" s="315">
        <f t="shared" ref="CF91" si="92">CA91</f>
        <v>9.101958136394328E-2</v>
      </c>
      <c r="CG91" s="315">
        <f t="shared" ref="CG91" si="93">CB91</f>
        <v>9.6972680285503321E-2</v>
      </c>
      <c r="CH91" s="315">
        <f t="shared" ref="CH91" si="94">CC91</f>
        <v>0.24312375053189467</v>
      </c>
      <c r="CI91" s="315">
        <f t="shared" ref="CI91" si="95">CD91</f>
        <v>0.25548322648273686</v>
      </c>
      <c r="CJ91" s="37">
        <f>CE91</f>
        <v>0.25068967138653292</v>
      </c>
      <c r="CK91" s="315"/>
      <c r="CL91" s="315"/>
      <c r="CM91" s="315"/>
      <c r="CN91" s="315"/>
      <c r="CO91" s="37">
        <f>CJ91</f>
        <v>0.25068967138653292</v>
      </c>
      <c r="CP91" s="315"/>
      <c r="CQ91" s="315"/>
      <c r="CR91" s="315"/>
      <c r="CS91" s="315"/>
      <c r="CT91" s="37">
        <f>CO91</f>
        <v>0.25068967138653292</v>
      </c>
      <c r="CU91" s="315"/>
      <c r="CV91" s="315"/>
      <c r="CW91" s="315"/>
      <c r="CX91" s="315"/>
      <c r="CY91" s="37">
        <f>CT91</f>
        <v>0.25068967138653292</v>
      </c>
      <c r="CZ91" s="315"/>
      <c r="DA91" s="315"/>
      <c r="DB91" s="315"/>
      <c r="DC91" s="315"/>
      <c r="DD91" s="37">
        <f>CY91</f>
        <v>0.25068967138653292</v>
      </c>
      <c r="DE91" s="315"/>
      <c r="DF91" s="315"/>
      <c r="DG91" s="315"/>
      <c r="DH91" s="315"/>
      <c r="DI91" s="37">
        <f>DD91</f>
        <v>0.25068967138653292</v>
      </c>
      <c r="DJ91" s="315"/>
      <c r="DK91" s="315"/>
      <c r="DL91" s="315"/>
      <c r="DM91" s="315"/>
      <c r="DN91" s="37">
        <f>DI91</f>
        <v>0.25068967138653292</v>
      </c>
      <c r="DO91" s="315"/>
      <c r="DP91" s="315"/>
      <c r="DQ91" s="315"/>
      <c r="DR91" s="315"/>
      <c r="DS91" s="37">
        <f>DN91</f>
        <v>0.25068967138653292</v>
      </c>
      <c r="DT91" s="315"/>
      <c r="DU91" s="315"/>
      <c r="DV91" s="315"/>
      <c r="DW91" s="315"/>
      <c r="DX91" s="37">
        <f>DS91</f>
        <v>0.25068967138653292</v>
      </c>
      <c r="DY91" s="315"/>
      <c r="DZ91" s="315"/>
      <c r="EA91" s="315"/>
      <c r="EB91" s="315"/>
      <c r="EC91" s="37">
        <f>DX91</f>
        <v>0.25068967138653292</v>
      </c>
      <c r="ED91" s="315"/>
      <c r="EE91" s="315"/>
      <c r="EF91" s="315"/>
      <c r="EG91" s="315"/>
      <c r="EH91" s="37">
        <f>EC91</f>
        <v>0.25068967138653292</v>
      </c>
      <c r="EI91" s="315"/>
      <c r="EJ91" s="315"/>
      <c r="EK91" s="315"/>
      <c r="EL91" s="315"/>
      <c r="EM91" s="37">
        <f>EH91</f>
        <v>0.25068967138653292</v>
      </c>
      <c r="EN91" s="315"/>
      <c r="EO91" s="315"/>
      <c r="EP91" s="315"/>
      <c r="EQ91" s="315"/>
      <c r="ER91" s="37">
        <f>EM91</f>
        <v>0.25068967138653292</v>
      </c>
    </row>
    <row r="92" spans="2:156" ht="12.75" customHeight="1" thickBot="1">
      <c r="B92" s="314" t="s">
        <v>166</v>
      </c>
      <c r="C92" s="37">
        <f t="shared" ref="C92:AH92" si="96">C10/C6</f>
        <v>0.81278954865700748</v>
      </c>
      <c r="D92" s="315">
        <f t="shared" si="96"/>
        <v>0.84643440114262392</v>
      </c>
      <c r="E92" s="315">
        <f t="shared" si="96"/>
        <v>0.83798908223073609</v>
      </c>
      <c r="F92" s="315">
        <f t="shared" si="96"/>
        <v>0.84765345115834723</v>
      </c>
      <c r="G92" s="315">
        <f t="shared" si="96"/>
        <v>0.86518372440993752</v>
      </c>
      <c r="H92" s="37">
        <f t="shared" si="96"/>
        <v>0.850630904689475</v>
      </c>
      <c r="I92" s="315">
        <f t="shared" si="96"/>
        <v>0.87055510129917335</v>
      </c>
      <c r="J92" s="315">
        <f t="shared" si="96"/>
        <v>0.86559216310126852</v>
      </c>
      <c r="K92" s="315">
        <f t="shared" si="96"/>
        <v>0.87056075699199487</v>
      </c>
      <c r="L92" s="315">
        <f t="shared" si="96"/>
        <v>0.87639127646413706</v>
      </c>
      <c r="M92" s="37">
        <f t="shared" si="96"/>
        <v>0.87096250103702888</v>
      </c>
      <c r="N92" s="315">
        <f t="shared" si="96"/>
        <v>0.88694290696056954</v>
      </c>
      <c r="O92" s="315">
        <f t="shared" si="96"/>
        <v>0.86834812743570977</v>
      </c>
      <c r="P92" s="315">
        <f t="shared" si="96"/>
        <v>0.87478961454625725</v>
      </c>
      <c r="Q92" s="315">
        <f t="shared" si="96"/>
        <v>0.86821741083266146</v>
      </c>
      <c r="R92" s="37">
        <f t="shared" si="96"/>
        <v>0.87423732959289524</v>
      </c>
      <c r="S92" s="315">
        <f t="shared" si="96"/>
        <v>0.86660517548221006</v>
      </c>
      <c r="T92" s="315">
        <f t="shared" si="96"/>
        <v>0.8722532603494263</v>
      </c>
      <c r="U92" s="315">
        <f t="shared" si="96"/>
        <v>0.86726544276939355</v>
      </c>
      <c r="V92" s="315">
        <f t="shared" si="96"/>
        <v>0.87830602725246443</v>
      </c>
      <c r="W92" s="37">
        <f t="shared" si="96"/>
        <v>0.87165943600867679</v>
      </c>
      <c r="X92" s="315">
        <f t="shared" si="96"/>
        <v>0.87419141609345374</v>
      </c>
      <c r="Y92" s="315">
        <f t="shared" si="96"/>
        <v>0.89003826050412815</v>
      </c>
      <c r="Z92" s="315">
        <f t="shared" si="96"/>
        <v>0.8567353115195937</v>
      </c>
      <c r="AA92" s="315">
        <f t="shared" si="96"/>
        <v>0.83020637063962222</v>
      </c>
      <c r="AB92" s="37">
        <f t="shared" si="96"/>
        <v>0.8603924354959972</v>
      </c>
      <c r="AC92" s="315">
        <f t="shared" si="96"/>
        <v>0.83550717518581175</v>
      </c>
      <c r="AD92" s="315">
        <f t="shared" si="96"/>
        <v>0.82783046096276169</v>
      </c>
      <c r="AE92" s="315">
        <f t="shared" si="96"/>
        <v>0.81552564546945938</v>
      </c>
      <c r="AF92" s="315">
        <f t="shared" si="96"/>
        <v>0.80568451464529578</v>
      </c>
      <c r="AG92" s="37">
        <f t="shared" si="96"/>
        <v>0.82088529898831886</v>
      </c>
      <c r="AH92" s="315">
        <f t="shared" si="96"/>
        <v>0.81071126541149241</v>
      </c>
      <c r="AI92" s="315">
        <f t="shared" ref="AI92:BN92" si="97">AI10/AI6</f>
        <v>0.79435814180929099</v>
      </c>
      <c r="AJ92" s="315">
        <f t="shared" si="97"/>
        <v>0.78298115321002171</v>
      </c>
      <c r="AK92" s="315">
        <f t="shared" si="97"/>
        <v>0.77709572505347613</v>
      </c>
      <c r="AL92" s="37">
        <f t="shared" si="97"/>
        <v>0.79066972777959976</v>
      </c>
      <c r="AM92" s="315">
        <f t="shared" si="97"/>
        <v>0.78688760242018752</v>
      </c>
      <c r="AN92" s="315">
        <f t="shared" si="97"/>
        <v>0.77871117168693893</v>
      </c>
      <c r="AO92" s="315">
        <f t="shared" si="97"/>
        <v>0.7847594273085936</v>
      </c>
      <c r="AP92" s="315">
        <f t="shared" si="97"/>
        <v>0.77783031609753883</v>
      </c>
      <c r="AQ92" s="37">
        <f t="shared" si="97"/>
        <v>0.7817945475236483</v>
      </c>
      <c r="AR92" s="315">
        <f t="shared" si="97"/>
        <v>0.79978694567642106</v>
      </c>
      <c r="AS92" s="315">
        <f t="shared" si="97"/>
        <v>0.77400914475950899</v>
      </c>
      <c r="AT92" s="315">
        <f t="shared" si="97"/>
        <v>0.76266427064453135</v>
      </c>
      <c r="AU92" s="315">
        <f t="shared" si="97"/>
        <v>0.75998042715042424</v>
      </c>
      <c r="AV92" s="37">
        <f t="shared" si="97"/>
        <v>0.77448052813915991</v>
      </c>
      <c r="AW92" s="315">
        <f t="shared" si="97"/>
        <v>0.76425864988936165</v>
      </c>
      <c r="AX92" s="315">
        <f t="shared" si="97"/>
        <v>0.75970650175716203</v>
      </c>
      <c r="AY92" s="315">
        <f t="shared" si="97"/>
        <v>0.75851550201257512</v>
      </c>
      <c r="AZ92" s="315">
        <f t="shared" si="97"/>
        <v>0.74260240740454597</v>
      </c>
      <c r="BA92" s="37">
        <f t="shared" si="97"/>
        <v>0.75596254674054919</v>
      </c>
      <c r="BB92" s="315">
        <f t="shared" si="97"/>
        <v>0.75333775256314595</v>
      </c>
      <c r="BC92" s="315">
        <f t="shared" si="97"/>
        <v>0.75079266218911966</v>
      </c>
      <c r="BD92" s="315">
        <f t="shared" si="97"/>
        <v>0.76287136247661724</v>
      </c>
      <c r="BE92" s="315">
        <f t="shared" si="97"/>
        <v>0.74926701949161256</v>
      </c>
      <c r="BF92" s="37">
        <f t="shared" si="97"/>
        <v>0.75254297415814886</v>
      </c>
      <c r="BG92" s="315">
        <f t="shared" si="97"/>
        <v>0.75851850681476607</v>
      </c>
      <c r="BH92" s="315">
        <f t="shared" si="97"/>
        <v>0.76123132448794795</v>
      </c>
      <c r="BI92" s="315">
        <f t="shared" si="97"/>
        <v>0.76326974587776353</v>
      </c>
      <c r="BJ92" s="315">
        <f t="shared" si="97"/>
        <v>0.75079251214651077</v>
      </c>
      <c r="BK92" s="37">
        <f t="shared" si="97"/>
        <v>0.75821726527133537</v>
      </c>
      <c r="BL92" s="315">
        <f t="shared" si="97"/>
        <v>0.87770786540229606</v>
      </c>
      <c r="BM92" s="315">
        <f t="shared" si="97"/>
        <v>0.88937715294532793</v>
      </c>
      <c r="BN92" s="315">
        <f t="shared" si="97"/>
        <v>0.87038865032989987</v>
      </c>
      <c r="BO92" s="315">
        <f t="shared" ref="BO92:CE92" si="98">BO10/BO6</f>
        <v>0.88419267010373004</v>
      </c>
      <c r="BP92" s="37">
        <f t="shared" si="98"/>
        <v>0.88090250583060947</v>
      </c>
      <c r="BQ92" s="315">
        <f t="shared" si="98"/>
        <v>0.91124572030550433</v>
      </c>
      <c r="BR92" s="315">
        <f t="shared" si="98"/>
        <v>0.90441533236293059</v>
      </c>
      <c r="BS92" s="315">
        <f t="shared" si="98"/>
        <v>0.89680530440024109</v>
      </c>
      <c r="BT92" s="315">
        <f t="shared" si="98"/>
        <v>0.89924758993651543</v>
      </c>
      <c r="BU92" s="37">
        <f t="shared" si="98"/>
        <v>0.90272373540856032</v>
      </c>
      <c r="BV92" s="315">
        <f t="shared" si="98"/>
        <v>0.87387734154477803</v>
      </c>
      <c r="BW92" s="315">
        <f t="shared" si="98"/>
        <v>0.9160236625514403</v>
      </c>
      <c r="BX92" s="315">
        <f t="shared" si="98"/>
        <v>0.87760000000000005</v>
      </c>
      <c r="BY92" s="315">
        <f t="shared" si="98"/>
        <v>0.88251366120218577</v>
      </c>
      <c r="BZ92" s="37">
        <f t="shared" si="98"/>
        <v>0.88766041461006906</v>
      </c>
      <c r="CA92" s="315">
        <f t="shared" si="98"/>
        <v>0.88578016910069179</v>
      </c>
      <c r="CB92" s="315">
        <f t="shared" si="98"/>
        <v>0.8750875227559165</v>
      </c>
      <c r="CC92" s="315">
        <f t="shared" si="98"/>
        <v>0.87392506142506143</v>
      </c>
      <c r="CD92" s="315">
        <f t="shared" si="98"/>
        <v>0.83761976802824001</v>
      </c>
      <c r="CE92" s="37">
        <f t="shared" si="98"/>
        <v>0.86892404336001838</v>
      </c>
      <c r="CF92" s="315">
        <f t="shared" ref="CF92:CI92" si="99">CF10/CF6</f>
        <v>0.8663921499098477</v>
      </c>
      <c r="CG92" s="315">
        <f t="shared" si="99"/>
        <v>0.86022266620139032</v>
      </c>
      <c r="CH92" s="315">
        <f t="shared" si="99"/>
        <v>0.85950855454991815</v>
      </c>
      <c r="CI92" s="315">
        <f t="shared" si="99"/>
        <v>0.85629737505921677</v>
      </c>
      <c r="CJ92" s="37">
        <f>CJ10/CJ6</f>
        <v>0.86053810043927792</v>
      </c>
      <c r="CK92" s="315"/>
      <c r="CL92" s="315"/>
      <c r="CM92" s="315"/>
      <c r="CN92" s="315"/>
      <c r="CO92" s="37">
        <f>CO10/CO6</f>
        <v>0.85894516655065722</v>
      </c>
      <c r="CP92" s="315"/>
      <c r="CQ92" s="315"/>
      <c r="CR92" s="315"/>
      <c r="CS92" s="315"/>
      <c r="CT92" s="37">
        <f>CT10/CT6</f>
        <v>0.85690345172006366</v>
      </c>
      <c r="CU92" s="315"/>
      <c r="CV92" s="315"/>
      <c r="CW92" s="315"/>
      <c r="CX92" s="315"/>
      <c r="CY92" s="37">
        <f>CY10/CY6</f>
        <v>0.85475680521953923</v>
      </c>
      <c r="CZ92" s="315"/>
      <c r="DA92" s="315"/>
      <c r="DB92" s="315"/>
      <c r="DC92" s="315"/>
      <c r="DD92" s="37">
        <f>DD10/DD6</f>
        <v>0.85837327789221252</v>
      </c>
      <c r="DE92" s="315"/>
      <c r="DF92" s="315"/>
      <c r="DG92" s="315"/>
      <c r="DH92" s="315"/>
      <c r="DI92" s="37">
        <f>DI10/DI6</f>
        <v>0.85871248700563996</v>
      </c>
      <c r="DJ92" s="315"/>
      <c r="DK92" s="315"/>
      <c r="DL92" s="315"/>
      <c r="DM92" s="315"/>
      <c r="DN92" s="37">
        <f>DN10/DN6</f>
        <v>0.85928594982246631</v>
      </c>
      <c r="DO92" s="315"/>
      <c r="DP92" s="315"/>
      <c r="DQ92" s="315"/>
      <c r="DR92" s="315"/>
      <c r="DS92" s="37">
        <f>DS10/DS6</f>
        <v>0.86619364483242345</v>
      </c>
      <c r="DT92" s="315"/>
      <c r="DU92" s="315"/>
      <c r="DV92" s="315"/>
      <c r="DW92" s="315"/>
      <c r="DX92" s="37">
        <f>DX10/DX6</f>
        <v>0.86813282595856656</v>
      </c>
      <c r="DY92" s="315"/>
      <c r="DZ92" s="315"/>
      <c r="EA92" s="315"/>
      <c r="EB92" s="315"/>
      <c r="EC92" s="37">
        <f>EC10/EC6</f>
        <v>0.86782959187176556</v>
      </c>
      <c r="ED92" s="315"/>
      <c r="EE92" s="315"/>
      <c r="EF92" s="315"/>
      <c r="EG92" s="315"/>
      <c r="EH92" s="37">
        <f>EH10/EH6</f>
        <v>0.86760467637413274</v>
      </c>
      <c r="EI92" s="315"/>
      <c r="EJ92" s="315"/>
      <c r="EK92" s="315"/>
      <c r="EL92" s="315"/>
      <c r="EM92" s="37">
        <f>EM10/EM6</f>
        <v>0.86992566570931473</v>
      </c>
      <c r="EN92" s="315"/>
      <c r="EO92" s="315"/>
      <c r="EP92" s="315"/>
      <c r="EQ92" s="315"/>
      <c r="ER92" s="37">
        <f>ER10/ER6</f>
        <v>0.86497970278323233</v>
      </c>
    </row>
    <row r="93" spans="2:156" ht="12.75" customHeight="1" thickBot="1">
      <c r="B93" s="314"/>
      <c r="C93" s="37"/>
      <c r="D93" s="315"/>
      <c r="E93" s="315"/>
      <c r="F93" s="315"/>
      <c r="G93" s="315"/>
      <c r="H93" s="37"/>
      <c r="I93" s="315"/>
      <c r="J93" s="315"/>
      <c r="K93" s="315"/>
      <c r="L93" s="315"/>
      <c r="M93" s="37"/>
      <c r="N93" s="315"/>
      <c r="O93" s="315"/>
      <c r="P93" s="315"/>
      <c r="Q93" s="315"/>
      <c r="R93" s="37"/>
      <c r="S93" s="315"/>
      <c r="T93" s="315"/>
      <c r="U93" s="315"/>
      <c r="V93" s="315"/>
      <c r="W93" s="37"/>
      <c r="X93" s="315"/>
      <c r="Y93" s="315"/>
      <c r="Z93" s="315"/>
      <c r="AA93" s="315"/>
      <c r="AB93" s="37"/>
      <c r="AC93" s="315"/>
      <c r="AD93" s="315"/>
      <c r="AE93" s="315"/>
      <c r="AF93" s="315"/>
      <c r="AG93" s="37"/>
      <c r="AH93" s="315"/>
      <c r="AI93" s="315"/>
      <c r="AJ93" s="315"/>
      <c r="AK93" s="315"/>
      <c r="AL93" s="37"/>
      <c r="AM93" s="315"/>
      <c r="AN93" s="315"/>
      <c r="AO93" s="315"/>
      <c r="AP93" s="315"/>
      <c r="AQ93" s="37"/>
      <c r="AR93" s="315"/>
      <c r="AS93" s="315"/>
      <c r="AT93" s="315"/>
      <c r="AU93" s="315"/>
      <c r="AV93" s="37"/>
      <c r="AW93" s="315"/>
      <c r="AX93" s="315"/>
      <c r="AY93" s="315"/>
      <c r="AZ93" s="315"/>
      <c r="BA93" s="37"/>
      <c r="BB93" s="315"/>
      <c r="BC93" s="315"/>
      <c r="BD93" s="315"/>
      <c r="BE93" s="315"/>
      <c r="BF93" s="37"/>
      <c r="BG93" s="315"/>
      <c r="BH93" s="315"/>
      <c r="BI93" s="315"/>
      <c r="BJ93" s="315"/>
      <c r="BK93" s="37"/>
      <c r="BL93" s="315"/>
      <c r="BM93" s="315"/>
      <c r="BN93" s="298"/>
      <c r="BO93" s="298"/>
      <c r="BP93" s="278"/>
      <c r="BQ93" s="315"/>
      <c r="BR93" s="315"/>
      <c r="BS93" s="298"/>
      <c r="BT93" s="298"/>
      <c r="BU93" s="278"/>
      <c r="BV93" s="315"/>
      <c r="BW93" s="315"/>
      <c r="BX93" s="315"/>
      <c r="BY93" s="315"/>
      <c r="BZ93" s="278"/>
      <c r="CA93" s="315"/>
      <c r="CB93" s="315"/>
      <c r="CC93" s="315"/>
      <c r="CD93" s="315"/>
      <c r="CE93" s="278"/>
      <c r="CF93" s="315"/>
      <c r="CG93" s="315"/>
      <c r="CH93" s="361" t="s">
        <v>677</v>
      </c>
      <c r="CI93" s="362"/>
      <c r="CJ93" s="363" t="s">
        <v>1109</v>
      </c>
      <c r="CK93" s="315"/>
      <c r="CL93" s="315"/>
      <c r="CM93" s="315"/>
      <c r="CN93" s="315"/>
      <c r="CO93" s="37"/>
      <c r="CP93" s="315"/>
      <c r="CQ93" s="315"/>
      <c r="CR93" s="315"/>
      <c r="CS93" s="315"/>
      <c r="CT93" s="37"/>
      <c r="CU93" s="315"/>
      <c r="CV93" s="315"/>
      <c r="CW93" s="315"/>
      <c r="CX93" s="315"/>
      <c r="CY93" s="37"/>
      <c r="CZ93" s="315"/>
      <c r="DA93" s="315"/>
      <c r="DB93" s="315"/>
      <c r="DC93" s="315"/>
      <c r="DD93" s="37"/>
      <c r="DE93" s="315"/>
      <c r="DF93" s="315"/>
      <c r="DG93" s="315"/>
      <c r="DH93" s="315"/>
      <c r="DI93" s="37"/>
      <c r="DJ93" s="315"/>
      <c r="DK93" s="315"/>
      <c r="DL93" s="315"/>
      <c r="DM93" s="315"/>
      <c r="DN93" s="37"/>
      <c r="DO93" s="315"/>
      <c r="DP93" s="315"/>
      <c r="DQ93" s="315"/>
      <c r="DR93" s="315"/>
      <c r="DS93" s="37"/>
      <c r="DT93" s="315"/>
      <c r="DU93" s="315"/>
      <c r="DV93" s="315"/>
      <c r="DW93" s="315"/>
      <c r="DX93" s="37"/>
      <c r="DY93" s="315"/>
      <c r="DZ93" s="315"/>
      <c r="EA93" s="315"/>
      <c r="EB93" s="315"/>
      <c r="EC93" s="37"/>
      <c r="ED93" s="315"/>
      <c r="EE93" s="315"/>
      <c r="EF93" s="315"/>
      <c r="EG93" s="315"/>
      <c r="EH93" s="37"/>
      <c r="EI93" s="315"/>
      <c r="EJ93" s="315"/>
      <c r="EK93" s="315"/>
      <c r="EL93" s="315"/>
      <c r="EM93" s="37"/>
      <c r="EN93" s="315"/>
      <c r="EO93" s="315"/>
      <c r="EP93" s="315"/>
      <c r="EQ93" s="315"/>
      <c r="ER93" s="37"/>
    </row>
    <row r="94" spans="2:156" ht="12.75" customHeight="1">
      <c r="B94" s="314" t="s">
        <v>167</v>
      </c>
      <c r="C94" s="37">
        <f t="shared" ref="C94:AH94" si="100">C18/C6</f>
        <v>0.54387450859609276</v>
      </c>
      <c r="D94" s="315">
        <f t="shared" si="100"/>
        <v>0.50707763721689447</v>
      </c>
      <c r="E94" s="315">
        <f t="shared" si="100"/>
        <v>0.38038459076652981</v>
      </c>
      <c r="F94" s="315">
        <f t="shared" si="100"/>
        <v>0.31583621925005978</v>
      </c>
      <c r="G94" s="315">
        <f t="shared" si="100"/>
        <v>0.39731222462024302</v>
      </c>
      <c r="H94" s="37">
        <f t="shared" si="100"/>
        <v>0.38839949441933203</v>
      </c>
      <c r="I94" s="315">
        <f t="shared" si="100"/>
        <v>0.28824687320190184</v>
      </c>
      <c r="J94" s="315">
        <f t="shared" si="100"/>
        <v>0.23307238246745091</v>
      </c>
      <c r="K94" s="315">
        <f t="shared" si="100"/>
        <v>0.29586469167348728</v>
      </c>
      <c r="L94" s="315">
        <f t="shared" si="100"/>
        <v>0.27755704565549855</v>
      </c>
      <c r="M94" s="37">
        <f t="shared" si="100"/>
        <v>0.2715736567019717</v>
      </c>
      <c r="N94" s="315">
        <f t="shared" si="100"/>
        <v>0.2303583963872454</v>
      </c>
      <c r="O94" s="315">
        <f t="shared" si="100"/>
        <v>0.23079112478966105</v>
      </c>
      <c r="P94" s="315">
        <f t="shared" si="100"/>
        <v>0.22186966372050387</v>
      </c>
      <c r="Q94" s="315">
        <f t="shared" si="100"/>
        <v>0.23112888475212803</v>
      </c>
      <c r="R94" s="37">
        <f t="shared" si="100"/>
        <v>0.22858747627625089</v>
      </c>
      <c r="S94" s="315">
        <f t="shared" si="100"/>
        <v>0.18374866988527327</v>
      </c>
      <c r="T94" s="315">
        <f t="shared" si="100"/>
        <v>0.19142122765608188</v>
      </c>
      <c r="U94" s="315">
        <f t="shared" si="100"/>
        <v>0.20442353952064135</v>
      </c>
      <c r="V94" s="315">
        <f t="shared" si="100"/>
        <v>0.17483004139407088</v>
      </c>
      <c r="W94" s="37">
        <f t="shared" si="100"/>
        <v>0.18797278643265627</v>
      </c>
      <c r="X94" s="315">
        <f t="shared" si="100"/>
        <v>0.18469773899589825</v>
      </c>
      <c r="Y94" s="315">
        <f t="shared" si="100"/>
        <v>0.19001695602814531</v>
      </c>
      <c r="Z94" s="315">
        <f t="shared" si="100"/>
        <v>0.1556963563780413</v>
      </c>
      <c r="AA94" s="315">
        <f t="shared" si="100"/>
        <v>0.14248183106393109</v>
      </c>
      <c r="AB94" s="37">
        <f t="shared" si="100"/>
        <v>0.16618346152892866</v>
      </c>
      <c r="AC94" s="315">
        <f t="shared" si="100"/>
        <v>0.1292749331992292</v>
      </c>
      <c r="AD94" s="315">
        <f t="shared" si="100"/>
        <v>0.15047863301685255</v>
      </c>
      <c r="AE94" s="315">
        <f t="shared" si="100"/>
        <v>0.14015166182944325</v>
      </c>
      <c r="AF94" s="315">
        <f t="shared" si="100"/>
        <v>0.15115578917937553</v>
      </c>
      <c r="AG94" s="37">
        <f t="shared" si="100"/>
        <v>0.14291449653803995</v>
      </c>
      <c r="AH94" s="315">
        <f t="shared" si="100"/>
        <v>0.14100839962103148</v>
      </c>
      <c r="AI94" s="315">
        <f t="shared" ref="AI94:BM94" si="101">AI18/AI6</f>
        <v>0.15716459657701709</v>
      </c>
      <c r="AJ94" s="315">
        <f t="shared" si="101"/>
        <v>0.12241735386518171</v>
      </c>
      <c r="AK94" s="315">
        <f t="shared" si="101"/>
        <v>0.122294768608148</v>
      </c>
      <c r="AL94" s="37">
        <f t="shared" si="101"/>
        <v>0.13509159911914911</v>
      </c>
      <c r="AM94" s="315">
        <f t="shared" si="101"/>
        <v>0.11964703422500425</v>
      </c>
      <c r="AN94" s="315">
        <f t="shared" si="101"/>
        <v>0.12943651326074354</v>
      </c>
      <c r="AO94" s="315">
        <f t="shared" si="101"/>
        <v>0.11121140408873371</v>
      </c>
      <c r="AP94" s="315">
        <f t="shared" si="101"/>
        <v>0.10993372791196916</v>
      </c>
      <c r="AQ94" s="37">
        <f t="shared" si="101"/>
        <v>0.1169639427770527</v>
      </c>
      <c r="AR94" s="315">
        <f t="shared" si="101"/>
        <v>0.10984235226547603</v>
      </c>
      <c r="AS94" s="315">
        <f t="shared" si="101"/>
        <v>0.11599118732435876</v>
      </c>
      <c r="AT94" s="315">
        <f t="shared" si="101"/>
        <v>0.11386489655542573</v>
      </c>
      <c r="AU94" s="315">
        <f t="shared" si="101"/>
        <v>0.11973110346942768</v>
      </c>
      <c r="AV94" s="37">
        <f t="shared" si="101"/>
        <v>0.11479982187379706</v>
      </c>
      <c r="AW94" s="315">
        <f t="shared" si="101"/>
        <v>0.13657952311777097</v>
      </c>
      <c r="AX94" s="315">
        <f t="shared" si="101"/>
        <v>0.12934313345214629</v>
      </c>
      <c r="AY94" s="315">
        <f t="shared" si="101"/>
        <v>0.12495263143010664</v>
      </c>
      <c r="AZ94" s="315">
        <f t="shared" si="101"/>
        <v>0.13174372766860967</v>
      </c>
      <c r="BA94" s="37">
        <f t="shared" si="101"/>
        <v>0.13052435875037341</v>
      </c>
      <c r="BB94" s="315">
        <f t="shared" si="101"/>
        <v>0.13482929958128306</v>
      </c>
      <c r="BC94" s="315">
        <f t="shared" si="101"/>
        <v>0.12420286830207732</v>
      </c>
      <c r="BD94" s="315">
        <f t="shared" si="101"/>
        <v>0.11750912807453685</v>
      </c>
      <c r="BE94" s="315">
        <f t="shared" si="101"/>
        <v>0.1264169751665519</v>
      </c>
      <c r="BF94" s="37">
        <f t="shared" si="101"/>
        <v>0.12635278041769984</v>
      </c>
      <c r="BG94" s="315">
        <f t="shared" si="101"/>
        <v>0.13156082926646218</v>
      </c>
      <c r="BH94" s="315">
        <f t="shared" si="101"/>
        <v>0.13598930979831564</v>
      </c>
      <c r="BI94" s="315">
        <f t="shared" si="101"/>
        <v>0.13541626988889743</v>
      </c>
      <c r="BJ94" s="315">
        <f t="shared" si="101"/>
        <v>0.15095873936559281</v>
      </c>
      <c r="BK94" s="37">
        <f t="shared" si="101"/>
        <v>0.13901528599838828</v>
      </c>
      <c r="BL94" s="315">
        <f t="shared" si="101"/>
        <v>0.10004188874637022</v>
      </c>
      <c r="BM94" s="315">
        <f t="shared" si="101"/>
        <v>8.7105579956856513E-2</v>
      </c>
      <c r="BN94" s="315">
        <f t="shared" ref="BN94:BP95" si="102">BI94</f>
        <v>0.13541626988889743</v>
      </c>
      <c r="BO94" s="315">
        <f t="shared" si="102"/>
        <v>0.15095873936559281</v>
      </c>
      <c r="BP94" s="37">
        <f t="shared" si="102"/>
        <v>0.13901528599838828</v>
      </c>
      <c r="BQ94" s="315">
        <f>BQ18/BQ6</f>
        <v>7.900974453515934E-2</v>
      </c>
      <c r="BR94" s="315">
        <f>BR18/BR6</f>
        <v>9.2309558466763711E-2</v>
      </c>
      <c r="BS94" s="315">
        <f t="shared" ref="BS94:BZ95" si="103">BN94</f>
        <v>0.13541626988889743</v>
      </c>
      <c r="BT94" s="315">
        <f t="shared" si="103"/>
        <v>0.15095873936559281</v>
      </c>
      <c r="BU94" s="37">
        <f t="shared" si="103"/>
        <v>0.13901528599838828</v>
      </c>
      <c r="BV94" s="315">
        <f t="shared" si="103"/>
        <v>7.900974453515934E-2</v>
      </c>
      <c r="BW94" s="315">
        <f t="shared" si="103"/>
        <v>9.2309558466763711E-2</v>
      </c>
      <c r="BX94" s="315">
        <f t="shared" si="103"/>
        <v>0.13541626988889743</v>
      </c>
      <c r="BY94" s="315">
        <f t="shared" si="103"/>
        <v>0.15095873936559281</v>
      </c>
      <c r="BZ94" s="37">
        <f t="shared" si="103"/>
        <v>0.13901528599838828</v>
      </c>
      <c r="CA94" s="315">
        <f t="shared" ref="CA94:CA95" si="104">BV94</f>
        <v>7.900974453515934E-2</v>
      </c>
      <c r="CB94" s="315">
        <f t="shared" ref="CB94:CB95" si="105">BW94</f>
        <v>9.2309558466763711E-2</v>
      </c>
      <c r="CC94" s="315">
        <f t="shared" ref="CC94:CC95" si="106">BX94</f>
        <v>0.13541626988889743</v>
      </c>
      <c r="CD94" s="315">
        <f t="shared" ref="CD94:CD95" si="107">BY94</f>
        <v>0.15095873936559281</v>
      </c>
      <c r="CE94" s="37">
        <f>BZ94</f>
        <v>0.13901528599838828</v>
      </c>
      <c r="CF94" s="315">
        <f>CF18/CF6</f>
        <v>0.16404602320935455</v>
      </c>
      <c r="CG94" s="315">
        <f t="shared" ref="CG94:CI94" si="108">CG18/CG6</f>
        <v>0.1605611733899894</v>
      </c>
      <c r="CH94" s="315">
        <f t="shared" si="108"/>
        <v>0.15116068689362008</v>
      </c>
      <c r="CI94" s="315">
        <f t="shared" si="108"/>
        <v>0.18908015417410989</v>
      </c>
      <c r="CJ94" s="37">
        <f>CE94</f>
        <v>0.13901528599838828</v>
      </c>
      <c r="CK94" s="315"/>
      <c r="CL94" s="315"/>
      <c r="CM94" s="315"/>
      <c r="CN94" s="315"/>
      <c r="CO94" s="37">
        <f>CJ94</f>
        <v>0.13901528599838828</v>
      </c>
      <c r="CP94" s="315"/>
      <c r="CQ94" s="315"/>
      <c r="CR94" s="315"/>
      <c r="CS94" s="315"/>
      <c r="CT94" s="37">
        <f>CO94</f>
        <v>0.13901528599838828</v>
      </c>
      <c r="CU94" s="315"/>
      <c r="CV94" s="315"/>
      <c r="CW94" s="315"/>
      <c r="CX94" s="315"/>
      <c r="CY94" s="37">
        <f>CT94</f>
        <v>0.13901528599838828</v>
      </c>
      <c r="CZ94" s="315"/>
      <c r="DA94" s="315"/>
      <c r="DB94" s="315"/>
      <c r="DC94" s="315"/>
      <c r="DD94" s="37">
        <f>CY94</f>
        <v>0.13901528599838828</v>
      </c>
      <c r="DE94" s="315"/>
      <c r="DF94" s="315"/>
      <c r="DG94" s="315"/>
      <c r="DH94" s="315"/>
      <c r="DI94" s="37">
        <f>DD94</f>
        <v>0.13901528599838828</v>
      </c>
      <c r="DJ94" s="315"/>
      <c r="DK94" s="315"/>
      <c r="DL94" s="315"/>
      <c r="DM94" s="315"/>
      <c r="DN94" s="37">
        <f>DI94</f>
        <v>0.13901528599838828</v>
      </c>
      <c r="DO94" s="315"/>
      <c r="DP94" s="315"/>
      <c r="DQ94" s="315"/>
      <c r="DR94" s="315"/>
      <c r="DS94" s="37">
        <f>DN94</f>
        <v>0.13901528599838828</v>
      </c>
      <c r="DT94" s="315"/>
      <c r="DU94" s="315"/>
      <c r="DV94" s="315"/>
      <c r="DW94" s="315"/>
      <c r="DX94" s="37">
        <f>DS94</f>
        <v>0.13901528599838828</v>
      </c>
      <c r="DY94" s="315"/>
      <c r="DZ94" s="315"/>
      <c r="EA94" s="315"/>
      <c r="EB94" s="315"/>
      <c r="EC94" s="37">
        <f>DX94</f>
        <v>0.13901528599838828</v>
      </c>
      <c r="ED94" s="315"/>
      <c r="EE94" s="315"/>
      <c r="EF94" s="315"/>
      <c r="EG94" s="315"/>
      <c r="EH94" s="37">
        <f>EC94</f>
        <v>0.13901528599838828</v>
      </c>
      <c r="EI94" s="315"/>
      <c r="EJ94" s="315"/>
      <c r="EK94" s="315"/>
      <c r="EL94" s="315"/>
      <c r="EM94" s="37">
        <f>EH94</f>
        <v>0.13901528599838828</v>
      </c>
      <c r="EN94" s="315"/>
      <c r="EO94" s="315"/>
      <c r="EP94" s="315"/>
      <c r="EQ94" s="315"/>
      <c r="ER94" s="37">
        <f>EM94</f>
        <v>0.13901528599838828</v>
      </c>
    </row>
    <row r="95" spans="2:156" ht="12.75" customHeight="1">
      <c r="B95" s="314" t="s">
        <v>168</v>
      </c>
      <c r="C95" s="37">
        <f t="shared" ref="C95:AH95" si="109">C12/C6</f>
        <v>0.79374510734956305</v>
      </c>
      <c r="D95" s="315">
        <f t="shared" si="109"/>
        <v>0.42789736788410532</v>
      </c>
      <c r="E95" s="315">
        <f t="shared" si="109"/>
        <v>0.2820972358110147</v>
      </c>
      <c r="F95" s="315">
        <f t="shared" si="109"/>
        <v>0.26374791019823268</v>
      </c>
      <c r="G95" s="315">
        <f t="shared" si="109"/>
        <v>0.24143780123701097</v>
      </c>
      <c r="H95" s="37">
        <f t="shared" si="109"/>
        <v>0.28869084599070238</v>
      </c>
      <c r="I95" s="315">
        <f t="shared" si="109"/>
        <v>0.24917476757215107</v>
      </c>
      <c r="J95" s="315">
        <f t="shared" si="109"/>
        <v>0.18134550173734665</v>
      </c>
      <c r="K95" s="315">
        <f t="shared" si="109"/>
        <v>0.24569301099954083</v>
      </c>
      <c r="L95" s="315">
        <f t="shared" si="109"/>
        <v>0.22352637590743671</v>
      </c>
      <c r="M95" s="37">
        <f t="shared" si="109"/>
        <v>0.22191380216255074</v>
      </c>
      <c r="N95" s="315">
        <f t="shared" si="109"/>
        <v>0.18938818026248114</v>
      </c>
      <c r="O95" s="315">
        <f t="shared" si="109"/>
        <v>0.14275839635683502</v>
      </c>
      <c r="P95" s="315">
        <f t="shared" si="109"/>
        <v>0.15084598711781891</v>
      </c>
      <c r="Q95" s="315">
        <f t="shared" si="109"/>
        <v>0.18983403050981368</v>
      </c>
      <c r="R95" s="37">
        <f t="shared" si="109"/>
        <v>0.16876663682167439</v>
      </c>
      <c r="S95" s="315">
        <f t="shared" si="109"/>
        <v>0.16364244657469323</v>
      </c>
      <c r="T95" s="315">
        <f t="shared" si="109"/>
        <v>0.12053449741453635</v>
      </c>
      <c r="U95" s="315">
        <f t="shared" si="109"/>
        <v>0.15975243742539785</v>
      </c>
      <c r="V95" s="315">
        <f t="shared" si="109"/>
        <v>0.11286203398843854</v>
      </c>
      <c r="W95" s="37">
        <f t="shared" si="109"/>
        <v>0.13691776769867878</v>
      </c>
      <c r="X95" s="315">
        <f t="shared" si="109"/>
        <v>0.11033832795961195</v>
      </c>
      <c r="Y95" s="315">
        <f t="shared" si="109"/>
        <v>0.11329895432962404</v>
      </c>
      <c r="Z95" s="315">
        <f t="shared" si="109"/>
        <v>0.1068979195520967</v>
      </c>
      <c r="AA95" s="315">
        <f t="shared" si="109"/>
        <v>0.1085186561104796</v>
      </c>
      <c r="AB95" s="37">
        <f t="shared" si="109"/>
        <v>0.10961690033790762</v>
      </c>
      <c r="AC95" s="315">
        <f t="shared" si="109"/>
        <v>0.10600774081592752</v>
      </c>
      <c r="AD95" s="315">
        <f t="shared" si="109"/>
        <v>0.11379758780027267</v>
      </c>
      <c r="AE95" s="315">
        <f t="shared" si="109"/>
        <v>0.11522162290813304</v>
      </c>
      <c r="AF95" s="315">
        <f t="shared" si="109"/>
        <v>0.15413720353749424</v>
      </c>
      <c r="AG95" s="37">
        <f t="shared" si="109"/>
        <v>0.12269931687645233</v>
      </c>
      <c r="AH95" s="315">
        <f t="shared" si="109"/>
        <v>0.11000737589734784</v>
      </c>
      <c r="AI95" s="315">
        <f t="shared" ref="AI95:BM95" si="110">AI12/AI6</f>
        <v>0.12610034229828851</v>
      </c>
      <c r="AJ95" s="315">
        <f t="shared" si="110"/>
        <v>0.12425142277074941</v>
      </c>
      <c r="AK95" s="315">
        <f t="shared" si="110"/>
        <v>0.12973277645716128</v>
      </c>
      <c r="AL95" s="37">
        <f t="shared" si="110"/>
        <v>0.12280279248465541</v>
      </c>
      <c r="AM95" s="315">
        <f t="shared" si="110"/>
        <v>0.11226951374096678</v>
      </c>
      <c r="AN95" s="315">
        <f t="shared" si="110"/>
        <v>0.12510419480862456</v>
      </c>
      <c r="AO95" s="315">
        <f t="shared" si="110"/>
        <v>0.13442959849316274</v>
      </c>
      <c r="AP95" s="315">
        <f t="shared" si="110"/>
        <v>0.10394567155043424</v>
      </c>
      <c r="AQ95" s="37">
        <f t="shared" si="110"/>
        <v>0.11856533867854602</v>
      </c>
      <c r="AR95" s="315">
        <f t="shared" si="110"/>
        <v>9.420366631780859E-2</v>
      </c>
      <c r="AS95" s="315">
        <f t="shared" si="110"/>
        <v>0.10762371161836923</v>
      </c>
      <c r="AT95" s="315">
        <f t="shared" si="110"/>
        <v>0.10485813787380217</v>
      </c>
      <c r="AU95" s="315">
        <f t="shared" si="110"/>
        <v>0.11595362355386311</v>
      </c>
      <c r="AV95" s="37">
        <f t="shared" si="110"/>
        <v>0.10552266706250268</v>
      </c>
      <c r="AW95" s="315">
        <f t="shared" si="110"/>
        <v>0.12330291252659525</v>
      </c>
      <c r="AX95" s="315">
        <f t="shared" si="110"/>
        <v>0.12288390752054155</v>
      </c>
      <c r="AY95" s="315">
        <f t="shared" si="110"/>
        <v>0.12690770434471121</v>
      </c>
      <c r="AZ95" s="315">
        <f t="shared" si="110"/>
        <v>0.1587368170377999</v>
      </c>
      <c r="BA95" s="37">
        <f t="shared" si="110"/>
        <v>0.13340627770817917</v>
      </c>
      <c r="BB95" s="315">
        <f t="shared" si="110"/>
        <v>0.14516775621273467</v>
      </c>
      <c r="BC95" s="315">
        <f t="shared" si="110"/>
        <v>0.15441550050599001</v>
      </c>
      <c r="BD95" s="315">
        <f t="shared" si="110"/>
        <v>0.156929644680186</v>
      </c>
      <c r="BE95" s="315">
        <f t="shared" si="110"/>
        <v>0.15573923928303737</v>
      </c>
      <c r="BF95" s="37">
        <f t="shared" si="110"/>
        <v>0.15414762993973621</v>
      </c>
      <c r="BG95" s="315">
        <f t="shared" si="110"/>
        <v>0.18169127856108797</v>
      </c>
      <c r="BH95" s="315">
        <f t="shared" si="110"/>
        <v>0.17625643475414052</v>
      </c>
      <c r="BI95" s="315">
        <f t="shared" si="110"/>
        <v>0.17555305131387641</v>
      </c>
      <c r="BJ95" s="315">
        <f t="shared" si="110"/>
        <v>0.16391459010855092</v>
      </c>
      <c r="BK95" s="37">
        <f t="shared" si="110"/>
        <v>0.17387261867384465</v>
      </c>
      <c r="BL95" s="315">
        <f t="shared" si="110"/>
        <v>0.11158429880158974</v>
      </c>
      <c r="BM95" s="315">
        <f t="shared" si="110"/>
        <v>8.2934770815904571E-2</v>
      </c>
      <c r="BN95" s="315">
        <f t="shared" si="102"/>
        <v>0.17555305131387641</v>
      </c>
      <c r="BO95" s="315">
        <f t="shared" si="102"/>
        <v>0.16391459010855092</v>
      </c>
      <c r="BP95" s="37">
        <f>BK95</f>
        <v>0.17387261867384465</v>
      </c>
      <c r="BQ95" s="315">
        <f>BQ12/BQ6</f>
        <v>8.5725572820647883E-2</v>
      </c>
      <c r="BR95" s="315">
        <f>BR12/BR6</f>
        <v>8.5152838427947602E-2</v>
      </c>
      <c r="BS95" s="315">
        <f t="shared" si="103"/>
        <v>0.17555305131387641</v>
      </c>
      <c r="BT95" s="315">
        <f t="shared" si="103"/>
        <v>0.16391459010855092</v>
      </c>
      <c r="BU95" s="37">
        <f t="shared" si="103"/>
        <v>0.17387261867384465</v>
      </c>
      <c r="BV95" s="315">
        <f t="shared" si="103"/>
        <v>8.5725572820647883E-2</v>
      </c>
      <c r="BW95" s="315">
        <f t="shared" si="103"/>
        <v>8.5152838427947602E-2</v>
      </c>
      <c r="BX95" s="315">
        <f t="shared" si="103"/>
        <v>0.17555305131387641</v>
      </c>
      <c r="BY95" s="315">
        <f t="shared" si="103"/>
        <v>0.16391459010855092</v>
      </c>
      <c r="BZ95" s="37">
        <f t="shared" si="103"/>
        <v>0.17387261867384465</v>
      </c>
      <c r="CA95" s="315">
        <f t="shared" si="104"/>
        <v>8.5725572820647883E-2</v>
      </c>
      <c r="CB95" s="315">
        <f t="shared" si="105"/>
        <v>8.5152838427947602E-2</v>
      </c>
      <c r="CC95" s="315">
        <f t="shared" si="106"/>
        <v>0.17555305131387641</v>
      </c>
      <c r="CD95" s="315">
        <f t="shared" si="107"/>
        <v>0.16391459010855092</v>
      </c>
      <c r="CE95" s="37">
        <f>BZ95</f>
        <v>0.17387261867384465</v>
      </c>
      <c r="CF95" s="315">
        <f>CF12/CF6</f>
        <v>0.18576845078265991</v>
      </c>
      <c r="CG95" s="315">
        <f t="shared" ref="CG95:CI95" si="111">CG12/CG6</f>
        <v>0.15291540322856134</v>
      </c>
      <c r="CH95" s="315">
        <f t="shared" si="111"/>
        <v>0.15062217694656158</v>
      </c>
      <c r="CI95" s="315">
        <f t="shared" si="111"/>
        <v>0.17640436893643768</v>
      </c>
      <c r="CJ95" s="37">
        <f>CE95</f>
        <v>0.17387261867384465</v>
      </c>
      <c r="CK95" s="315"/>
      <c r="CL95" s="315"/>
      <c r="CM95" s="315"/>
      <c r="CN95" s="315"/>
      <c r="CO95" s="37">
        <f>CJ95</f>
        <v>0.17387261867384465</v>
      </c>
      <c r="CP95" s="315"/>
      <c r="CQ95" s="315"/>
      <c r="CR95" s="315"/>
      <c r="CS95" s="315"/>
      <c r="CT95" s="37">
        <f>CO95</f>
        <v>0.17387261867384465</v>
      </c>
      <c r="CU95" s="315"/>
      <c r="CV95" s="315"/>
      <c r="CW95" s="315"/>
      <c r="CX95" s="315"/>
      <c r="CY95" s="37">
        <f>CT95</f>
        <v>0.17387261867384465</v>
      </c>
      <c r="CZ95" s="315"/>
      <c r="DA95" s="315"/>
      <c r="DB95" s="315"/>
      <c r="DC95" s="315"/>
      <c r="DD95" s="37">
        <f>CY95</f>
        <v>0.17387261867384465</v>
      </c>
      <c r="DE95" s="315"/>
      <c r="DF95" s="315"/>
      <c r="DG95" s="315"/>
      <c r="DH95" s="315"/>
      <c r="DI95" s="37">
        <f>DD95</f>
        <v>0.17387261867384465</v>
      </c>
      <c r="DJ95" s="315"/>
      <c r="DK95" s="315"/>
      <c r="DL95" s="315"/>
      <c r="DM95" s="315"/>
      <c r="DN95" s="37">
        <f>DI95</f>
        <v>0.17387261867384465</v>
      </c>
      <c r="DO95" s="315"/>
      <c r="DP95" s="315"/>
      <c r="DQ95" s="315"/>
      <c r="DR95" s="315"/>
      <c r="DS95" s="37">
        <f>DN95</f>
        <v>0.17387261867384465</v>
      </c>
      <c r="DT95" s="315"/>
      <c r="DU95" s="315"/>
      <c r="DV95" s="315"/>
      <c r="DW95" s="315"/>
      <c r="DX95" s="37">
        <f>DS95</f>
        <v>0.17387261867384465</v>
      </c>
      <c r="DY95" s="315"/>
      <c r="DZ95" s="315"/>
      <c r="EA95" s="315"/>
      <c r="EB95" s="315"/>
      <c r="EC95" s="37">
        <f>DX95</f>
        <v>0.17387261867384465</v>
      </c>
      <c r="ED95" s="315"/>
      <c r="EE95" s="315"/>
      <c r="EF95" s="315"/>
      <c r="EG95" s="315"/>
      <c r="EH95" s="37">
        <f>EC95</f>
        <v>0.17387261867384465</v>
      </c>
      <c r="EI95" s="315"/>
      <c r="EJ95" s="315"/>
      <c r="EK95" s="315"/>
      <c r="EL95" s="315"/>
      <c r="EM95" s="37">
        <f>EH95</f>
        <v>0.17387261867384465</v>
      </c>
      <c r="EN95" s="315"/>
      <c r="EO95" s="315"/>
      <c r="EP95" s="315"/>
      <c r="EQ95" s="315"/>
      <c r="ER95" s="37">
        <f>EM95</f>
        <v>0.17387261867384465</v>
      </c>
    </row>
    <row r="96" spans="2:156" ht="12.75" customHeight="1">
      <c r="B96" s="314" t="s">
        <v>169</v>
      </c>
      <c r="C96" s="37" t="str">
        <f t="shared" ref="C96:AH96" si="112">IF(C20/C6&gt;0,C20/C6,"NM")</f>
        <v>NM</v>
      </c>
      <c r="D96" s="315" t="str">
        <f t="shared" si="112"/>
        <v>NM</v>
      </c>
      <c r="E96" s="315">
        <f t="shared" si="112"/>
        <v>0.17550725565319161</v>
      </c>
      <c r="F96" s="315">
        <f t="shared" si="112"/>
        <v>0.26806932171005482</v>
      </c>
      <c r="G96" s="315">
        <f t="shared" si="112"/>
        <v>0.22643369855268355</v>
      </c>
      <c r="H96" s="37">
        <f t="shared" si="112"/>
        <v>0.17354056427944051</v>
      </c>
      <c r="I96" s="315">
        <f t="shared" si="112"/>
        <v>0.33313346052512044</v>
      </c>
      <c r="J96" s="315">
        <f t="shared" si="112"/>
        <v>0.45117427889647094</v>
      </c>
      <c r="K96" s="315">
        <f t="shared" si="112"/>
        <v>0.32900305431896676</v>
      </c>
      <c r="L96" s="315">
        <f t="shared" si="112"/>
        <v>0.37530785490120178</v>
      </c>
      <c r="M96" s="37">
        <f t="shared" si="112"/>
        <v>0.37747504217250638</v>
      </c>
      <c r="N96" s="315">
        <f t="shared" si="112"/>
        <v>0.46719633031084301</v>
      </c>
      <c r="O96" s="315">
        <f t="shared" si="112"/>
        <v>0.49479860628921374</v>
      </c>
      <c r="P96" s="315">
        <f t="shared" si="112"/>
        <v>0.50207396370793456</v>
      </c>
      <c r="Q96" s="315">
        <f t="shared" si="112"/>
        <v>0.44725449557071972</v>
      </c>
      <c r="R96" s="37">
        <f t="shared" si="112"/>
        <v>0.4768832164949699</v>
      </c>
      <c r="S96" s="315">
        <f t="shared" si="112"/>
        <v>0.51921405902224371</v>
      </c>
      <c r="T96" s="315">
        <f t="shared" si="112"/>
        <v>0.56029753527880799</v>
      </c>
      <c r="U96" s="315">
        <f t="shared" si="112"/>
        <v>0.50308946582335434</v>
      </c>
      <c r="V96" s="315">
        <f t="shared" si="112"/>
        <v>0.59061395186995491</v>
      </c>
      <c r="W96" s="37">
        <f t="shared" si="112"/>
        <v>0.54676888187734163</v>
      </c>
      <c r="X96" s="315">
        <f t="shared" si="112"/>
        <v>0.57915534913794353</v>
      </c>
      <c r="Y96" s="315">
        <f t="shared" si="112"/>
        <v>0.58672235014635876</v>
      </c>
      <c r="Z96" s="315">
        <f t="shared" si="112"/>
        <v>0.59414103558945563</v>
      </c>
      <c r="AA96" s="315">
        <f t="shared" si="112"/>
        <v>0.5792058834652114</v>
      </c>
      <c r="AB96" s="37">
        <f t="shared" si="112"/>
        <v>0.58459207362916088</v>
      </c>
      <c r="AC96" s="315">
        <f t="shared" si="112"/>
        <v>0.60022450117065496</v>
      </c>
      <c r="AD96" s="315">
        <f t="shared" si="112"/>
        <v>0.56355424014563649</v>
      </c>
      <c r="AE96" s="315">
        <f t="shared" si="112"/>
        <v>0.56015236073188313</v>
      </c>
      <c r="AF96" s="315">
        <f t="shared" si="112"/>
        <v>0.50039152192842595</v>
      </c>
      <c r="AG96" s="37">
        <f t="shared" si="112"/>
        <v>0.55527148557382655</v>
      </c>
      <c r="AH96" s="315">
        <f t="shared" si="112"/>
        <v>0.55969548989311313</v>
      </c>
      <c r="AI96" s="315">
        <f t="shared" ref="AI96:BN96" si="113">IF(AI20/AI6&gt;0,AI20/AI6,"NM")</f>
        <v>0.5110932029339853</v>
      </c>
      <c r="AJ96" s="315">
        <f t="shared" si="113"/>
        <v>0.53631237657409059</v>
      </c>
      <c r="AK96" s="315">
        <f t="shared" si="113"/>
        <v>0.52506817998816691</v>
      </c>
      <c r="AL96" s="37">
        <f t="shared" si="113"/>
        <v>0.53277533617579531</v>
      </c>
      <c r="AM96" s="315">
        <f t="shared" si="113"/>
        <v>0.55497105445421646</v>
      </c>
      <c r="AN96" s="315">
        <f t="shared" si="113"/>
        <v>0.5241704636175708</v>
      </c>
      <c r="AO96" s="315">
        <f t="shared" si="113"/>
        <v>0.53911842472669713</v>
      </c>
      <c r="AP96" s="315">
        <f t="shared" si="113"/>
        <v>0.56395091663513541</v>
      </c>
      <c r="AQ96" s="37">
        <f t="shared" si="113"/>
        <v>0.54626526606804959</v>
      </c>
      <c r="AR96" s="315">
        <f t="shared" si="113"/>
        <v>0.59574092709313642</v>
      </c>
      <c r="AS96" s="315">
        <f t="shared" si="113"/>
        <v>0.55039424581678109</v>
      </c>
      <c r="AT96" s="315">
        <f t="shared" si="113"/>
        <v>0.54394123621530333</v>
      </c>
      <c r="AU96" s="315">
        <f t="shared" si="113"/>
        <v>0.52429570012713345</v>
      </c>
      <c r="AV96" s="37">
        <f t="shared" si="113"/>
        <v>0.55415803920286011</v>
      </c>
      <c r="AW96" s="315">
        <f t="shared" si="113"/>
        <v>0.50437621424499546</v>
      </c>
      <c r="AX96" s="315">
        <f t="shared" si="113"/>
        <v>0.50747946078447415</v>
      </c>
      <c r="AY96" s="315">
        <f t="shared" si="113"/>
        <v>0.50665516623775719</v>
      </c>
      <c r="AZ96" s="315">
        <f t="shared" si="113"/>
        <v>0.45212186269813642</v>
      </c>
      <c r="BA96" s="37">
        <f t="shared" si="113"/>
        <v>0.4920319102819965</v>
      </c>
      <c r="BB96" s="315">
        <f t="shared" si="113"/>
        <v>0.47334069676912821</v>
      </c>
      <c r="BC96" s="315">
        <f t="shared" si="113"/>
        <v>0.47217429338105238</v>
      </c>
      <c r="BD96" s="315">
        <f t="shared" si="113"/>
        <v>0.48843258972189429</v>
      </c>
      <c r="BE96" s="315">
        <f t="shared" si="113"/>
        <v>0.46711080504202329</v>
      </c>
      <c r="BF96" s="37">
        <f t="shared" si="113"/>
        <v>0.47204256380071286</v>
      </c>
      <c r="BG96" s="315">
        <f t="shared" si="113"/>
        <v>0.44526639898721582</v>
      </c>
      <c r="BH96" s="315">
        <f t="shared" si="113"/>
        <v>0.44898557993549176</v>
      </c>
      <c r="BI96" s="315">
        <f t="shared" si="113"/>
        <v>0.4523004246749896</v>
      </c>
      <c r="BJ96" s="315">
        <f t="shared" si="113"/>
        <v>0.43591918267236707</v>
      </c>
      <c r="BK96" s="37">
        <f t="shared" si="113"/>
        <v>0.4453293605991025</v>
      </c>
      <c r="BL96" s="315">
        <f t="shared" si="113"/>
        <v>0.66608167785433614</v>
      </c>
      <c r="BM96" s="315">
        <f t="shared" si="113"/>
        <v>0.7193368021725669</v>
      </c>
      <c r="BN96" s="315">
        <f t="shared" si="113"/>
        <v>0.62632757746325951</v>
      </c>
      <c r="BO96" s="315">
        <f t="shared" ref="BO96:CE96" si="114">IF(BO20/BO6&gt;0,BO20/BO6,"NM")</f>
        <v>0.65203110438487955</v>
      </c>
      <c r="BP96" s="37">
        <f t="shared" si="114"/>
        <v>0.66629064030057961</v>
      </c>
      <c r="BQ96" s="315">
        <f t="shared" si="114"/>
        <v>0.74651040294969717</v>
      </c>
      <c r="BR96" s="315">
        <f t="shared" si="114"/>
        <v>0.72695293546821926</v>
      </c>
      <c r="BS96" s="315">
        <f t="shared" si="114"/>
        <v>0.70837854128993372</v>
      </c>
      <c r="BT96" s="315">
        <f t="shared" si="114"/>
        <v>0.68857277216082768</v>
      </c>
      <c r="BU96" s="37">
        <f t="shared" si="114"/>
        <v>0.71678053861944302</v>
      </c>
      <c r="BV96" s="315">
        <f t="shared" si="114"/>
        <v>0.69335386194508597</v>
      </c>
      <c r="BW96" s="315">
        <f t="shared" si="114"/>
        <v>0.67451131687242794</v>
      </c>
      <c r="BX96" s="315">
        <f t="shared" si="114"/>
        <v>0.64280000000000004</v>
      </c>
      <c r="BY96" s="315">
        <f t="shared" si="114"/>
        <v>0.62336065573770494</v>
      </c>
      <c r="BZ96" s="37">
        <f t="shared" si="114"/>
        <v>0.6591971043106285</v>
      </c>
      <c r="CA96" s="315">
        <f t="shared" si="114"/>
        <v>0.62505764796310526</v>
      </c>
      <c r="CB96" s="315">
        <f t="shared" si="114"/>
        <v>0.64556784764038655</v>
      </c>
      <c r="CC96" s="315">
        <f t="shared" si="114"/>
        <v>0.63574938574938578</v>
      </c>
      <c r="CD96" s="315">
        <f t="shared" si="114"/>
        <v>0.54042696251470834</v>
      </c>
      <c r="CE96" s="37">
        <f t="shared" si="114"/>
        <v>0.61404987168192438</v>
      </c>
      <c r="CF96" s="315">
        <f t="shared" ref="CF96:CI96" si="115">IF(CF20/CF6&gt;0,CF20/CF6,"NM")</f>
        <v>0.51657767591783332</v>
      </c>
      <c r="CG96" s="315">
        <f t="shared" si="115"/>
        <v>0.54674608958283955</v>
      </c>
      <c r="CH96" s="315">
        <f t="shared" si="115"/>
        <v>0.55772569070973654</v>
      </c>
      <c r="CI96" s="315">
        <f t="shared" si="115"/>
        <v>0.49081285194866914</v>
      </c>
      <c r="CJ96" s="37">
        <f>IF(CJ20/CJ6&gt;0,CJ20/CJ6,"NM")</f>
        <v>0.5278239963890341</v>
      </c>
      <c r="CK96" s="315"/>
      <c r="CL96" s="315"/>
      <c r="CM96" s="315"/>
      <c r="CN96" s="315"/>
      <c r="CO96" s="37">
        <f>IF(CO20/CO6&gt;0,CO20/CO6,"NM")</f>
        <v>0.52683848231381192</v>
      </c>
      <c r="CP96" s="315"/>
      <c r="CQ96" s="315"/>
      <c r="CR96" s="315"/>
      <c r="CS96" s="315"/>
      <c r="CT96" s="37">
        <f>IF(CT20/CT6&gt;0,CT20/CT6,"NM")</f>
        <v>0.5446604265740439</v>
      </c>
      <c r="CU96" s="315"/>
      <c r="CV96" s="315"/>
      <c r="CW96" s="315"/>
      <c r="CX96" s="315"/>
      <c r="CY96" s="37">
        <f>IF(CY20/CY6&gt;0,CY20/CY6,"NM")</f>
        <v>0.52053413053193376</v>
      </c>
      <c r="CZ96" s="315"/>
      <c r="DA96" s="315"/>
      <c r="DB96" s="315"/>
      <c r="DC96" s="315"/>
      <c r="DD96" s="37">
        <f>IF(DD20/DD6&gt;0,DD20/DD6,"NM")</f>
        <v>0.53489314900511253</v>
      </c>
      <c r="DE96" s="315"/>
      <c r="DF96" s="315"/>
      <c r="DG96" s="315"/>
      <c r="DH96" s="315"/>
      <c r="DI96" s="37">
        <f>IF(DI20/DI6&gt;0,DI20/DI6,"NM")</f>
        <v>0.55094443911499691</v>
      </c>
      <c r="DJ96" s="315"/>
      <c r="DK96" s="315"/>
      <c r="DL96" s="315"/>
      <c r="DM96" s="315"/>
      <c r="DN96" s="37">
        <f>IF(DN20/DN6&gt;0,DN20/DN6,"NM")</f>
        <v>0.56643707913589914</v>
      </c>
      <c r="DO96" s="315"/>
      <c r="DP96" s="315"/>
      <c r="DQ96" s="315"/>
      <c r="DR96" s="315"/>
      <c r="DS96" s="37">
        <f>IF(DS20/DS6&gt;0,DS20/DS6,"NM")</f>
        <v>0.4838384145920559</v>
      </c>
      <c r="DT96" s="315"/>
      <c r="DU96" s="315"/>
      <c r="DV96" s="315"/>
      <c r="DW96" s="315"/>
      <c r="DX96" s="37">
        <f>IF(DX20/DX6&gt;0,DX20/DX6,"NM")</f>
        <v>0.44390032114297812</v>
      </c>
      <c r="DY96" s="315"/>
      <c r="DZ96" s="315"/>
      <c r="EA96" s="315"/>
      <c r="EB96" s="315"/>
      <c r="EC96" s="37">
        <f>IF(EC20/EC6&gt;0,EC20/EC6,"NM")</f>
        <v>0.43468643398741902</v>
      </c>
      <c r="ED96" s="315"/>
      <c r="EE96" s="315"/>
      <c r="EF96" s="315"/>
      <c r="EG96" s="315"/>
      <c r="EH96" s="37">
        <f>IF(EH20/EH6&gt;0,EH20/EH6,"NM")</f>
        <v>0.48266442250928066</v>
      </c>
      <c r="EI96" s="315"/>
      <c r="EJ96" s="315"/>
      <c r="EK96" s="315"/>
      <c r="EL96" s="315"/>
      <c r="EM96" s="37">
        <f>IF(EM20/EM6&gt;0,EM20/EM6,"NM")</f>
        <v>0.75551275490496683</v>
      </c>
      <c r="EN96" s="315"/>
      <c r="EO96" s="315"/>
      <c r="EP96" s="315"/>
      <c r="EQ96" s="315"/>
      <c r="ER96" s="37">
        <f>IF(ER20/ER6&gt;0,ER20/ER6,"NM")</f>
        <v>0.80535177750170339</v>
      </c>
    </row>
    <row r="97" spans="2:148" ht="12.75" customHeight="1">
      <c r="B97" s="316" t="s">
        <v>170</v>
      </c>
      <c r="C97" s="37" t="str">
        <f t="shared" ref="C97:AH97" si="116">IF(C110/C6&gt;0,C110/C6,"NM")</f>
        <v>NM</v>
      </c>
      <c r="D97" s="315" t="str">
        <f t="shared" si="116"/>
        <v>NM</v>
      </c>
      <c r="E97" s="315">
        <f t="shared" si="116"/>
        <v>0.2068981282517853</v>
      </c>
      <c r="F97" s="315">
        <f t="shared" si="116"/>
        <v>0.2960428110819201</v>
      </c>
      <c r="G97" s="315">
        <f t="shared" si="116"/>
        <v>0.25324939494025278</v>
      </c>
      <c r="H97" s="37">
        <f t="shared" si="116"/>
        <v>0.20444953833629689</v>
      </c>
      <c r="I97" s="315">
        <f t="shared" si="116"/>
        <v>0.36098846188788952</v>
      </c>
      <c r="J97" s="315">
        <f t="shared" si="116"/>
        <v>0.47190103403524936</v>
      </c>
      <c r="K97" s="315">
        <f t="shared" si="116"/>
        <v>0.35471522967280866</v>
      </c>
      <c r="L97" s="315">
        <f t="shared" si="116"/>
        <v>0.39867257140905515</v>
      </c>
      <c r="M97" s="37">
        <f t="shared" si="116"/>
        <v>0.40150991399574137</v>
      </c>
      <c r="N97" s="315">
        <f t="shared" si="116"/>
        <v>0.48612059121331996</v>
      </c>
      <c r="O97" s="315">
        <f t="shared" si="116"/>
        <v>0.51359931440438877</v>
      </c>
      <c r="P97" s="315">
        <f t="shared" si="116"/>
        <v>0.52083007599935016</v>
      </c>
      <c r="Q97" s="315">
        <f t="shared" si="116"/>
        <v>0.46464963499699674</v>
      </c>
      <c r="R97" s="37">
        <f t="shared" si="116"/>
        <v>0.49530960530626855</v>
      </c>
      <c r="S97" s="315">
        <f t="shared" si="116"/>
        <v>0.53347242422411911</v>
      </c>
      <c r="T97" s="315">
        <f t="shared" si="116"/>
        <v>0.57329047446942971</v>
      </c>
      <c r="U97" s="315">
        <f t="shared" si="116"/>
        <v>0.52605425868019329</v>
      </c>
      <c r="V97" s="315">
        <f t="shared" si="116"/>
        <v>0.61010133504905895</v>
      </c>
      <c r="W97" s="37">
        <f t="shared" si="116"/>
        <v>0.56440692171169382</v>
      </c>
      <c r="X97" s="315">
        <f t="shared" si="116"/>
        <v>0.5953818709787293</v>
      </c>
      <c r="Y97" s="315">
        <f t="shared" si="116"/>
        <v>0.60509381265485862</v>
      </c>
      <c r="Z97" s="315">
        <f t="shared" si="116"/>
        <v>0.60974606435137757</v>
      </c>
      <c r="AA97" s="315">
        <f t="shared" si="116"/>
        <v>0.59229396860283268</v>
      </c>
      <c r="AB97" s="37">
        <f t="shared" si="116"/>
        <v>0.60021811151777538</v>
      </c>
      <c r="AC97" s="315">
        <f t="shared" si="116"/>
        <v>0.61157698454463139</v>
      </c>
      <c r="AD97" s="315">
        <f t="shared" si="116"/>
        <v>0.57749485015108448</v>
      </c>
      <c r="AE97" s="315">
        <f t="shared" si="116"/>
        <v>0.57482175626627441</v>
      </c>
      <c r="AF97" s="315">
        <f t="shared" si="116"/>
        <v>0.50903972508490591</v>
      </c>
      <c r="AG97" s="37">
        <f t="shared" si="116"/>
        <v>0.56739591185124305</v>
      </c>
      <c r="AH97" s="315">
        <f t="shared" si="116"/>
        <v>0.58324987759825531</v>
      </c>
      <c r="AI97" s="315">
        <f t="shared" ref="AI97:BN97" si="117">IF(AI110/AI6&gt;0,AI110/AI6,"NM")</f>
        <v>0.54042053789731048</v>
      </c>
      <c r="AJ97" s="315">
        <f t="shared" si="117"/>
        <v>0.57138794167150408</v>
      </c>
      <c r="AK97" s="315">
        <f t="shared" si="117"/>
        <v>0.55335053441207671</v>
      </c>
      <c r="AL97" s="37">
        <f t="shared" si="117"/>
        <v>0.56193899639225975</v>
      </c>
      <c r="AM97" s="315">
        <f t="shared" si="117"/>
        <v>0.58055029206905118</v>
      </c>
      <c r="AN97" s="315">
        <f t="shared" si="117"/>
        <v>0.55612556195379304</v>
      </c>
      <c r="AO97" s="315">
        <f t="shared" si="117"/>
        <v>0.57078898561054836</v>
      </c>
      <c r="AP97" s="315">
        <f t="shared" si="117"/>
        <v>0.59549522997433046</v>
      </c>
      <c r="AQ97" s="37">
        <f t="shared" si="117"/>
        <v>0.57663644961343563</v>
      </c>
      <c r="AR97" s="315">
        <f t="shared" si="117"/>
        <v>0.62455695583533444</v>
      </c>
      <c r="AS97" s="315">
        <f t="shared" si="117"/>
        <v>0.58090497005018615</v>
      </c>
      <c r="AT97" s="315">
        <f t="shared" si="117"/>
        <v>0.57957862489523404</v>
      </c>
      <c r="AU97" s="315">
        <f t="shared" si="117"/>
        <v>0.56307966179797042</v>
      </c>
      <c r="AV97" s="37">
        <f t="shared" si="117"/>
        <v>0.5875538089571315</v>
      </c>
      <c r="AW97" s="315">
        <f t="shared" si="117"/>
        <v>0.54667892636600302</v>
      </c>
      <c r="AX97" s="315">
        <f t="shared" si="117"/>
        <v>0.54225634494371966</v>
      </c>
      <c r="AY97" s="315">
        <f t="shared" si="117"/>
        <v>0.54116258024377129</v>
      </c>
      <c r="AZ97" s="315">
        <f t="shared" si="117"/>
        <v>0.48539478216924548</v>
      </c>
      <c r="BA97" s="37">
        <f t="shared" si="117"/>
        <v>0.52807462030664054</v>
      </c>
      <c r="BB97" s="315">
        <f t="shared" si="117"/>
        <v>0.50381300962255893</v>
      </c>
      <c r="BC97" s="315">
        <f t="shared" si="117"/>
        <v>0.50109159956859883</v>
      </c>
      <c r="BD97" s="315">
        <f t="shared" si="117"/>
        <v>0.51688939277642376</v>
      </c>
      <c r="BE97" s="315">
        <f t="shared" si="117"/>
        <v>0.49357324668703473</v>
      </c>
      <c r="BF97" s="37">
        <f t="shared" si="117"/>
        <v>0.5007161543751999</v>
      </c>
      <c r="BG97" s="315">
        <f t="shared" si="117"/>
        <v>0.4793060611028051</v>
      </c>
      <c r="BH97" s="315">
        <f t="shared" si="117"/>
        <v>0.48012534536101481</v>
      </c>
      <c r="BI97" s="315">
        <f t="shared" si="117"/>
        <v>0.48326741731630413</v>
      </c>
      <c r="BJ97" s="315">
        <f t="shared" si="117"/>
        <v>0.46354123595354357</v>
      </c>
      <c r="BK97" s="37">
        <f t="shared" si="117"/>
        <v>0.47610186285300365</v>
      </c>
      <c r="BL97" s="315">
        <f t="shared" si="117"/>
        <v>0.71859264214367979</v>
      </c>
      <c r="BM97" s="315">
        <f t="shared" si="117"/>
        <v>0.75950547694142101</v>
      </c>
      <c r="BN97" s="315">
        <f t="shared" si="117"/>
        <v>0.66977466437332256</v>
      </c>
      <c r="BO97" s="315">
        <f t="shared" ref="BO97:CE97" si="118">IF(BO110/BO6&gt;0,BO110/BO6,"NM")</f>
        <v>0.68792180579901285</v>
      </c>
      <c r="BP97" s="37">
        <f t="shared" si="118"/>
        <v>0.70847625174686935</v>
      </c>
      <c r="BQ97" s="315">
        <f t="shared" si="118"/>
        <v>0.78265736107453254</v>
      </c>
      <c r="BR97" s="315">
        <f t="shared" si="118"/>
        <v>0.76024987869966032</v>
      </c>
      <c r="BS97" s="315">
        <f t="shared" si="118"/>
        <v>0.74147076552139846</v>
      </c>
      <c r="BT97" s="315">
        <f t="shared" si="118"/>
        <v>0.72084411003997173</v>
      </c>
      <c r="BU97" s="37">
        <f t="shared" si="118"/>
        <v>0.7504212751616165</v>
      </c>
      <c r="BV97" s="315">
        <f t="shared" si="118"/>
        <v>0.73049781883500131</v>
      </c>
      <c r="BW97" s="315">
        <f t="shared" si="118"/>
        <v>0.71174125514403297</v>
      </c>
      <c r="BX97" s="315">
        <f t="shared" si="118"/>
        <v>0.68140000000000001</v>
      </c>
      <c r="BY97" s="315">
        <f t="shared" si="118"/>
        <v>0.66290983606557374</v>
      </c>
      <c r="BZ97" s="37">
        <f t="shared" si="118"/>
        <v>0.6973017439947351</v>
      </c>
      <c r="CA97" s="315">
        <f t="shared" si="118"/>
        <v>0.67448116833205229</v>
      </c>
      <c r="CB97" s="315">
        <f t="shared" si="118"/>
        <v>0.69058955328385385</v>
      </c>
      <c r="CC97" s="315">
        <f t="shared" si="118"/>
        <v>0.68511977886977882</v>
      </c>
      <c r="CD97" s="315">
        <f t="shared" si="118"/>
        <v>0.59446965876617919</v>
      </c>
      <c r="CE97" s="37">
        <f t="shared" si="118"/>
        <v>0.66330869115562874</v>
      </c>
      <c r="CF97" s="315">
        <f t="shared" ref="CF97:CI97" si="119">IF(CF110/CF6&gt;0,CF110/CF6,"NM")</f>
        <v>0.58397121772072413</v>
      </c>
      <c r="CG97" s="315">
        <f t="shared" si="119"/>
        <v>0.61270798209985611</v>
      </c>
      <c r="CH97" s="315">
        <f t="shared" si="119"/>
        <v>0.62293066529801944</v>
      </c>
      <c r="CI97" s="315">
        <f t="shared" si="119"/>
        <v>0.55478304130086775</v>
      </c>
      <c r="CJ97" s="37">
        <f>IF(CJ110/CJ6&gt;0,CJ110/CJ6,"NM")</f>
        <v>0.59343323879371401</v>
      </c>
      <c r="CK97" s="315"/>
      <c r="CL97" s="315"/>
      <c r="CM97" s="315"/>
      <c r="CN97" s="315"/>
      <c r="CO97" s="37">
        <f>IF(CO110/CO6&gt;0,CO110/CO6,"NM")</f>
        <v>0.59347798459065915</v>
      </c>
      <c r="CP97" s="315"/>
      <c r="CQ97" s="315"/>
      <c r="CR97" s="315"/>
      <c r="CS97" s="315"/>
      <c r="CT97" s="37">
        <f>IF(CT110/CT6&gt;0,CT110/CT6,"NM")</f>
        <v>0.60945289975241645</v>
      </c>
      <c r="CU97" s="315"/>
      <c r="CV97" s="315"/>
      <c r="CW97" s="315"/>
      <c r="CX97" s="315"/>
      <c r="CY97" s="37">
        <f>IF(CY110/CY6&gt;0,CY110/CY6,"NM")</f>
        <v>0.59121634175070126</v>
      </c>
      <c r="CZ97" s="315"/>
      <c r="DA97" s="315"/>
      <c r="DB97" s="315"/>
      <c r="DC97" s="315"/>
      <c r="DD97" s="37">
        <f>IF(DD110/DD6&gt;0,DD110/DD6,"NM")</f>
        <v>0.60581059398732906</v>
      </c>
      <c r="DE97" s="315"/>
      <c r="DF97" s="315"/>
      <c r="DG97" s="315"/>
      <c r="DH97" s="315"/>
      <c r="DI97" s="37">
        <f>IF(DI110/DI6&gt;0,DI110/DI6,"NM")</f>
        <v>0.62193541653596618</v>
      </c>
      <c r="DJ97" s="315"/>
      <c r="DK97" s="315"/>
      <c r="DL97" s="315"/>
      <c r="DM97" s="315"/>
      <c r="DN97" s="37">
        <f>IF(DN110/DN6&gt;0,DN110/DN6,"NM")</f>
        <v>0.63767345416700383</v>
      </c>
      <c r="DO97" s="315"/>
      <c r="DP97" s="315"/>
      <c r="DQ97" s="315"/>
      <c r="DR97" s="315"/>
      <c r="DS97" s="37">
        <f>IF(DS110/DS6&gt;0,DS110/DS6,"NM")</f>
        <v>0.57879908783105694</v>
      </c>
      <c r="DT97" s="315"/>
      <c r="DU97" s="315"/>
      <c r="DV97" s="315"/>
      <c r="DW97" s="315"/>
      <c r="DX97" s="37">
        <f>IF(DX110/DX6&gt;0,DX110/DX6,"NM")</f>
        <v>0.5512309281683121</v>
      </c>
      <c r="DY97" s="315"/>
      <c r="DZ97" s="315"/>
      <c r="EA97" s="315"/>
      <c r="EB97" s="315"/>
      <c r="EC97" s="37">
        <f>IF(EC110/EC6&gt;0,EC110/EC6,"NM")</f>
        <v>0.54635273133989037</v>
      </c>
      <c r="ED97" s="315"/>
      <c r="EE97" s="315"/>
      <c r="EF97" s="315"/>
      <c r="EG97" s="315"/>
      <c r="EH97" s="37">
        <f>IF(EH110/EH6&gt;0,EH110/EH6,"NM")</f>
        <v>0.59829254503182927</v>
      </c>
      <c r="EI97" s="315"/>
      <c r="EJ97" s="315"/>
      <c r="EK97" s="315"/>
      <c r="EL97" s="315"/>
      <c r="EM97" s="37">
        <f>IF(EM110/EM6&gt;0,EM110/EM6,"NM")</f>
        <v>0.89673897400227975</v>
      </c>
      <c r="EN97" s="315"/>
      <c r="EO97" s="315"/>
      <c r="EP97" s="315"/>
      <c r="EQ97" s="315"/>
      <c r="ER97" s="37">
        <f>IF(ER110/ER6&gt;0,ER110/ER6,"NM")</f>
        <v>0.95649157098313231</v>
      </c>
    </row>
    <row r="98" spans="2:148" ht="12.75" customHeight="1" thickBot="1">
      <c r="B98" s="317" t="s">
        <v>171</v>
      </c>
      <c r="C98" s="38" t="str">
        <f t="shared" ref="C98:AH98" si="120">IF(C30/C6&gt;0,C30/C6,"NM")</f>
        <v>NM</v>
      </c>
      <c r="D98" s="318" t="str">
        <f t="shared" si="120"/>
        <v>NM</v>
      </c>
      <c r="E98" s="318">
        <f t="shared" si="120"/>
        <v>0.18023463145670834</v>
      </c>
      <c r="F98" s="318">
        <f t="shared" si="120"/>
        <v>0.2746969787437305</v>
      </c>
      <c r="G98" s="318">
        <f t="shared" si="120"/>
        <v>0.24463720548587531</v>
      </c>
      <c r="H98" s="38">
        <f t="shared" si="120"/>
        <v>0.18883223719445583</v>
      </c>
      <c r="I98" s="318">
        <f t="shared" si="120"/>
        <v>0.30613851791284336</v>
      </c>
      <c r="J98" s="318">
        <f t="shared" si="120"/>
        <v>0.42019508519278276</v>
      </c>
      <c r="K98" s="318">
        <f t="shared" si="120"/>
        <v>0.30198331104146298</v>
      </c>
      <c r="L98" s="318">
        <f t="shared" si="120"/>
        <v>0.34675941210623978</v>
      </c>
      <c r="M98" s="38">
        <f t="shared" si="120"/>
        <v>0.34890604979582063</v>
      </c>
      <c r="N98" s="318">
        <f t="shared" si="120"/>
        <v>0.32956357742934123</v>
      </c>
      <c r="O98" s="318">
        <f t="shared" si="120"/>
        <v>0.34861223187644258</v>
      </c>
      <c r="P98" s="318">
        <f t="shared" si="120"/>
        <v>0.34716282377899799</v>
      </c>
      <c r="Q98" s="318">
        <f t="shared" si="120"/>
        <v>0.31056371182891129</v>
      </c>
      <c r="R98" s="38">
        <f t="shared" si="120"/>
        <v>0.33319392249260549</v>
      </c>
      <c r="S98" s="318">
        <f t="shared" si="120"/>
        <v>0.36502762456611532</v>
      </c>
      <c r="T98" s="318">
        <f t="shared" si="120"/>
        <v>0.39567790433077771</v>
      </c>
      <c r="U98" s="318">
        <f t="shared" si="120"/>
        <v>0.36322147487795159</v>
      </c>
      <c r="V98" s="318">
        <f t="shared" si="120"/>
        <v>0.421032849363004</v>
      </c>
      <c r="W98" s="38">
        <f t="shared" si="120"/>
        <v>0.38889420232695709</v>
      </c>
      <c r="X98" s="318">
        <f t="shared" si="120"/>
        <v>0.41306983336171749</v>
      </c>
      <c r="Y98" s="318">
        <f t="shared" si="120"/>
        <v>0.42736049216257938</v>
      </c>
      <c r="Z98" s="318">
        <f t="shared" si="120"/>
        <v>0.4393876054614928</v>
      </c>
      <c r="AA98" s="318">
        <f t="shared" si="120"/>
        <v>0.44221199427848124</v>
      </c>
      <c r="AB98" s="38">
        <f t="shared" si="120"/>
        <v>0.43147679673493672</v>
      </c>
      <c r="AC98" s="318">
        <f t="shared" si="120"/>
        <v>0.43501479003596111</v>
      </c>
      <c r="AD98" s="318">
        <f t="shared" si="120"/>
        <v>0.42190119350551342</v>
      </c>
      <c r="AE98" s="318">
        <f t="shared" si="120"/>
        <v>0.4062096537316196</v>
      </c>
      <c r="AF98" s="318">
        <f t="shared" si="120"/>
        <v>0.38968264338062969</v>
      </c>
      <c r="AG98" s="38">
        <f t="shared" si="120"/>
        <v>0.41282324946635401</v>
      </c>
      <c r="AH98" s="318">
        <f t="shared" si="120"/>
        <v>0.40877493339437537</v>
      </c>
      <c r="AI98" s="318">
        <f t="shared" ref="AI98:BN98" si="121">IF(AI30/AI6&gt;0,AI30/AI6,"NM")</f>
        <v>0.36691325183374079</v>
      </c>
      <c r="AJ98" s="318">
        <f t="shared" si="121"/>
        <v>0.38353844762657635</v>
      </c>
      <c r="AK98" s="318">
        <f t="shared" si="121"/>
        <v>0.41329571034970469</v>
      </c>
      <c r="AL98" s="38">
        <f t="shared" si="121"/>
        <v>0.393471770603945</v>
      </c>
      <c r="AM98" s="318">
        <f t="shared" si="121"/>
        <v>0.4047149223109392</v>
      </c>
      <c r="AN98" s="318">
        <f t="shared" si="121"/>
        <v>0.39394228229887285</v>
      </c>
      <c r="AO98" s="318">
        <f t="shared" si="121"/>
        <v>0.4053999441542056</v>
      </c>
      <c r="AP98" s="318">
        <f t="shared" si="121"/>
        <v>0.42532224550637454</v>
      </c>
      <c r="AQ98" s="38">
        <f t="shared" si="121"/>
        <v>0.40833356272221899</v>
      </c>
      <c r="AR98" s="318">
        <f t="shared" si="121"/>
        <v>0.43855775071397651</v>
      </c>
      <c r="AS98" s="318">
        <f t="shared" si="121"/>
        <v>0.3946977621698361</v>
      </c>
      <c r="AT98" s="318">
        <f t="shared" si="121"/>
        <v>0.39205411073998681</v>
      </c>
      <c r="AU98" s="318">
        <f t="shared" si="121"/>
        <v>0.3898964670306056</v>
      </c>
      <c r="AV98" s="38">
        <f t="shared" si="121"/>
        <v>0.40435465732091147</v>
      </c>
      <c r="AW98" s="318">
        <f t="shared" si="121"/>
        <v>0.36488302232393655</v>
      </c>
      <c r="AX98" s="318">
        <f t="shared" si="121"/>
        <v>0.37323049727851587</v>
      </c>
      <c r="AY98" s="318">
        <f t="shared" si="121"/>
        <v>0.37478813759037727</v>
      </c>
      <c r="AZ98" s="318">
        <f t="shared" si="121"/>
        <v>0.33771651961617499</v>
      </c>
      <c r="BA98" s="38">
        <f t="shared" si="121"/>
        <v>0.36238813125455771</v>
      </c>
      <c r="BB98" s="318">
        <f t="shared" si="121"/>
        <v>0.3086110576840928</v>
      </c>
      <c r="BC98" s="318">
        <f t="shared" si="121"/>
        <v>0.31900942380339808</v>
      </c>
      <c r="BD98" s="318">
        <f t="shared" si="121"/>
        <v>0.32995718683462416</v>
      </c>
      <c r="BE98" s="318">
        <f t="shared" si="121"/>
        <v>0.32852251066274535</v>
      </c>
      <c r="BF98" s="38">
        <f t="shared" si="121"/>
        <v>0.31785978834152023</v>
      </c>
      <c r="BG98" s="318">
        <f t="shared" si="121"/>
        <v>0.31676880750977138</v>
      </c>
      <c r="BH98" s="318">
        <f t="shared" si="121"/>
        <v>0.30343528966240452</v>
      </c>
      <c r="BI98" s="318">
        <f t="shared" si="121"/>
        <v>0.3158945161658942</v>
      </c>
      <c r="BJ98" s="318">
        <f t="shared" si="121"/>
        <v>0.29803168510038702</v>
      </c>
      <c r="BK98" s="38">
        <f t="shared" si="121"/>
        <v>0.30803899304828053</v>
      </c>
      <c r="BL98" s="318">
        <f t="shared" si="121"/>
        <v>0.49766571260079123</v>
      </c>
      <c r="BM98" s="318">
        <f t="shared" si="121"/>
        <v>0.60131067707859132</v>
      </c>
      <c r="BN98" s="318">
        <f t="shared" si="121"/>
        <v>0.49880417065552302</v>
      </c>
      <c r="BO98" s="318">
        <f t="shared" ref="BO98:CE98" si="122">IF(BO30/BO6&gt;0,BO30/BO6,"NM")</f>
        <v>0.53089144170708125</v>
      </c>
      <c r="BP98" s="38">
        <f t="shared" si="122"/>
        <v>0.5349257310296992</v>
      </c>
      <c r="BQ98" s="318">
        <f t="shared" si="122"/>
        <v>0.60613642349223074</v>
      </c>
      <c r="BR98" s="318">
        <f t="shared" si="122"/>
        <v>0.58770014556040762</v>
      </c>
      <c r="BS98" s="318">
        <f t="shared" si="122"/>
        <v>0.58300180831826398</v>
      </c>
      <c r="BT98" s="318">
        <f t="shared" si="122"/>
        <v>0.57477075005878209</v>
      </c>
      <c r="BU98" s="38">
        <f t="shared" si="122"/>
        <v>0.58742608535800733</v>
      </c>
      <c r="BV98" s="318">
        <f t="shared" si="122"/>
        <v>0.54862714908904286</v>
      </c>
      <c r="BW98" s="318">
        <f t="shared" si="122"/>
        <v>0.53716563786008231</v>
      </c>
      <c r="BX98" s="318">
        <f t="shared" si="122"/>
        <v>0.49026666666666668</v>
      </c>
      <c r="BY98" s="318">
        <f t="shared" si="122"/>
        <v>0.48975409836065575</v>
      </c>
      <c r="BZ98" s="38">
        <f t="shared" si="122"/>
        <v>0.51711089174070413</v>
      </c>
      <c r="CA98" s="318">
        <f t="shared" si="122"/>
        <v>0.45334358186010759</v>
      </c>
      <c r="CB98" s="318">
        <f t="shared" si="122"/>
        <v>0.47220277272090744</v>
      </c>
      <c r="CC98" s="318">
        <f t="shared" si="122"/>
        <v>0.45915233415233414</v>
      </c>
      <c r="CD98" s="318">
        <f t="shared" si="122"/>
        <v>0.39384770549672216</v>
      </c>
      <c r="CE98" s="38">
        <f t="shared" si="122"/>
        <v>0.44639368751675795</v>
      </c>
      <c r="CF98" s="318">
        <f t="shared" ref="CF98:CI98" si="123">IF(CF30/CF6&gt;0,CF30/CF6,"NM")</f>
        <v>0.37968782103689525</v>
      </c>
      <c r="CG98" s="318">
        <f t="shared" si="123"/>
        <v>0.40371293263224528</v>
      </c>
      <c r="CH98" s="318">
        <f t="shared" si="123"/>
        <v>0.41253806828163686</v>
      </c>
      <c r="CI98" s="318">
        <f t="shared" si="123"/>
        <v>0.36077190827313971</v>
      </c>
      <c r="CJ98" s="38">
        <f>IF(CJ30/CJ6&gt;0,CJ30/CJ6,"NM")</f>
        <v>0.38907532233819059</v>
      </c>
      <c r="CK98" s="318"/>
      <c r="CL98" s="318"/>
      <c r="CM98" s="318"/>
      <c r="CN98" s="318"/>
      <c r="CO98" s="38">
        <f>IF(CO30/CO6&gt;0,CO30/CO6,"NM")</f>
        <v>0.3910498825135918</v>
      </c>
      <c r="CP98" s="318"/>
      <c r="CQ98" s="318"/>
      <c r="CR98" s="318"/>
      <c r="CS98" s="318"/>
      <c r="CT98" s="38">
        <f>IF(CT30/CT6&gt;0,CT30/CT6,"NM")</f>
        <v>0.40974878519928415</v>
      </c>
      <c r="CU98" s="318"/>
      <c r="CV98" s="318"/>
      <c r="CW98" s="318"/>
      <c r="CX98" s="318"/>
      <c r="CY98" s="38">
        <f>IF(CY30/CY6&gt;0,CY30/CY6,"NM")</f>
        <v>0.38921733554468946</v>
      </c>
      <c r="CZ98" s="318"/>
      <c r="DA98" s="318"/>
      <c r="DB98" s="318"/>
      <c r="DC98" s="318"/>
      <c r="DD98" s="38">
        <f>IF(DD30/DD6&gt;0,DD30/DD6,"NM")</f>
        <v>0.40751946922476795</v>
      </c>
      <c r="DE98" s="318"/>
      <c r="DF98" s="318"/>
      <c r="DG98" s="318"/>
      <c r="DH98" s="318"/>
      <c r="DI98" s="38">
        <f>IF(DI30/DI6&gt;0,DI30/DI6,"NM")</f>
        <v>0.42052444007204837</v>
      </c>
      <c r="DJ98" s="318"/>
      <c r="DK98" s="318"/>
      <c r="DL98" s="318"/>
      <c r="DM98" s="318"/>
      <c r="DN98" s="38">
        <f>IF(DN30/DN6&gt;0,DN30/DN6,"NM")</f>
        <v>0.43558059321284814</v>
      </c>
      <c r="DO98" s="318"/>
      <c r="DP98" s="318"/>
      <c r="DQ98" s="318"/>
      <c r="DR98" s="318"/>
      <c r="DS98" s="38">
        <f>IF(DS30/DS6&gt;0,DS30/DS6,"NM")</f>
        <v>0.3744828241601269</v>
      </c>
      <c r="DT98" s="318"/>
      <c r="DU98" s="318"/>
      <c r="DV98" s="318"/>
      <c r="DW98" s="318"/>
      <c r="DX98" s="38">
        <f>IF(DX30/DX6&gt;0,DX30/DX6,"NM")</f>
        <v>0.34995908175191925</v>
      </c>
      <c r="DY98" s="318"/>
      <c r="DZ98" s="318"/>
      <c r="EA98" s="318"/>
      <c r="EB98" s="318"/>
      <c r="EC98" s="38">
        <f>IF(EC30/EC6&gt;0,EC30/EC6,"NM")</f>
        <v>0.34554775074033373</v>
      </c>
      <c r="ED98" s="318"/>
      <c r="EE98" s="318"/>
      <c r="EF98" s="318"/>
      <c r="EG98" s="318"/>
      <c r="EH98" s="38">
        <f>IF(EH30/EH6&gt;0,EH30/EH6,"NM")</f>
        <v>0.38447832616683708</v>
      </c>
      <c r="EI98" s="318"/>
      <c r="EJ98" s="318"/>
      <c r="EK98" s="318"/>
      <c r="EL98" s="318"/>
      <c r="EM98" s="38">
        <f>IF(EM30/EM6&gt;0,EM30/EM6,"NM")</f>
        <v>0.60115972767868608</v>
      </c>
      <c r="EN98" s="318"/>
      <c r="EO98" s="318"/>
      <c r="EP98" s="318"/>
      <c r="EQ98" s="318"/>
      <c r="ER98" s="38">
        <f>IF(ER30/ER6&gt;0,ER30/ER6,"NM")</f>
        <v>0.64286727628481366</v>
      </c>
    </row>
    <row r="99" spans="2:148" ht="12.75" customHeight="1" thickBot="1">
      <c r="B99" s="319"/>
      <c r="C99" s="16"/>
      <c r="D99" s="308"/>
      <c r="E99" s="308"/>
      <c r="F99" s="308"/>
      <c r="G99" s="308"/>
      <c r="H99" s="16"/>
      <c r="I99" s="308"/>
      <c r="J99" s="308"/>
      <c r="K99" s="308"/>
      <c r="L99" s="308"/>
      <c r="M99" s="16"/>
      <c r="N99" s="308"/>
      <c r="O99" s="308"/>
      <c r="P99" s="308"/>
      <c r="Q99" s="308"/>
      <c r="R99" s="16"/>
      <c r="S99" s="308"/>
      <c r="T99" s="308"/>
      <c r="U99" s="308"/>
      <c r="V99" s="308"/>
      <c r="W99" s="16"/>
      <c r="X99" s="308"/>
      <c r="Y99" s="308"/>
      <c r="Z99" s="308"/>
      <c r="AA99" s="308"/>
      <c r="AB99" s="16"/>
      <c r="AC99" s="308"/>
      <c r="AD99" s="308"/>
      <c r="AE99" s="308"/>
      <c r="AF99" s="308"/>
      <c r="AG99" s="16"/>
      <c r="AH99" s="308"/>
      <c r="AI99" s="308"/>
      <c r="AJ99" s="308"/>
      <c r="AK99" s="308"/>
      <c r="AL99" s="16"/>
      <c r="AM99" s="308"/>
      <c r="AN99" s="308"/>
      <c r="AO99" s="308"/>
      <c r="AP99" s="308"/>
      <c r="AQ99" s="16"/>
      <c r="AR99" s="308"/>
      <c r="AS99" s="308"/>
      <c r="AT99" s="308"/>
      <c r="AU99" s="308"/>
      <c r="AV99" s="16"/>
      <c r="AW99" s="308"/>
      <c r="AX99" s="308"/>
      <c r="AY99" s="308"/>
      <c r="AZ99" s="308"/>
      <c r="BA99" s="16"/>
      <c r="BB99" s="308"/>
      <c r="BC99" s="308"/>
      <c r="BD99" s="308"/>
      <c r="BE99" s="308"/>
      <c r="BF99" s="16"/>
      <c r="BG99" s="308"/>
      <c r="BH99" s="308"/>
      <c r="BI99" s="308"/>
      <c r="BJ99" s="308"/>
      <c r="BK99" s="16"/>
      <c r="BL99" s="308"/>
      <c r="BM99" s="308"/>
      <c r="BN99" s="308"/>
      <c r="BO99" s="308"/>
      <c r="BP99" s="16"/>
      <c r="BQ99" s="308"/>
      <c r="BR99" s="308"/>
      <c r="BS99" s="308"/>
      <c r="BT99" s="308"/>
      <c r="BU99" s="16"/>
      <c r="BV99" s="308"/>
      <c r="BW99" s="308"/>
      <c r="BX99" s="308"/>
      <c r="BY99" s="308"/>
      <c r="BZ99" s="16"/>
      <c r="CA99" s="308"/>
      <c r="CB99" s="308"/>
      <c r="CC99" s="308"/>
      <c r="CD99" s="308"/>
      <c r="CE99" s="16"/>
      <c r="CF99" s="308"/>
      <c r="CG99" s="308"/>
      <c r="CH99" s="308"/>
      <c r="CI99" s="308"/>
      <c r="CJ99" s="16"/>
      <c r="CK99" s="308"/>
      <c r="CL99" s="308"/>
      <c r="CM99" s="308"/>
      <c r="CN99" s="308"/>
      <c r="CO99" s="16"/>
      <c r="CP99" s="308"/>
      <c r="CQ99" s="308"/>
      <c r="CR99" s="308"/>
      <c r="CS99" s="308"/>
      <c r="CT99" s="16"/>
      <c r="CU99" s="308"/>
      <c r="CV99" s="308"/>
      <c r="CW99" s="308"/>
      <c r="CX99" s="308"/>
      <c r="CY99" s="16"/>
      <c r="CZ99" s="308"/>
      <c r="DA99" s="308"/>
      <c r="DB99" s="308"/>
      <c r="DC99" s="308"/>
      <c r="DD99" s="16"/>
      <c r="DE99" s="308"/>
      <c r="DF99" s="308"/>
      <c r="DG99" s="308"/>
      <c r="DH99" s="308"/>
      <c r="DI99" s="16"/>
      <c r="DJ99" s="308"/>
      <c r="DK99" s="308"/>
      <c r="DL99" s="308"/>
      <c r="DM99" s="308"/>
      <c r="DN99" s="16"/>
      <c r="DO99" s="308"/>
      <c r="DP99" s="308"/>
      <c r="DQ99" s="308"/>
      <c r="DR99" s="308"/>
      <c r="DS99" s="16"/>
      <c r="DT99" s="308"/>
      <c r="DU99" s="308"/>
      <c r="DV99" s="308"/>
      <c r="DW99" s="308"/>
      <c r="DX99" s="16"/>
      <c r="DY99" s="308"/>
      <c r="DZ99" s="308"/>
      <c r="EA99" s="308"/>
      <c r="EB99" s="308"/>
      <c r="EC99" s="16"/>
      <c r="ED99" s="308"/>
      <c r="EE99" s="308"/>
      <c r="EF99" s="308"/>
      <c r="EG99" s="308"/>
      <c r="EH99" s="16"/>
      <c r="EI99" s="308"/>
      <c r="EJ99" s="308"/>
      <c r="EK99" s="308"/>
      <c r="EL99" s="308"/>
      <c r="EM99" s="16"/>
      <c r="EN99" s="308"/>
      <c r="EO99" s="308"/>
      <c r="EP99" s="308"/>
      <c r="EQ99" s="308"/>
      <c r="ER99" s="16"/>
    </row>
    <row r="100" spans="2:148" ht="12.75" customHeight="1">
      <c r="B100" s="36" t="s">
        <v>728</v>
      </c>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c r="EA100" s="36"/>
      <c r="EB100" s="36"/>
      <c r="EC100" s="36"/>
      <c r="ED100" s="36"/>
      <c r="EE100" s="36"/>
      <c r="EF100" s="36"/>
      <c r="EG100" s="36"/>
      <c r="EH100" s="36"/>
      <c r="EI100" s="36"/>
      <c r="EJ100" s="36"/>
      <c r="EK100" s="36"/>
      <c r="EL100" s="36"/>
      <c r="EM100" s="36"/>
      <c r="EN100" s="36"/>
      <c r="EO100" s="36"/>
      <c r="EP100" s="36"/>
      <c r="EQ100" s="36"/>
      <c r="ER100" s="36"/>
    </row>
    <row r="101" spans="2:148" ht="12.75" customHeight="1">
      <c r="B101" s="314" t="s">
        <v>172</v>
      </c>
      <c r="C101" s="16"/>
      <c r="D101" s="308"/>
      <c r="E101" s="308"/>
      <c r="F101" s="308"/>
      <c r="G101" s="308"/>
      <c r="H101" s="17">
        <f t="shared" ref="H101:AM101" si="124">H3/C3-1</f>
        <v>1.2196104100120437</v>
      </c>
      <c r="I101" s="315">
        <f t="shared" si="124"/>
        <v>1.2056540000848526</v>
      </c>
      <c r="J101" s="315">
        <f t="shared" si="124"/>
        <v>1.459461764831322</v>
      </c>
      <c r="K101" s="315">
        <f t="shared" si="124"/>
        <v>0.61458723305130603</v>
      </c>
      <c r="L101" s="315">
        <f t="shared" si="124"/>
        <v>0.83672824204800955</v>
      </c>
      <c r="M101" s="17">
        <f t="shared" si="124"/>
        <v>0.97306542669016416</v>
      </c>
      <c r="N101" s="309">
        <f t="shared" si="124"/>
        <v>0.77339001307994137</v>
      </c>
      <c r="O101" s="309">
        <f t="shared" si="124"/>
        <v>0.29767457991572299</v>
      </c>
      <c r="P101" s="309">
        <f t="shared" si="124"/>
        <v>0.6010665979647043</v>
      </c>
      <c r="Q101" s="309">
        <f t="shared" si="124"/>
        <v>0.390976943599052</v>
      </c>
      <c r="R101" s="17">
        <f t="shared" si="124"/>
        <v>0.48530922195611592</v>
      </c>
      <c r="S101" s="309">
        <f t="shared" si="124"/>
        <v>0.44697290163964065</v>
      </c>
      <c r="T101" s="309">
        <f t="shared" si="124"/>
        <v>0.49819598305560375</v>
      </c>
      <c r="U101" s="309">
        <f t="shared" si="124"/>
        <v>0.50358353152445701</v>
      </c>
      <c r="V101" s="309">
        <f t="shared" si="124"/>
        <v>0.38766132048675273</v>
      </c>
      <c r="W101" s="17">
        <f t="shared" si="124"/>
        <v>0.45649862142526487</v>
      </c>
      <c r="X101" s="309">
        <f t="shared" si="124"/>
        <v>0.39764524213477426</v>
      </c>
      <c r="Y101" s="309">
        <f t="shared" si="124"/>
        <v>0.3171601353972946</v>
      </c>
      <c r="Z101" s="309">
        <f t="shared" si="124"/>
        <v>0.43419148808657448</v>
      </c>
      <c r="AA101" s="309">
        <f t="shared" si="124"/>
        <v>0.55632050195976657</v>
      </c>
      <c r="AB101" s="17">
        <f t="shared" si="124"/>
        <v>0.43040647234094553</v>
      </c>
      <c r="AC101" s="309">
        <f t="shared" si="124"/>
        <v>0.50147044889363235</v>
      </c>
      <c r="AD101" s="309">
        <f t="shared" si="124"/>
        <v>0.53220211582705734</v>
      </c>
      <c r="AE101" s="309">
        <f t="shared" si="124"/>
        <v>0.43558935020744438</v>
      </c>
      <c r="AF101" s="309">
        <f t="shared" si="124"/>
        <v>0.33556487644040045</v>
      </c>
      <c r="AG101" s="17">
        <f t="shared" si="124"/>
        <v>0.4421995391867104</v>
      </c>
      <c r="AH101" s="309">
        <f t="shared" si="124"/>
        <v>0.35893705081371485</v>
      </c>
      <c r="AI101" s="309">
        <f t="shared" si="124"/>
        <v>0.34490386251488814</v>
      </c>
      <c r="AJ101" s="309">
        <f t="shared" si="124"/>
        <v>0.39147402464417924</v>
      </c>
      <c r="AK101" s="309">
        <f t="shared" si="124"/>
        <v>0.35310675796762681</v>
      </c>
      <c r="AL101" s="17">
        <f t="shared" si="124"/>
        <v>0.36231761358460624</v>
      </c>
      <c r="AM101" s="309">
        <f t="shared" si="124"/>
        <v>0.26835397343043854</v>
      </c>
      <c r="AN101" s="309">
        <f t="shared" ref="AN101:BS101" si="125">AN3/AI3-1</f>
        <v>0.28849604343025392</v>
      </c>
      <c r="AO101" s="309">
        <f t="shared" si="125"/>
        <v>0.23194063213951166</v>
      </c>
      <c r="AP101" s="309">
        <f t="shared" si="125"/>
        <v>0.30021213859337159</v>
      </c>
      <c r="AQ101" s="17">
        <f t="shared" si="125"/>
        <v>0.27228525982163299</v>
      </c>
      <c r="AR101" s="309">
        <f t="shared" si="125"/>
        <v>0.23520841680597937</v>
      </c>
      <c r="AS101" s="309">
        <f t="shared" si="125"/>
        <v>0.15154701226362532</v>
      </c>
      <c r="AT101" s="309">
        <f t="shared" si="125"/>
        <v>0.13135834513373568</v>
      </c>
      <c r="AU101" s="309">
        <f t="shared" si="125"/>
        <v>6.9740711306485403E-2</v>
      </c>
      <c r="AV101" s="17">
        <f t="shared" si="125"/>
        <v>0.14230418046063953</v>
      </c>
      <c r="AW101" s="309">
        <f t="shared" si="125"/>
        <v>4.2232851974455254E-2</v>
      </c>
      <c r="AX101" s="309">
        <f t="shared" si="125"/>
        <v>0.12930183421268726</v>
      </c>
      <c r="AY101" s="309">
        <f t="shared" si="125"/>
        <v>0.10736728240704263</v>
      </c>
      <c r="AZ101" s="309">
        <f t="shared" si="125"/>
        <v>0.10521811299953687</v>
      </c>
      <c r="BA101" s="17">
        <f t="shared" si="125"/>
        <v>9.6406713955399459E-2</v>
      </c>
      <c r="BB101" s="309">
        <f t="shared" si="125"/>
        <v>0.18500111076649328</v>
      </c>
      <c r="BC101" s="309">
        <f t="shared" si="125"/>
        <v>0.13809259517118111</v>
      </c>
      <c r="BD101" s="309">
        <f t="shared" si="125"/>
        <v>0.1498795416337706</v>
      </c>
      <c r="BE101" s="309">
        <f t="shared" si="125"/>
        <v>0.19570400134249955</v>
      </c>
      <c r="BF101" s="17">
        <f t="shared" si="125"/>
        <v>0.15995489708614508</v>
      </c>
      <c r="BG101" s="309">
        <f t="shared" si="125"/>
        <v>8.3875595356154076E-2</v>
      </c>
      <c r="BH101" s="309">
        <f t="shared" si="125"/>
        <v>0.1447696059002952</v>
      </c>
      <c r="BI101" s="309">
        <f t="shared" si="125"/>
        <v>0.140671668022879</v>
      </c>
      <c r="BJ101" s="309">
        <f t="shared" si="125"/>
        <v>0.1930167207927127</v>
      </c>
      <c r="BK101" s="17">
        <f t="shared" si="125"/>
        <v>0.14952857255794627</v>
      </c>
      <c r="BL101" s="309">
        <f t="shared" si="125"/>
        <v>1.0350263706734051</v>
      </c>
      <c r="BM101" s="309">
        <f t="shared" si="125"/>
        <v>1.4133418131664461</v>
      </c>
      <c r="BN101" s="309">
        <f t="shared" si="125"/>
        <v>1.202572801757273</v>
      </c>
      <c r="BO101" s="309">
        <f t="shared" si="125"/>
        <v>1.3731256042963151</v>
      </c>
      <c r="BP101" s="17">
        <f t="shared" si="125"/>
        <v>1.2653720641286559</v>
      </c>
      <c r="BQ101" s="309">
        <f t="shared" si="125"/>
        <v>0.5202298349365031</v>
      </c>
      <c r="BR101" s="309">
        <f t="shared" si="125"/>
        <v>0.26712612333475261</v>
      </c>
      <c r="BS101" s="309">
        <f t="shared" si="125"/>
        <v>0.37578985182822033</v>
      </c>
      <c r="BT101" s="309">
        <f t="shared" ref="BT101:CE101" si="126">BT3/BO3-1</f>
        <v>0.16437952300338377</v>
      </c>
      <c r="BU101" s="17">
        <f t="shared" si="126"/>
        <v>0.31365883050852483</v>
      </c>
      <c r="BV101" s="309">
        <f t="shared" si="126"/>
        <v>3.7272113436866983E-2</v>
      </c>
      <c r="BW101" s="309">
        <f t="shared" si="126"/>
        <v>-5.8454344080728471E-2</v>
      </c>
      <c r="BX101" s="309">
        <f t="shared" si="126"/>
        <v>-9.8161003531847535E-2</v>
      </c>
      <c r="BY101" s="309">
        <f t="shared" si="126"/>
        <v>-0.14187180401950295</v>
      </c>
      <c r="BZ101" s="17">
        <f t="shared" si="126"/>
        <v>-6.8364903113433462E-2</v>
      </c>
      <c r="CA101" s="309">
        <f t="shared" si="126"/>
        <v>-0.16976956125504494</v>
      </c>
      <c r="CB101" s="309">
        <f t="shared" si="126"/>
        <v>-7.9074630767219989E-2</v>
      </c>
      <c r="CC101" s="309">
        <f t="shared" si="126"/>
        <v>-0.13544902093180289</v>
      </c>
      <c r="CD101" s="309">
        <f t="shared" si="126"/>
        <v>-0.19110310421286036</v>
      </c>
      <c r="CE101" s="17">
        <f t="shared" si="126"/>
        <v>-0.14325777050712785</v>
      </c>
      <c r="CF101" s="309">
        <f t="shared" ref="CF101" si="127">CF3/CA3-1</f>
        <v>-0.21280252309141956</v>
      </c>
      <c r="CG101" s="309">
        <f t="shared" ref="CG101" si="128">CG3/CB3-1</f>
        <v>-0.26768263169834738</v>
      </c>
      <c r="CH101" s="309">
        <f t="shared" ref="CH101" si="129">CH3/CC3-1</f>
        <v>-0.18982566976105919</v>
      </c>
      <c r="CI101" s="309">
        <f t="shared" ref="CI101" si="130">CI3/CD3-1</f>
        <v>-9.3955716442370552E-2</v>
      </c>
      <c r="CJ101" s="17">
        <f>CJ3/CE3-1</f>
        <v>-0.19510626480340409</v>
      </c>
      <c r="CK101" s="309"/>
      <c r="CL101" s="309"/>
      <c r="CM101" s="309"/>
      <c r="CN101" s="309"/>
      <c r="CO101" s="17">
        <f>CO3/CJ3-1</f>
        <v>1.5886764507607509E-2</v>
      </c>
      <c r="CP101" s="309"/>
      <c r="CQ101" s="309"/>
      <c r="CR101" s="309"/>
      <c r="CS101" s="309"/>
      <c r="CT101" s="17">
        <f>CT3/CO3-1</f>
        <v>6.4285046168008453E-2</v>
      </c>
      <c r="CU101" s="309"/>
      <c r="CV101" s="309"/>
      <c r="CW101" s="309"/>
      <c r="CX101" s="309"/>
      <c r="CY101" s="17">
        <f>CY3/CT3-1</f>
        <v>-5.5521193644443079E-2</v>
      </c>
      <c r="CZ101" s="309"/>
      <c r="DA101" s="309"/>
      <c r="DB101" s="309"/>
      <c r="DC101" s="309"/>
      <c r="DD101" s="17">
        <f>DD3/CY3-1</f>
        <v>3.3362679599566958E-2</v>
      </c>
      <c r="DE101" s="309"/>
      <c r="DF101" s="309"/>
      <c r="DG101" s="309"/>
      <c r="DH101" s="309"/>
      <c r="DI101" s="17">
        <f>DI3/DD3-1</f>
        <v>3.8481014227320198E-2</v>
      </c>
      <c r="DJ101" s="309"/>
      <c r="DK101" s="309"/>
      <c r="DL101" s="309"/>
      <c r="DM101" s="309"/>
      <c r="DN101" s="17">
        <f>DN3/DI3-1</f>
        <v>3.8537781817299166E-2</v>
      </c>
      <c r="DO101" s="309"/>
      <c r="DP101" s="309"/>
      <c r="DQ101" s="309"/>
      <c r="DR101" s="309"/>
      <c r="DS101" s="17">
        <f>DS3/DN3-1</f>
        <v>-0.22929358226166563</v>
      </c>
      <c r="DT101" s="309"/>
      <c r="DU101" s="309"/>
      <c r="DV101" s="309"/>
      <c r="DW101" s="309"/>
      <c r="DX101" s="17">
        <f>DX3/DS3-1</f>
        <v>-9.0453813587197729E-2</v>
      </c>
      <c r="DY101" s="309"/>
      <c r="DZ101" s="309"/>
      <c r="EA101" s="309"/>
      <c r="EB101" s="309"/>
      <c r="EC101" s="17">
        <f>EC3/DX3-1</f>
        <v>-9.5119306578363982E-3</v>
      </c>
      <c r="ED101" s="309"/>
      <c r="EE101" s="309"/>
      <c r="EF101" s="309"/>
      <c r="EG101" s="309"/>
      <c r="EH101" s="17">
        <f>EH3/EC3-1</f>
        <v>-4.1835977073430008E-3</v>
      </c>
      <c r="EI101" s="309"/>
      <c r="EJ101" s="309"/>
      <c r="EK101" s="309"/>
      <c r="EL101" s="309"/>
      <c r="EM101" s="17">
        <f>EM3/EH3-1</f>
        <v>-0.16393236450303839</v>
      </c>
      <c r="EN101" s="309"/>
      <c r="EO101" s="309"/>
      <c r="EP101" s="309"/>
      <c r="EQ101" s="309"/>
      <c r="ER101" s="17">
        <f>ER3/EM3-1</f>
        <v>-4.2830194300321867E-2</v>
      </c>
    </row>
    <row r="102" spans="2:148" ht="12.75" customHeight="1">
      <c r="B102" s="314" t="s">
        <v>117</v>
      </c>
      <c r="C102" s="16"/>
      <c r="D102" s="308"/>
      <c r="E102" s="308"/>
      <c r="F102" s="308"/>
      <c r="G102" s="308"/>
      <c r="H102" s="17">
        <f t="shared" ref="H102:AM102" si="131">H6/C6-1</f>
        <v>0.99680026008581124</v>
      </c>
      <c r="I102" s="315">
        <f t="shared" si="131"/>
        <v>1.1055014282799429</v>
      </c>
      <c r="J102" s="315">
        <f t="shared" si="131"/>
        <v>1.1841939229904082</v>
      </c>
      <c r="K102" s="315">
        <f t="shared" si="131"/>
        <v>0.49549199904466246</v>
      </c>
      <c r="L102" s="315">
        <f t="shared" si="131"/>
        <v>0.81702027898253382</v>
      </c>
      <c r="M102" s="17">
        <f t="shared" si="131"/>
        <v>0.85921720688103886</v>
      </c>
      <c r="N102" s="309">
        <f t="shared" si="131"/>
        <v>0.87230550255897743</v>
      </c>
      <c r="O102" s="309">
        <f t="shared" si="131"/>
        <v>0.33847699585548607</v>
      </c>
      <c r="P102" s="309">
        <f t="shared" si="131"/>
        <v>0.62790709280737822</v>
      </c>
      <c r="Q102" s="309">
        <f t="shared" si="131"/>
        <v>0.40251293085455586</v>
      </c>
      <c r="R102" s="17">
        <f t="shared" si="131"/>
        <v>0.52630135597282512</v>
      </c>
      <c r="S102" s="309">
        <f t="shared" si="131"/>
        <v>0.39235330462884188</v>
      </c>
      <c r="T102" s="309">
        <f t="shared" si="131"/>
        <v>0.54906137206698302</v>
      </c>
      <c r="U102" s="309">
        <f t="shared" si="131"/>
        <v>0.51278561070796824</v>
      </c>
      <c r="V102" s="309">
        <f t="shared" si="131"/>
        <v>0.64850941323534994</v>
      </c>
      <c r="W102" s="17">
        <f t="shared" si="131"/>
        <v>0.53130477977868407</v>
      </c>
      <c r="X102" s="309">
        <f t="shared" si="131"/>
        <v>0.60979429107789285</v>
      </c>
      <c r="Y102" s="309">
        <f t="shared" si="131"/>
        <v>0.38369653662958902</v>
      </c>
      <c r="Z102" s="309">
        <f t="shared" si="131"/>
        <v>0.51734012090359505</v>
      </c>
      <c r="AA102" s="309">
        <f t="shared" si="131"/>
        <v>0.47564774663283327</v>
      </c>
      <c r="AB102" s="17">
        <f t="shared" si="131"/>
        <v>0.49180388483533832</v>
      </c>
      <c r="AC102" s="309">
        <f t="shared" si="131"/>
        <v>0.48374894281532965</v>
      </c>
      <c r="AD102" s="309">
        <f t="shared" si="131"/>
        <v>0.52938266632813025</v>
      </c>
      <c r="AE102" s="309">
        <f t="shared" si="131"/>
        <v>0.41412626396859786</v>
      </c>
      <c r="AF102" s="309">
        <f t="shared" si="131"/>
        <v>0.21732094115867451</v>
      </c>
      <c r="AG102" s="17">
        <f t="shared" si="131"/>
        <v>0.39769694065549088</v>
      </c>
      <c r="AH102" s="309">
        <f t="shared" si="131"/>
        <v>0.22381541101320268</v>
      </c>
      <c r="AI102" s="309">
        <f t="shared" si="131"/>
        <v>0.21948136083863079</v>
      </c>
      <c r="AJ102" s="309">
        <f t="shared" si="131"/>
        <v>0.29511155521848709</v>
      </c>
      <c r="AK102" s="309">
        <f t="shared" si="131"/>
        <v>0.30495583614373234</v>
      </c>
      <c r="AL102" s="17">
        <f t="shared" si="131"/>
        <v>0.26158676085190402</v>
      </c>
      <c r="AM102" s="309">
        <f t="shared" si="131"/>
        <v>0.21643489816810679</v>
      </c>
      <c r="AN102" s="309">
        <f t="shared" ref="AN102:BS102" si="132">AN6/AI6-1</f>
        <v>0.28872762836185828</v>
      </c>
      <c r="AO102" s="309">
        <f t="shared" si="132"/>
        <v>0.31366662096687192</v>
      </c>
      <c r="AP102" s="309">
        <f t="shared" si="132"/>
        <v>0.42303030727381619</v>
      </c>
      <c r="AQ102" s="17">
        <f t="shared" si="132"/>
        <v>0.31403888862859031</v>
      </c>
      <c r="AR102" s="309">
        <f t="shared" si="132"/>
        <v>0.36289285574271779</v>
      </c>
      <c r="AS102" s="309">
        <f t="shared" si="132"/>
        <v>0.17003196420494748</v>
      </c>
      <c r="AT102" s="309">
        <f t="shared" si="132"/>
        <v>7.5645515765889071E-2</v>
      </c>
      <c r="AU102" s="309">
        <f t="shared" si="132"/>
        <v>-1.6577616674842699E-2</v>
      </c>
      <c r="AV102" s="17">
        <f t="shared" si="132"/>
        <v>0.13378772775642123</v>
      </c>
      <c r="AW102" s="309">
        <f t="shared" si="132"/>
        <v>-7.6591686950134963E-2</v>
      </c>
      <c r="AX102" s="309">
        <f t="shared" si="132"/>
        <v>0.10898006666583648</v>
      </c>
      <c r="AY102" s="309">
        <f t="shared" si="132"/>
        <v>9.4962160466047774E-2</v>
      </c>
      <c r="AZ102" s="309">
        <f t="shared" si="132"/>
        <v>0.10091174856293139</v>
      </c>
      <c r="BA102" s="17">
        <f t="shared" si="132"/>
        <v>5.4842365858138065E-2</v>
      </c>
      <c r="BB102" s="309">
        <f t="shared" si="132"/>
        <v>0.18501433471055906</v>
      </c>
      <c r="BC102" s="309">
        <f t="shared" si="132"/>
        <v>0.1253632583507891</v>
      </c>
      <c r="BD102" s="309">
        <f t="shared" si="132"/>
        <v>0.15197911069634151</v>
      </c>
      <c r="BE102" s="309">
        <f t="shared" si="132"/>
        <v>0.19448113006038059</v>
      </c>
      <c r="BF102" s="17">
        <f t="shared" si="132"/>
        <v>0.15707471988465671</v>
      </c>
      <c r="BG102" s="309">
        <f t="shared" si="132"/>
        <v>0.10917483807962425</v>
      </c>
      <c r="BH102" s="309">
        <f t="shared" si="132"/>
        <v>0.15059459018969878</v>
      </c>
      <c r="BI102" s="309">
        <f t="shared" si="132"/>
        <v>0.1385888021314936</v>
      </c>
      <c r="BJ102" s="309">
        <f t="shared" si="132"/>
        <v>0.18700838181188684</v>
      </c>
      <c r="BK102" s="17">
        <f t="shared" si="132"/>
        <v>0.15451372051190404</v>
      </c>
      <c r="BL102" s="309">
        <f t="shared" si="132"/>
        <v>0.97459586393773212</v>
      </c>
      <c r="BM102" s="309">
        <f t="shared" si="132"/>
        <v>1.3614067964301437</v>
      </c>
      <c r="BN102" s="309">
        <f t="shared" si="132"/>
        <v>1.1711075831328781</v>
      </c>
      <c r="BO102" s="309">
        <f t="shared" si="132"/>
        <v>1.3443205190733405</v>
      </c>
      <c r="BP102" s="17">
        <f t="shared" si="132"/>
        <v>1.2219866225297364</v>
      </c>
      <c r="BQ102" s="309">
        <f t="shared" si="132"/>
        <v>0.51911719166962023</v>
      </c>
      <c r="BR102" s="309">
        <f t="shared" si="132"/>
        <v>0.26152592302641331</v>
      </c>
      <c r="BS102" s="309">
        <f t="shared" si="132"/>
        <v>0.37292794635799198</v>
      </c>
      <c r="BT102" s="309">
        <f t="shared" ref="BT102:CE102" si="133">BT6/BO6-1</f>
        <v>0.16299545229949475</v>
      </c>
      <c r="BU102" s="17">
        <f t="shared" si="133"/>
        <v>0.31132968761471425</v>
      </c>
      <c r="BV102" s="309">
        <f t="shared" si="133"/>
        <v>2.6336581511719803E-2</v>
      </c>
      <c r="BW102" s="309">
        <f t="shared" si="133"/>
        <v>-5.6768558951965087E-2</v>
      </c>
      <c r="BX102" s="309">
        <f t="shared" si="133"/>
        <v>-9.5840867992766698E-2</v>
      </c>
      <c r="BY102" s="309">
        <f t="shared" si="133"/>
        <v>-0.13943098988948976</v>
      </c>
      <c r="BZ102" s="17">
        <f t="shared" si="133"/>
        <v>-6.890529734366857E-2</v>
      </c>
      <c r="CA102" s="309">
        <f t="shared" si="133"/>
        <v>-0.16538362843212728</v>
      </c>
      <c r="CB102" s="309">
        <f t="shared" si="133"/>
        <v>-8.1661522633744821E-2</v>
      </c>
      <c r="CC102" s="309">
        <f t="shared" si="133"/>
        <v>-0.13173333333333337</v>
      </c>
      <c r="CD102" s="309">
        <f t="shared" si="133"/>
        <v>-0.18729508196721312</v>
      </c>
      <c r="CE102" s="17">
        <f t="shared" si="133"/>
        <v>-0.14093451793353073</v>
      </c>
      <c r="CF102" s="309">
        <f t="shared" ref="CF102" si="134">CF6/CA6-1</f>
        <v>-0.21283408869300457</v>
      </c>
      <c r="CG102" s="309">
        <f t="shared" ref="CG102" si="135">CG6/CB6-1</f>
        <v>-0.26737839872337754</v>
      </c>
      <c r="CH102" s="309">
        <f t="shared" ref="CH102" si="136">CH6/CC6-1</f>
        <v>-0.18728787640017075</v>
      </c>
      <c r="CI102" s="309">
        <f t="shared" ref="CI102" si="137">CI6/CD6-1</f>
        <v>-9.3202623272742424E-2</v>
      </c>
      <c r="CJ102" s="17">
        <f>CJ6/CE6-1</f>
        <v>-0.19412096178033056</v>
      </c>
      <c r="CK102" s="309"/>
      <c r="CL102" s="309"/>
      <c r="CM102" s="309"/>
      <c r="CN102" s="309"/>
      <c r="CO102" s="17">
        <f>CO6/CJ6-1</f>
        <v>1.435185240242709E-2</v>
      </c>
      <c r="CP102" s="309"/>
      <c r="CQ102" s="309"/>
      <c r="CR102" s="309"/>
      <c r="CS102" s="309"/>
      <c r="CT102" s="17">
        <f>CT6/CO6-1</f>
        <v>6.3616021787952892E-2</v>
      </c>
      <c r="CU102" s="309"/>
      <c r="CV102" s="309"/>
      <c r="CW102" s="309"/>
      <c r="CX102" s="309"/>
      <c r="CY102" s="17">
        <f>CY6/CT6-1</f>
        <v>-5.4229705977400289E-2</v>
      </c>
      <c r="CZ102" s="309"/>
      <c r="DA102" s="309"/>
      <c r="DB102" s="309"/>
      <c r="DC102" s="309"/>
      <c r="DD102" s="17">
        <f>DD6/CY6-1</f>
        <v>3.3209291208903924E-2</v>
      </c>
      <c r="DE102" s="309"/>
      <c r="DF102" s="309"/>
      <c r="DG102" s="309"/>
      <c r="DH102" s="309"/>
      <c r="DI102" s="17">
        <f>DI6/DD6-1</f>
        <v>3.8242004023196774E-2</v>
      </c>
      <c r="DJ102" s="309"/>
      <c r="DK102" s="309"/>
      <c r="DL102" s="309"/>
      <c r="DM102" s="309"/>
      <c r="DN102" s="17">
        <f>DN6/DI6-1</f>
        <v>3.8302711354258889E-2</v>
      </c>
      <c r="DO102" s="309"/>
      <c r="DP102" s="309"/>
      <c r="DQ102" s="309"/>
      <c r="DR102" s="309"/>
      <c r="DS102" s="17">
        <f>DS6/DN6-1</f>
        <v>-0.22499968487724842</v>
      </c>
      <c r="DT102" s="309"/>
      <c r="DU102" s="309"/>
      <c r="DV102" s="309"/>
      <c r="DW102" s="309"/>
      <c r="DX102" s="17">
        <f>DX6/DS6-1</f>
        <v>-8.787458291497019E-2</v>
      </c>
      <c r="DY102" s="309"/>
      <c r="DZ102" s="309"/>
      <c r="EA102" s="309"/>
      <c r="EB102" s="309"/>
      <c r="EC102" s="17">
        <f>EC6/DX6-1</f>
        <v>-8.6429453552743229E-3</v>
      </c>
      <c r="ED102" s="309"/>
      <c r="EE102" s="309"/>
      <c r="EF102" s="309"/>
      <c r="EG102" s="309"/>
      <c r="EH102" s="17">
        <f>EH6/EC6-1</f>
        <v>-3.4208380354650014E-3</v>
      </c>
      <c r="EI102" s="309"/>
      <c r="EJ102" s="309"/>
      <c r="EK102" s="309"/>
      <c r="EL102" s="309"/>
      <c r="EM102" s="17">
        <f>EM6/EH6-1</f>
        <v>-0.15887933634710116</v>
      </c>
      <c r="EN102" s="309"/>
      <c r="EO102" s="309"/>
      <c r="EP102" s="309"/>
      <c r="EQ102" s="309"/>
      <c r="ER102" s="17">
        <f>ER6/EM6-1</f>
        <v>-4.0609661797258001E-2</v>
      </c>
    </row>
    <row r="103" spans="2:148" ht="12.75" customHeight="1">
      <c r="B103" s="314" t="s">
        <v>100</v>
      </c>
      <c r="C103" s="16"/>
      <c r="D103" s="308"/>
      <c r="E103" s="308"/>
      <c r="F103" s="308"/>
      <c r="G103" s="308"/>
      <c r="H103" s="17">
        <f t="shared" ref="H103:AM103" si="138">H9/C9-1</f>
        <v>0.59318161045608231</v>
      </c>
      <c r="I103" s="315">
        <f t="shared" si="138"/>
        <v>0.77478824115595413</v>
      </c>
      <c r="J103" s="315">
        <f t="shared" si="138"/>
        <v>0.81205553674229614</v>
      </c>
      <c r="K103" s="315">
        <f t="shared" si="138"/>
        <v>0.27062512247697446</v>
      </c>
      <c r="L103" s="315">
        <f t="shared" si="138"/>
        <v>0.66596767594108019</v>
      </c>
      <c r="M103" s="17">
        <f t="shared" si="138"/>
        <v>0.60614709425735769</v>
      </c>
      <c r="N103" s="309">
        <f t="shared" si="138"/>
        <v>0.63527044731424276</v>
      </c>
      <c r="O103" s="309">
        <f t="shared" si="138"/>
        <v>0.3110322058182271</v>
      </c>
      <c r="P103" s="309">
        <f t="shared" si="138"/>
        <v>0.57472239358420718</v>
      </c>
      <c r="Q103" s="309">
        <f t="shared" si="138"/>
        <v>0.49525680778558923</v>
      </c>
      <c r="R103" s="17">
        <f t="shared" si="138"/>
        <v>0.48756552099797301</v>
      </c>
      <c r="S103" s="309">
        <f t="shared" si="138"/>
        <v>0.64282239835188415</v>
      </c>
      <c r="T103" s="309">
        <f t="shared" si="138"/>
        <v>0.50311223035256103</v>
      </c>
      <c r="U103" s="309">
        <f t="shared" si="138"/>
        <v>0.6036922775574165</v>
      </c>
      <c r="V103" s="309">
        <f t="shared" si="138"/>
        <v>0.52230777127604977</v>
      </c>
      <c r="W103" s="17">
        <f t="shared" si="138"/>
        <v>0.5626935913751292</v>
      </c>
      <c r="X103" s="309">
        <f t="shared" si="138"/>
        <v>0.5182443612296439</v>
      </c>
      <c r="Y103" s="309">
        <f t="shared" si="138"/>
        <v>0.19105723181969059</v>
      </c>
      <c r="Z103" s="309">
        <f t="shared" si="138"/>
        <v>0.63771412867568467</v>
      </c>
      <c r="AA103" s="309">
        <f t="shared" si="138"/>
        <v>1.0588988994389297</v>
      </c>
      <c r="AB103" s="17">
        <f t="shared" si="138"/>
        <v>0.62276914330493272</v>
      </c>
      <c r="AC103" s="309">
        <f t="shared" si="138"/>
        <v>0.93997935069404615</v>
      </c>
      <c r="AD103" s="309">
        <f t="shared" si="138"/>
        <v>1.3945884257600492</v>
      </c>
      <c r="AE103" s="309">
        <f t="shared" si="138"/>
        <v>0.82089552238805985</v>
      </c>
      <c r="AF103" s="309">
        <f t="shared" si="138"/>
        <v>0.39312829583046738</v>
      </c>
      <c r="AG103" s="17">
        <f t="shared" si="138"/>
        <v>0.79322711143830404</v>
      </c>
      <c r="AH103" s="309">
        <f t="shared" si="138"/>
        <v>0.40829529058353242</v>
      </c>
      <c r="AI103" s="309">
        <f t="shared" si="138"/>
        <v>0.45656667534871342</v>
      </c>
      <c r="AJ103" s="309">
        <f t="shared" si="138"/>
        <v>0.52359181249424025</v>
      </c>
      <c r="AK103" s="309">
        <f t="shared" si="138"/>
        <v>0.49694829499501569</v>
      </c>
      <c r="AL103" s="17">
        <f t="shared" si="138"/>
        <v>0.47440884855989118</v>
      </c>
      <c r="AM103" s="309">
        <f t="shared" si="138"/>
        <v>0.36953399900904427</v>
      </c>
      <c r="AN103" s="309">
        <f t="shared" ref="AN103:BS103" si="139">AN9/AI9-1</f>
        <v>0.38678491530840531</v>
      </c>
      <c r="AO103" s="309">
        <f t="shared" si="139"/>
        <v>0.30290230551327135</v>
      </c>
      <c r="AP103" s="309">
        <f t="shared" si="139"/>
        <v>0.41834064701761875</v>
      </c>
      <c r="AQ103" s="17">
        <f t="shared" si="139"/>
        <v>0.36975148039185846</v>
      </c>
      <c r="AR103" s="309">
        <f t="shared" si="139"/>
        <v>0.28039919058130991</v>
      </c>
      <c r="AS103" s="309">
        <f t="shared" si="139"/>
        <v>0.19489323643267298</v>
      </c>
      <c r="AT103" s="309">
        <f t="shared" si="139"/>
        <v>0.18606408550235742</v>
      </c>
      <c r="AU103" s="309">
        <f t="shared" si="139"/>
        <v>6.2433974925420577E-2</v>
      </c>
      <c r="AV103" s="17">
        <f t="shared" si="139"/>
        <v>0.17179111091938015</v>
      </c>
      <c r="AW103" s="309">
        <f t="shared" si="139"/>
        <v>8.7269374902721353E-2</v>
      </c>
      <c r="AX103" s="309">
        <f t="shared" si="139"/>
        <v>0.17916585349053471</v>
      </c>
      <c r="AY103" s="309">
        <f t="shared" si="139"/>
        <v>0.11410274531122577</v>
      </c>
      <c r="AZ103" s="309">
        <f t="shared" si="139"/>
        <v>0.18062052346766055</v>
      </c>
      <c r="BA103" s="17">
        <f t="shared" si="139"/>
        <v>0.14145817401097416</v>
      </c>
      <c r="BB103" s="309">
        <f t="shared" si="139"/>
        <v>0.23991102497467298</v>
      </c>
      <c r="BC103" s="309">
        <f t="shared" si="139"/>
        <v>0.16710932145304969</v>
      </c>
      <c r="BD103" s="309">
        <f t="shared" si="139"/>
        <v>0.13119988757641288</v>
      </c>
      <c r="BE103" s="309">
        <f t="shared" si="139"/>
        <v>0.16355328300127847</v>
      </c>
      <c r="BF103" s="17">
        <f t="shared" si="139"/>
        <v>0.17328821881713186</v>
      </c>
      <c r="BG103" s="309">
        <f t="shared" si="139"/>
        <v>8.5878357495816848E-2</v>
      </c>
      <c r="BH103" s="309">
        <f t="shared" si="139"/>
        <v>0.1023991057575202</v>
      </c>
      <c r="BI103" s="309">
        <f t="shared" si="139"/>
        <v>0.13667593793998312</v>
      </c>
      <c r="BJ103" s="309">
        <f t="shared" si="139"/>
        <v>0.17978646563602041</v>
      </c>
      <c r="BK103" s="17">
        <f t="shared" si="139"/>
        <v>0.12804024730149144</v>
      </c>
      <c r="BL103" s="309">
        <f t="shared" si="139"/>
        <v>-1.6357429462487971E-5</v>
      </c>
      <c r="BM103" s="309">
        <f t="shared" si="139"/>
        <v>9.4052820434434414E-2</v>
      </c>
      <c r="BN103" s="309">
        <f t="shared" si="139"/>
        <v>0.18869548453886797</v>
      </c>
      <c r="BO103" s="309">
        <f t="shared" si="139"/>
        <v>8.9411486281389729E-2</v>
      </c>
      <c r="BP103" s="17">
        <f t="shared" si="139"/>
        <v>9.4507592190889333E-2</v>
      </c>
      <c r="BQ103" s="309">
        <f t="shared" si="139"/>
        <v>0.10250877999388197</v>
      </c>
      <c r="BR103" s="309">
        <f t="shared" si="139"/>
        <v>9.0032839314220015E-2</v>
      </c>
      <c r="BS103" s="309">
        <f t="shared" si="139"/>
        <v>9.310551788427901E-2</v>
      </c>
      <c r="BT103" s="309">
        <f t="shared" ref="BT103:CE103" si="140">BT9/BO9-1</f>
        <v>1.1806375442739103E-2</v>
      </c>
      <c r="BU103" s="17">
        <f t="shared" si="140"/>
        <v>7.1065806620502325E-2</v>
      </c>
      <c r="BV103" s="309">
        <f t="shared" si="140"/>
        <v>0.45845697329376844</v>
      </c>
      <c r="BW103" s="309">
        <f t="shared" si="140"/>
        <v>-0.17131979695431476</v>
      </c>
      <c r="BX103" s="309">
        <f t="shared" si="140"/>
        <v>7.2429906542056166E-2</v>
      </c>
      <c r="BY103" s="309">
        <f t="shared" si="140"/>
        <v>3.500583430571691E-3</v>
      </c>
      <c r="BZ103" s="17">
        <f t="shared" si="140"/>
        <v>7.5275590551181049E-2</v>
      </c>
      <c r="CA103" s="309">
        <f t="shared" si="140"/>
        <v>-0.24415055951169884</v>
      </c>
      <c r="CB103" s="309">
        <f t="shared" si="140"/>
        <v>0.36600306278713624</v>
      </c>
      <c r="CC103" s="309">
        <f t="shared" si="140"/>
        <v>-0.10566448801742923</v>
      </c>
      <c r="CD103" s="309">
        <f t="shared" si="140"/>
        <v>0.12325581395348828</v>
      </c>
      <c r="CE103" s="17">
        <f t="shared" si="140"/>
        <v>2.3432923257176164E-3</v>
      </c>
      <c r="CF103" s="309">
        <f t="shared" ref="CF103" si="141">CF9/CA9-1</f>
        <v>-7.9218168632220087E-2</v>
      </c>
      <c r="CG103" s="309">
        <f t="shared" ref="CG103" si="142">CG9/CB9-1</f>
        <v>-0.18019483426292549</v>
      </c>
      <c r="CH103" s="309">
        <f t="shared" ref="CH103" si="143">CH9/CC9-1</f>
        <v>-9.4355291623022142E-2</v>
      </c>
      <c r="CI103" s="309">
        <f t="shared" ref="CI103" si="144">CI9/CD9-1</f>
        <v>-0.19750599107540578</v>
      </c>
      <c r="CJ103" s="17">
        <f>CJ9/CE9-1</f>
        <v>-0.14256264560421172</v>
      </c>
      <c r="CK103" s="309"/>
      <c r="CL103" s="309"/>
      <c r="CM103" s="309"/>
      <c r="CN103" s="309"/>
      <c r="CO103" s="17">
        <f>CO9/CJ9-1</f>
        <v>2.593777978306977E-2</v>
      </c>
      <c r="CP103" s="309"/>
      <c r="CQ103" s="309"/>
      <c r="CR103" s="309"/>
      <c r="CS103" s="309"/>
      <c r="CT103" s="17">
        <f>CT9/CO9-1</f>
        <v>7.9011457397192286E-2</v>
      </c>
      <c r="CU103" s="309"/>
      <c r="CV103" s="309"/>
      <c r="CW103" s="309"/>
      <c r="CX103" s="309"/>
      <c r="CY103" s="17">
        <f>CY9/CT9-1</f>
        <v>-4.0041841096188469E-2</v>
      </c>
      <c r="CZ103" s="309"/>
      <c r="DA103" s="309"/>
      <c r="DB103" s="309"/>
      <c r="DC103" s="309"/>
      <c r="DD103" s="17">
        <f>DD9/CY9-1</f>
        <v>7.4829694183575768E-3</v>
      </c>
      <c r="DE103" s="309"/>
      <c r="DF103" s="309"/>
      <c r="DG103" s="309"/>
      <c r="DH103" s="309"/>
      <c r="DI103" s="17">
        <f>DI9/DD9-1</f>
        <v>3.575531828715528E-2</v>
      </c>
      <c r="DJ103" s="309"/>
      <c r="DK103" s="309"/>
      <c r="DL103" s="309"/>
      <c r="DM103" s="309"/>
      <c r="DN103" s="17">
        <f>DN9/DI9-1</f>
        <v>3.4088411130887453E-2</v>
      </c>
      <c r="DO103" s="309"/>
      <c r="DP103" s="309"/>
      <c r="DQ103" s="309"/>
      <c r="DR103" s="309"/>
      <c r="DS103" s="17">
        <f>DS9/DN9-1</f>
        <v>-0.26304468324617014</v>
      </c>
      <c r="DT103" s="309"/>
      <c r="DU103" s="309"/>
      <c r="DV103" s="309"/>
      <c r="DW103" s="309"/>
      <c r="DX103" s="17">
        <f>DX9/DS9-1</f>
        <v>-0.10109350955916085</v>
      </c>
      <c r="DY103" s="309"/>
      <c r="DZ103" s="309"/>
      <c r="EA103" s="309"/>
      <c r="EB103" s="309"/>
      <c r="EC103" s="17">
        <f>EC9/DX9-1</f>
        <v>-6.3632783089138112E-3</v>
      </c>
      <c r="ED103" s="309"/>
      <c r="EE103" s="309"/>
      <c r="EF103" s="309"/>
      <c r="EG103" s="309"/>
      <c r="EH103" s="17">
        <f>EH9/EC9-1</f>
        <v>-1.7249508749576092E-3</v>
      </c>
      <c r="EI103" s="309"/>
      <c r="EJ103" s="309"/>
      <c r="EK103" s="309"/>
      <c r="EL103" s="309"/>
      <c r="EM103" s="17">
        <f>EM9/EH9-1</f>
        <v>-0.17362481252008322</v>
      </c>
      <c r="EN103" s="309"/>
      <c r="EO103" s="309"/>
      <c r="EP103" s="309"/>
      <c r="EQ103" s="309"/>
      <c r="ER103" s="17">
        <f>ER9/EM9-1</f>
        <v>-4.1296823280710937E-3</v>
      </c>
    </row>
    <row r="104" spans="2:148" ht="12.75" customHeight="1">
      <c r="B104" s="314" t="s">
        <v>102</v>
      </c>
      <c r="C104" s="16"/>
      <c r="D104" s="308"/>
      <c r="E104" s="308"/>
      <c r="F104" s="308"/>
      <c r="G104" s="308"/>
      <c r="H104" s="17">
        <f t="shared" ref="H104:AM104" si="145">H12/C12-1</f>
        <v>-0.27374927918168945</v>
      </c>
      <c r="I104" s="315">
        <f t="shared" si="145"/>
        <v>0.22608332836621559</v>
      </c>
      <c r="J104" s="315">
        <f t="shared" si="145"/>
        <v>0.40410359469709234</v>
      </c>
      <c r="K104" s="315">
        <f t="shared" si="145"/>
        <v>0.3931178900899881</v>
      </c>
      <c r="L104" s="315">
        <f t="shared" si="145"/>
        <v>0.6822219048979008</v>
      </c>
      <c r="M104" s="17">
        <f t="shared" si="145"/>
        <v>0.4291619050445985</v>
      </c>
      <c r="N104" s="309">
        <f t="shared" si="145"/>
        <v>0.42306757413709284</v>
      </c>
      <c r="O104" s="309">
        <f t="shared" si="145"/>
        <v>5.3672838081167296E-2</v>
      </c>
      <c r="P104" s="309">
        <f t="shared" si="145"/>
        <v>-5.2813325208200812E-4</v>
      </c>
      <c r="Q104" s="309">
        <f t="shared" si="145"/>
        <v>0.19111080929664026</v>
      </c>
      <c r="R104" s="17">
        <f t="shared" si="145"/>
        <v>0.16076036782611869</v>
      </c>
      <c r="S104" s="309">
        <f t="shared" si="145"/>
        <v>0.2030745580322828</v>
      </c>
      <c r="T104" s="309">
        <f t="shared" si="145"/>
        <v>0.30791139933834333</v>
      </c>
      <c r="U104" s="309">
        <f t="shared" si="145"/>
        <v>0.60210551987643268</v>
      </c>
      <c r="V104" s="309">
        <f t="shared" si="145"/>
        <v>-1.9911630558722804E-2</v>
      </c>
      <c r="W104" s="17">
        <f t="shared" si="145"/>
        <v>0.24232393358144888</v>
      </c>
      <c r="X104" s="309">
        <f t="shared" si="145"/>
        <v>8.5427492404236638E-2</v>
      </c>
      <c r="Y104" s="309">
        <f t="shared" si="145"/>
        <v>0.30063487277417633</v>
      </c>
      <c r="Z104" s="309">
        <f t="shared" si="145"/>
        <v>1.532411518457466E-2</v>
      </c>
      <c r="AA104" s="309">
        <f t="shared" si="145"/>
        <v>0.41885897939298733</v>
      </c>
      <c r="AB104" s="17">
        <f t="shared" si="145"/>
        <v>0.19434402500324066</v>
      </c>
      <c r="AC104" s="309">
        <f t="shared" si="145"/>
        <v>0.4255143817608662</v>
      </c>
      <c r="AD104" s="309">
        <f t="shared" si="145"/>
        <v>0.53611354386687959</v>
      </c>
      <c r="AE104" s="309">
        <f t="shared" si="145"/>
        <v>0.52423848671880835</v>
      </c>
      <c r="AF104" s="309">
        <f t="shared" si="145"/>
        <v>0.72905242658740321</v>
      </c>
      <c r="AG104" s="17">
        <f t="shared" si="145"/>
        <v>0.56450747366580423</v>
      </c>
      <c r="AH104" s="309">
        <f t="shared" si="145"/>
        <v>0.2699895395569909</v>
      </c>
      <c r="AI104" s="309">
        <f t="shared" si="145"/>
        <v>0.35132053324390022</v>
      </c>
      <c r="AJ104" s="309">
        <f t="shared" si="145"/>
        <v>0.39660811331426182</v>
      </c>
      <c r="AK104" s="309">
        <f t="shared" si="145"/>
        <v>9.8343163697797831E-2</v>
      </c>
      <c r="AL104" s="17">
        <f t="shared" si="145"/>
        <v>0.26265069063328617</v>
      </c>
      <c r="AM104" s="309">
        <f t="shared" si="145"/>
        <v>0.241449070127018</v>
      </c>
      <c r="AN104" s="309">
        <f t="shared" ref="AN104:BS104" si="146">AN12/AI12-1</f>
        <v>0.27854714218350596</v>
      </c>
      <c r="AO104" s="309">
        <f t="shared" si="146"/>
        <v>0.42127689544670233</v>
      </c>
      <c r="AP104" s="309">
        <f t="shared" si="146"/>
        <v>0.1401732466200718</v>
      </c>
      <c r="AQ104" s="17">
        <f t="shared" si="146"/>
        <v>0.26869644178894925</v>
      </c>
      <c r="AR104" s="309">
        <f t="shared" si="146"/>
        <v>0.14358296861905195</v>
      </c>
      <c r="AS104" s="309">
        <f t="shared" si="146"/>
        <v>6.5464462842002025E-3</v>
      </c>
      <c r="AT104" s="309">
        <f t="shared" si="146"/>
        <v>-0.1609720845721837</v>
      </c>
      <c r="AU104" s="309">
        <f t="shared" si="146"/>
        <v>9.7028737509289531E-2</v>
      </c>
      <c r="AV104" s="17">
        <f t="shared" si="146"/>
        <v>9.066445970020709E-3</v>
      </c>
      <c r="AW104" s="309">
        <f t="shared" si="146"/>
        <v>0.20864653044606718</v>
      </c>
      <c r="AX104" s="309">
        <f t="shared" si="146"/>
        <v>0.26622471855940977</v>
      </c>
      <c r="AY104" s="309">
        <f t="shared" si="146"/>
        <v>0.32521077473557791</v>
      </c>
      <c r="AZ104" s="309">
        <f t="shared" si="146"/>
        <v>0.50711311514314694</v>
      </c>
      <c r="BA104" s="17">
        <f t="shared" si="146"/>
        <v>0.33357692252671534</v>
      </c>
      <c r="BB104" s="309">
        <f t="shared" si="146"/>
        <v>0.39514848858703222</v>
      </c>
      <c r="BC104" s="309">
        <f t="shared" si="146"/>
        <v>0.41412764531629542</v>
      </c>
      <c r="BD104" s="309">
        <f t="shared" si="146"/>
        <v>0.42449722382128474</v>
      </c>
      <c r="BE104" s="309">
        <f t="shared" si="146"/>
        <v>0.17192461084341826</v>
      </c>
      <c r="BF104" s="17">
        <f t="shared" si="146"/>
        <v>0.33697100914216338</v>
      </c>
      <c r="BG104" s="309">
        <f t="shared" si="146"/>
        <v>0.38823799262384617</v>
      </c>
      <c r="BH104" s="309">
        <f t="shared" si="146"/>
        <v>0.31333771318100823</v>
      </c>
      <c r="BI104" s="309">
        <f t="shared" si="146"/>
        <v>0.27370923966179395</v>
      </c>
      <c r="BJ104" s="309">
        <f t="shared" si="146"/>
        <v>0.24931901077612006</v>
      </c>
      <c r="BK104" s="17">
        <f t="shared" si="146"/>
        <v>0.30224722857410313</v>
      </c>
      <c r="BL104" s="309">
        <f t="shared" si="146"/>
        <v>0.21268283562620649</v>
      </c>
      <c r="BM104" s="309">
        <f t="shared" si="146"/>
        <v>0.1111238675526014</v>
      </c>
      <c r="BN104" s="309">
        <f t="shared" si="146"/>
        <v>0.20016989570859822</v>
      </c>
      <c r="BO104" s="309">
        <f t="shared" si="146"/>
        <v>0.75797100032265341</v>
      </c>
      <c r="BP104" s="17">
        <f t="shared" si="146"/>
        <v>0.32728233317091693</v>
      </c>
      <c r="BQ104" s="309">
        <f t="shared" si="146"/>
        <v>0.16707451528760053</v>
      </c>
      <c r="BR104" s="309">
        <f t="shared" si="146"/>
        <v>0.29526508651706562</v>
      </c>
      <c r="BS104" s="309">
        <f t="shared" si="146"/>
        <v>0.21604911951562689</v>
      </c>
      <c r="BT104" s="309">
        <f t="shared" ref="BT104:CE104" si="147">BT12/BO12-1</f>
        <v>-0.13348164627363734</v>
      </c>
      <c r="BU104" s="17">
        <f t="shared" si="147"/>
        <v>0.10053599390972257</v>
      </c>
      <c r="BV104" s="309">
        <f t="shared" si="147"/>
        <v>0.18125960061443935</v>
      </c>
      <c r="BW104" s="309">
        <f t="shared" si="147"/>
        <v>0.4814814814814814</v>
      </c>
      <c r="BX104" s="309">
        <f t="shared" si="147"/>
        <v>0.3758765778401123</v>
      </c>
      <c r="BY104" s="309">
        <f t="shared" si="147"/>
        <v>0.23106546854942223</v>
      </c>
      <c r="BZ104" s="17">
        <f t="shared" si="147"/>
        <v>0.31775043936731118</v>
      </c>
      <c r="CA104" s="309">
        <f t="shared" si="147"/>
        <v>0.15604681404421328</v>
      </c>
      <c r="CB104" s="309">
        <f t="shared" si="147"/>
        <v>-0.21923076923076923</v>
      </c>
      <c r="CC104" s="309">
        <f t="shared" si="147"/>
        <v>-0.24057084607543322</v>
      </c>
      <c r="CD104" s="309">
        <f t="shared" si="147"/>
        <v>-0.11887382690302395</v>
      </c>
      <c r="CE104" s="17">
        <f t="shared" si="147"/>
        <v>-0.12216591090957585</v>
      </c>
      <c r="CF104" s="309">
        <f t="shared" ref="CF104" si="148">CF12/CA12-1</f>
        <v>7.0000000000000062E-2</v>
      </c>
      <c r="CG104" s="309">
        <f t="shared" ref="CG104" si="149">CG12/CB12-1</f>
        <v>-1.4778325123152691E-2</v>
      </c>
      <c r="CH104" s="309">
        <f t="shared" ref="CH104" si="150">CH12/CC12-1</f>
        <v>7.0000000000000062E-2</v>
      </c>
      <c r="CI104" s="309">
        <f t="shared" ref="CI104" si="151">CI12/CD12-1</f>
        <v>0.12617751479289918</v>
      </c>
      <c r="CJ104" s="17">
        <f>CJ12/CE12-1</f>
        <v>6.3506532968702567E-2</v>
      </c>
      <c r="CK104" s="309"/>
      <c r="CL104" s="309"/>
      <c r="CM104" s="309"/>
      <c r="CN104" s="309"/>
      <c r="CO104" s="17">
        <f>CO12/CJ12-1</f>
        <v>0</v>
      </c>
      <c r="CP104" s="309"/>
      <c r="CQ104" s="309"/>
      <c r="CR104" s="309"/>
      <c r="CS104" s="309"/>
      <c r="CT104" s="17">
        <f>CT12/CO12-1</f>
        <v>0</v>
      </c>
      <c r="CU104" s="309"/>
      <c r="CV104" s="309"/>
      <c r="CW104" s="309"/>
      <c r="CX104" s="309"/>
      <c r="CY104" s="17">
        <f>CY12/CT12-1</f>
        <v>2.4999999999999911E-2</v>
      </c>
      <c r="CZ104" s="309"/>
      <c r="DA104" s="309"/>
      <c r="DB104" s="309"/>
      <c r="DC104" s="309"/>
      <c r="DD104" s="17">
        <f>DD12/CY12-1</f>
        <v>2.4999999999999911E-2</v>
      </c>
      <c r="DE104" s="309"/>
      <c r="DF104" s="309"/>
      <c r="DG104" s="309"/>
      <c r="DH104" s="309"/>
      <c r="DI104" s="17">
        <f>DI12/DD12-1</f>
        <v>0</v>
      </c>
      <c r="DJ104" s="309"/>
      <c r="DK104" s="309"/>
      <c r="DL104" s="309"/>
      <c r="DM104" s="309"/>
      <c r="DN104" s="17">
        <f>DN12/DI12-1</f>
        <v>0</v>
      </c>
      <c r="DO104" s="309"/>
      <c r="DP104" s="309"/>
      <c r="DQ104" s="309"/>
      <c r="DR104" s="309"/>
      <c r="DS104" s="17">
        <f>DS12/DN12-1</f>
        <v>0</v>
      </c>
      <c r="DT104" s="309"/>
      <c r="DU104" s="309"/>
      <c r="DV104" s="309"/>
      <c r="DW104" s="309"/>
      <c r="DX104" s="17">
        <f>DX12/DS12-1</f>
        <v>0</v>
      </c>
      <c r="DY104" s="309"/>
      <c r="DZ104" s="309"/>
      <c r="EA104" s="309"/>
      <c r="EB104" s="309"/>
      <c r="EC104" s="17">
        <f>EC12/DX12-1</f>
        <v>0</v>
      </c>
      <c r="ED104" s="309"/>
      <c r="EE104" s="309"/>
      <c r="EF104" s="309"/>
      <c r="EG104" s="309"/>
      <c r="EH104" s="17">
        <f>EH12/EC12-1</f>
        <v>-0.25000000000000011</v>
      </c>
      <c r="EI104" s="309"/>
      <c r="EJ104" s="309"/>
      <c r="EK104" s="309"/>
      <c r="EL104" s="309"/>
      <c r="EM104" s="17">
        <f>EM12/EH12-1</f>
        <v>-0.75</v>
      </c>
      <c r="EN104" s="309"/>
      <c r="EO104" s="309"/>
      <c r="EP104" s="309"/>
      <c r="EQ104" s="309"/>
      <c r="ER104" s="17">
        <f>ER12/EM12-1</f>
        <v>-0.5</v>
      </c>
    </row>
    <row r="105" spans="2:148" ht="12.75" customHeight="1">
      <c r="B105" s="314" t="s">
        <v>103</v>
      </c>
      <c r="C105" s="16"/>
      <c r="D105" s="308"/>
      <c r="E105" s="308"/>
      <c r="F105" s="308"/>
      <c r="G105" s="308"/>
      <c r="H105" s="17">
        <f t="shared" ref="H105:AM105" si="152">H18/C18-1</f>
        <v>0.42598375032444302</v>
      </c>
      <c r="I105" s="315">
        <f t="shared" si="152"/>
        <v>0.19686643361919387</v>
      </c>
      <c r="J105" s="315">
        <f t="shared" si="152"/>
        <v>0.33831730769230761</v>
      </c>
      <c r="K105" s="315">
        <f t="shared" si="152"/>
        <v>0.40092634165938046</v>
      </c>
      <c r="L105" s="315">
        <f t="shared" si="152"/>
        <v>0.26934624529251483</v>
      </c>
      <c r="M105" s="17">
        <f t="shared" si="152"/>
        <v>0.29998731391442957</v>
      </c>
      <c r="N105" s="309">
        <f t="shared" si="152"/>
        <v>0.49629131558487938</v>
      </c>
      <c r="O105" s="309">
        <f t="shared" si="152"/>
        <v>0.32537629773323284</v>
      </c>
      <c r="P105" s="309">
        <f t="shared" si="152"/>
        <v>0.22077155339642052</v>
      </c>
      <c r="Q105" s="309">
        <f t="shared" si="152"/>
        <v>0.1679085601782857</v>
      </c>
      <c r="R105" s="17">
        <f t="shared" si="152"/>
        <v>0.28470993555066215</v>
      </c>
      <c r="S105" s="309">
        <f t="shared" si="152"/>
        <v>0.11063052942002538</v>
      </c>
      <c r="T105" s="309">
        <f t="shared" si="152"/>
        <v>0.28481209936440388</v>
      </c>
      <c r="U105" s="309">
        <f t="shared" si="152"/>
        <v>0.3938317834491718</v>
      </c>
      <c r="V105" s="309">
        <f t="shared" si="152"/>
        <v>0.24696214090047075</v>
      </c>
      <c r="W105" s="17">
        <f t="shared" si="152"/>
        <v>0.25922745647176915</v>
      </c>
      <c r="X105" s="309">
        <f t="shared" si="152"/>
        <v>0.61810894193809429</v>
      </c>
      <c r="Y105" s="309">
        <f t="shared" si="152"/>
        <v>0.37354569906650514</v>
      </c>
      <c r="Z105" s="309">
        <f t="shared" si="152"/>
        <v>0.15566107878223101</v>
      </c>
      <c r="AA105" s="309">
        <f t="shared" si="152"/>
        <v>0.20261364276460303</v>
      </c>
      <c r="AB105" s="17">
        <f t="shared" si="152"/>
        <v>0.31887779188216658</v>
      </c>
      <c r="AC105" s="309">
        <f t="shared" si="152"/>
        <v>3.8515936955451524E-2</v>
      </c>
      <c r="AD105" s="309">
        <f t="shared" si="152"/>
        <v>0.21115198242959909</v>
      </c>
      <c r="AE105" s="309">
        <f t="shared" si="152"/>
        <v>0.27294016727428705</v>
      </c>
      <c r="AF105" s="309">
        <f t="shared" si="152"/>
        <v>0.29142857142857159</v>
      </c>
      <c r="AG105" s="17">
        <f t="shared" si="152"/>
        <v>0.20199177913842048</v>
      </c>
      <c r="AH105" s="309">
        <f t="shared" si="152"/>
        <v>0.3348933800845737</v>
      </c>
      <c r="AI105" s="309">
        <f t="shared" si="152"/>
        <v>0.27366452144691356</v>
      </c>
      <c r="AJ105" s="309">
        <f t="shared" si="152"/>
        <v>0.13123260531157133</v>
      </c>
      <c r="AK105" s="309">
        <f t="shared" si="152"/>
        <v>5.579331689153233E-2</v>
      </c>
      <c r="AL105" s="17">
        <f t="shared" si="152"/>
        <v>0.19252963890662755</v>
      </c>
      <c r="AM105" s="309">
        <f t="shared" si="152"/>
        <v>3.2157150104278331E-2</v>
      </c>
      <c r="AN105" s="309">
        <f t="shared" ref="AN105:BS105" si="153">AN18/AI18-1</f>
        <v>6.1361237778530198E-2</v>
      </c>
      <c r="AO105" s="309">
        <f t="shared" si="153"/>
        <v>0.19341502499002194</v>
      </c>
      <c r="AP105" s="309">
        <f t="shared" si="153"/>
        <v>0.27919639074326419</v>
      </c>
      <c r="AQ105" s="17">
        <f t="shared" si="153"/>
        <v>0.13771078570784501</v>
      </c>
      <c r="AR105" s="309">
        <f t="shared" si="153"/>
        <v>0.25120825710618999</v>
      </c>
      <c r="AS105" s="309">
        <f t="shared" si="153"/>
        <v>4.8493916567386552E-2</v>
      </c>
      <c r="AT105" s="309">
        <f t="shared" si="153"/>
        <v>0.10131030523872497</v>
      </c>
      <c r="AU105" s="309">
        <f t="shared" si="153"/>
        <v>7.1065717214123802E-2</v>
      </c>
      <c r="AV105" s="17">
        <f t="shared" si="153"/>
        <v>0.11280986343998545</v>
      </c>
      <c r="AW105" s="309">
        <f t="shared" si="153"/>
        <v>0.14817886214346521</v>
      </c>
      <c r="AX105" s="309">
        <f t="shared" si="153"/>
        <v>0.23663667962476698</v>
      </c>
      <c r="AY105" s="309">
        <f t="shared" si="153"/>
        <v>0.20158545263358296</v>
      </c>
      <c r="AZ105" s="309">
        <f t="shared" si="153"/>
        <v>0.21136624809343707</v>
      </c>
      <c r="BA105" s="17">
        <f t="shared" si="153"/>
        <v>0.19932784858951225</v>
      </c>
      <c r="BB105" s="309">
        <f t="shared" si="153"/>
        <v>0.16982874954859062</v>
      </c>
      <c r="BC105" s="309">
        <f t="shared" si="153"/>
        <v>8.0639851829879428E-2</v>
      </c>
      <c r="BD105" s="309">
        <f t="shared" si="153"/>
        <v>8.335502268895234E-2</v>
      </c>
      <c r="BE105" s="309">
        <f t="shared" si="153"/>
        <v>0.1461850520549457</v>
      </c>
      <c r="BF105" s="17">
        <f t="shared" si="153"/>
        <v>0.12009443607428794</v>
      </c>
      <c r="BG105" s="309">
        <f t="shared" si="153"/>
        <v>8.2286728125274378E-2</v>
      </c>
      <c r="BH105" s="309">
        <f t="shared" si="153"/>
        <v>0.25978221209047558</v>
      </c>
      <c r="BI105" s="309">
        <f t="shared" si="153"/>
        <v>0.31209763061228002</v>
      </c>
      <c r="BJ105" s="309">
        <f t="shared" si="153"/>
        <v>0.4174464204560846</v>
      </c>
      <c r="BK105" s="17">
        <f t="shared" si="153"/>
        <v>0.27021387669869634</v>
      </c>
      <c r="BL105" s="309">
        <f t="shared" si="153"/>
        <v>0.50152823481372955</v>
      </c>
      <c r="BM105" s="309">
        <f t="shared" si="153"/>
        <v>0.5125579269588878</v>
      </c>
      <c r="BN105" s="309">
        <f t="shared" si="153"/>
        <v>1.3570975557330542</v>
      </c>
      <c r="BO105" s="309">
        <f t="shared" si="153"/>
        <v>0.69651672629600925</v>
      </c>
      <c r="BP105" s="17">
        <f t="shared" si="153"/>
        <v>0.77021280421472849</v>
      </c>
      <c r="BQ105" s="309">
        <f t="shared" si="153"/>
        <v>0.19974805290888908</v>
      </c>
      <c r="BR105" s="309">
        <f t="shared" si="153"/>
        <v>0.33689369850499817</v>
      </c>
      <c r="BS105" s="309">
        <f t="shared" si="153"/>
        <v>-4.3063278285079276E-2</v>
      </c>
      <c r="BT105" s="309">
        <f t="shared" ref="BT105:CE105" si="154">BT18/BO18-1</f>
        <v>0.26783479349186479</v>
      </c>
      <c r="BU105" s="17">
        <f t="shared" si="154"/>
        <v>0.1695626401643191</v>
      </c>
      <c r="BV105" s="309">
        <f t="shared" si="154"/>
        <v>6.3333333333333242E-2</v>
      </c>
      <c r="BW105" s="309">
        <f t="shared" si="154"/>
        <v>0.10118265440210239</v>
      </c>
      <c r="BX105" s="309">
        <f t="shared" si="154"/>
        <v>-8.2352941176470629E-2</v>
      </c>
      <c r="BY105" s="309">
        <f t="shared" si="154"/>
        <v>-7.4037512339585443E-2</v>
      </c>
      <c r="BZ105" s="17">
        <f t="shared" si="154"/>
        <v>-9.305210918114093E-3</v>
      </c>
      <c r="CA105" s="309">
        <f t="shared" si="154"/>
        <v>0.26489028213166144</v>
      </c>
      <c r="CB105" s="309">
        <f t="shared" si="154"/>
        <v>-1.3126491646778038E-2</v>
      </c>
      <c r="CC105" s="309">
        <f t="shared" si="154"/>
        <v>3.3333333333333437E-2</v>
      </c>
      <c r="CD105" s="309">
        <f t="shared" si="154"/>
        <v>-1.5991471215351827E-2</v>
      </c>
      <c r="CE105" s="17">
        <f t="shared" si="154"/>
        <v>5.2911709455228495E-2</v>
      </c>
      <c r="CF105" s="309">
        <f t="shared" ref="CF105" si="155">CF18/CA18-1</f>
        <v>4.0892193308550207E-2</v>
      </c>
      <c r="CG105" s="309">
        <f t="shared" ref="CG105" si="156">CG18/CB18-1</f>
        <v>1.5719467956469169E-2</v>
      </c>
      <c r="CH105" s="309">
        <f t="shared" ref="CH105" si="157">CH18/CC18-1</f>
        <v>-7.4441687344912744E-3</v>
      </c>
      <c r="CI105" s="309">
        <f t="shared" ref="CI105" si="158">CI18/CD18-1</f>
        <v>0.10509209100758388</v>
      </c>
      <c r="CJ105" s="17">
        <f>CJ18/CE18-1</f>
        <v>4.0737436812369854E-2</v>
      </c>
      <c r="CK105" s="309"/>
      <c r="CL105" s="309"/>
      <c r="CM105" s="309"/>
      <c r="CN105" s="309"/>
      <c r="CO105" s="17">
        <f>CO18/CJ18-1</f>
        <v>2.4999999999999911E-2</v>
      </c>
      <c r="CP105" s="309"/>
      <c r="CQ105" s="309"/>
      <c r="CR105" s="309"/>
      <c r="CS105" s="309"/>
      <c r="CT105" s="17">
        <f>CT18/CO18-1</f>
        <v>0</v>
      </c>
      <c r="CU105" s="309"/>
      <c r="CV105" s="309"/>
      <c r="CW105" s="309"/>
      <c r="CX105" s="309"/>
      <c r="CY105" s="17">
        <f>CY18/CT18-1</f>
        <v>0</v>
      </c>
      <c r="CZ105" s="309"/>
      <c r="DA105" s="309"/>
      <c r="DB105" s="309"/>
      <c r="DC105" s="309"/>
      <c r="DD105" s="17">
        <f>DD18/CY18-1</f>
        <v>-2.5000000000000022E-2</v>
      </c>
      <c r="DE105" s="309"/>
      <c r="DF105" s="309"/>
      <c r="DG105" s="309"/>
      <c r="DH105" s="309"/>
      <c r="DI105" s="17">
        <f>DI18/DD18-1</f>
        <v>-2.5000000000000022E-2</v>
      </c>
      <c r="DJ105" s="309"/>
      <c r="DK105" s="309"/>
      <c r="DL105" s="309"/>
      <c r="DM105" s="309"/>
      <c r="DN105" s="17">
        <f>DN18/DI18-1</f>
        <v>-2.5000000000000022E-2</v>
      </c>
      <c r="DO105" s="309"/>
      <c r="DP105" s="309"/>
      <c r="DQ105" s="309"/>
      <c r="DR105" s="309"/>
      <c r="DS105" s="17">
        <f>DS18/DN18-1</f>
        <v>2.4999999999999911E-2</v>
      </c>
      <c r="DT105" s="309"/>
      <c r="DU105" s="309"/>
      <c r="DV105" s="309"/>
      <c r="DW105" s="309"/>
      <c r="DX105" s="17">
        <f>DX18/DS18-1</f>
        <v>2.4999999999999911E-2</v>
      </c>
      <c r="DY105" s="309"/>
      <c r="DZ105" s="309"/>
      <c r="EA105" s="309"/>
      <c r="EB105" s="309"/>
      <c r="EC105" s="17">
        <f>EC18/DX18-1</f>
        <v>2.4999999999999911E-2</v>
      </c>
      <c r="ED105" s="309"/>
      <c r="EE105" s="309"/>
      <c r="EF105" s="309"/>
      <c r="EG105" s="309"/>
      <c r="EH105" s="17">
        <f>EH18/EC18-1</f>
        <v>2.4999999999999911E-2</v>
      </c>
      <c r="EI105" s="309"/>
      <c r="EJ105" s="309"/>
      <c r="EK105" s="309"/>
      <c r="EL105" s="309"/>
      <c r="EM105" s="17">
        <f>EM18/EH18-1</f>
        <v>-0.75</v>
      </c>
      <c r="EN105" s="309"/>
      <c r="EO105" s="309"/>
      <c r="EP105" s="309"/>
      <c r="EQ105" s="309"/>
      <c r="ER105" s="17">
        <f>ER18/EM18-1</f>
        <v>-0.5</v>
      </c>
    </row>
    <row r="106" spans="2:148" ht="12.75" customHeight="1">
      <c r="B106" s="314" t="s">
        <v>173</v>
      </c>
      <c r="C106" s="16"/>
      <c r="D106" s="308"/>
      <c r="E106" s="308"/>
      <c r="F106" s="308"/>
      <c r="G106" s="308"/>
      <c r="H106" s="40"/>
      <c r="I106" s="315"/>
      <c r="J106" s="315">
        <f t="shared" ref="J106:M107" si="159">J96/E96-1</f>
        <v>1.5706873326536814</v>
      </c>
      <c r="K106" s="315">
        <f t="shared" si="159"/>
        <v>0.22730587827136062</v>
      </c>
      <c r="L106" s="315">
        <f t="shared" si="159"/>
        <v>0.6574735001905212</v>
      </c>
      <c r="M106" s="17">
        <f t="shared" si="159"/>
        <v>1.175140110554695</v>
      </c>
      <c r="N106" s="309">
        <f t="shared" ref="N106:BK106" si="160">N96/I96-1</f>
        <v>0.40242991374807691</v>
      </c>
      <c r="O106" s="309">
        <f t="shared" si="160"/>
        <v>9.6690634713139545E-2</v>
      </c>
      <c r="P106" s="309">
        <f t="shared" si="160"/>
        <v>0.52604651269035463</v>
      </c>
      <c r="Q106" s="309">
        <f t="shared" si="160"/>
        <v>0.19170033275338083</v>
      </c>
      <c r="R106" s="17">
        <f t="shared" si="160"/>
        <v>0.26335032311098838</v>
      </c>
      <c r="S106" s="309">
        <f t="shared" si="160"/>
        <v>0.11134019112862337</v>
      </c>
      <c r="T106" s="309">
        <f t="shared" si="160"/>
        <v>0.1323749261963556</v>
      </c>
      <c r="U106" s="309">
        <f t="shared" si="160"/>
        <v>2.0226145724029365E-3</v>
      </c>
      <c r="V106" s="309">
        <f t="shared" si="160"/>
        <v>0.32053217512392163</v>
      </c>
      <c r="W106" s="17">
        <f t="shared" si="160"/>
        <v>0.14654670779991452</v>
      </c>
      <c r="X106" s="309">
        <f t="shared" si="160"/>
        <v>0.1154462000289016</v>
      </c>
      <c r="Y106" s="309">
        <f t="shared" si="160"/>
        <v>4.7162111563459952E-2</v>
      </c>
      <c r="Z106" s="309">
        <f t="shared" si="160"/>
        <v>0.18098484653636437</v>
      </c>
      <c r="AA106" s="309">
        <f t="shared" si="160"/>
        <v>-1.9315609407167256E-2</v>
      </c>
      <c r="AB106" s="17">
        <f t="shared" si="160"/>
        <v>6.9175830968932539E-2</v>
      </c>
      <c r="AC106" s="309">
        <f t="shared" si="160"/>
        <v>3.6379102885041537E-2</v>
      </c>
      <c r="AD106" s="309">
        <f t="shared" si="160"/>
        <v>-3.9487348649566489E-2</v>
      </c>
      <c r="AE106" s="309">
        <f t="shared" si="160"/>
        <v>-5.720640861618298E-2</v>
      </c>
      <c r="AF106" s="309">
        <f t="shared" si="160"/>
        <v>-0.1360731370083178</v>
      </c>
      <c r="AG106" s="17">
        <f t="shared" si="160"/>
        <v>-5.015563737173423E-2</v>
      </c>
      <c r="AH106" s="309">
        <f t="shared" si="160"/>
        <v>-6.752308710906596E-2</v>
      </c>
      <c r="AI106" s="309">
        <f t="shared" si="160"/>
        <v>-9.3089597193153795E-2</v>
      </c>
      <c r="AJ106" s="309">
        <f t="shared" si="160"/>
        <v>-4.2559820914873425E-2</v>
      </c>
      <c r="AK106" s="309">
        <f t="shared" si="160"/>
        <v>4.9314700546166712E-2</v>
      </c>
      <c r="AL106" s="17">
        <f t="shared" si="160"/>
        <v>-4.0513784666582286E-2</v>
      </c>
      <c r="AM106" s="309">
        <f t="shared" si="160"/>
        <v>-8.4410818457709702E-3</v>
      </c>
      <c r="AN106" s="309">
        <f t="shared" si="160"/>
        <v>2.5586841320749398E-2</v>
      </c>
      <c r="AO106" s="309">
        <f t="shared" si="160"/>
        <v>5.232115228313905E-3</v>
      </c>
      <c r="AP106" s="309">
        <f t="shared" si="160"/>
        <v>7.4052738537393026E-2</v>
      </c>
      <c r="AQ106" s="17">
        <f t="shared" si="160"/>
        <v>2.5320109577676053E-2</v>
      </c>
      <c r="AR106" s="309">
        <f t="shared" si="160"/>
        <v>7.3463061382570416E-2</v>
      </c>
      <c r="AS106" s="309">
        <f t="shared" si="160"/>
        <v>5.002911079389416E-2</v>
      </c>
      <c r="AT106" s="309">
        <f t="shared" si="160"/>
        <v>8.9457367201855043E-3</v>
      </c>
      <c r="AU106" s="309">
        <f t="shared" si="160"/>
        <v>-7.0316787043468998E-2</v>
      </c>
      <c r="AV106" s="17">
        <f t="shared" si="160"/>
        <v>1.444860880799137E-2</v>
      </c>
      <c r="AW106" s="309">
        <f t="shared" si="160"/>
        <v>-0.1533631629002673</v>
      </c>
      <c r="AX106" s="309">
        <f t="shared" si="160"/>
        <v>-7.7970991445635018E-2</v>
      </c>
      <c r="AY106" s="309">
        <f t="shared" si="160"/>
        <v>-6.8547974477867202E-2</v>
      </c>
      <c r="AZ106" s="309">
        <f t="shared" si="160"/>
        <v>-0.13765864837628083</v>
      </c>
      <c r="BA106" s="17">
        <f t="shared" si="160"/>
        <v>-0.11210904566183</v>
      </c>
      <c r="BB106" s="309">
        <f t="shared" si="160"/>
        <v>-6.1532476352645915E-2</v>
      </c>
      <c r="BC106" s="309">
        <f t="shared" si="160"/>
        <v>-6.9569647900323273E-2</v>
      </c>
      <c r="BD106" s="309">
        <f t="shared" si="160"/>
        <v>-3.5966427918178168E-2</v>
      </c>
      <c r="BE106" s="309">
        <f t="shared" si="160"/>
        <v>3.3152438712954702E-2</v>
      </c>
      <c r="BF106" s="17">
        <f t="shared" si="160"/>
        <v>-4.0626118069917894E-2</v>
      </c>
      <c r="BG106" s="309">
        <f t="shared" si="160"/>
        <v>-5.931097404795016E-2</v>
      </c>
      <c r="BH106" s="309">
        <f t="shared" si="160"/>
        <v>-4.9110495362878481E-2</v>
      </c>
      <c r="BI106" s="309">
        <f t="shared" si="160"/>
        <v>-7.3975745695998185E-2</v>
      </c>
      <c r="BJ106" s="309">
        <f t="shared" si="160"/>
        <v>-6.6775638741326304E-2</v>
      </c>
      <c r="BK106" s="17">
        <f t="shared" si="160"/>
        <v>-5.6590666287644642E-2</v>
      </c>
      <c r="BL106" s="309">
        <f t="shared" ref="BL106:BU107" si="161">BL96/BG96-1</f>
        <v>0.49591722925731085</v>
      </c>
      <c r="BM106" s="309">
        <f t="shared" si="161"/>
        <v>0.60213787328296386</v>
      </c>
      <c r="BN106" s="309">
        <f t="shared" si="161"/>
        <v>0.38476009151068324</v>
      </c>
      <c r="BO106" s="309">
        <f t="shared" si="161"/>
        <v>0.49576143997072109</v>
      </c>
      <c r="BP106" s="17">
        <f t="shared" si="161"/>
        <v>0.49617496453460297</v>
      </c>
      <c r="BQ106" s="309">
        <f t="shared" ref="BQ106:BS107" si="162">BQ96/BL96-1</f>
        <v>0.12074904290183741</v>
      </c>
      <c r="BR106" s="309">
        <f t="shared" si="162"/>
        <v>1.0587715340922177E-2</v>
      </c>
      <c r="BS106" s="309">
        <f t="shared" si="162"/>
        <v>0.13100327493002228</v>
      </c>
      <c r="BT106" s="309">
        <f t="shared" ref="BT106:BV107" si="163">BT96/BO96-1</f>
        <v>5.604282913837566E-2</v>
      </c>
      <c r="BU106" s="17">
        <f t="shared" si="161"/>
        <v>7.5777589035448845E-2</v>
      </c>
      <c r="BV106" s="309">
        <f t="shared" si="163"/>
        <v>-7.1206698251722989E-2</v>
      </c>
      <c r="BW106" s="309">
        <f t="shared" ref="BW106:BZ107" si="164">BW96/BR96-1</f>
        <v>-7.2138946054347342E-2</v>
      </c>
      <c r="BX106" s="309">
        <f t="shared" si="164"/>
        <v>-9.2575561606535017E-2</v>
      </c>
      <c r="BY106" s="309">
        <f t="shared" si="164"/>
        <v>-9.4706208348144472E-2</v>
      </c>
      <c r="BZ106" s="17">
        <f t="shared" si="164"/>
        <v>-8.0336213396255518E-2</v>
      </c>
      <c r="CA106" s="309">
        <f t="shared" ref="CA106" si="165">CA96/BV96-1</f>
        <v>-9.8501238300436333E-2</v>
      </c>
      <c r="CB106" s="309">
        <f t="shared" ref="CB106:CB107" si="166">CB96/BW96-1</f>
        <v>-4.2910279646969252E-2</v>
      </c>
      <c r="CC106" s="309">
        <f t="shared" ref="CC106:CC107" si="167">CC96/BX96-1</f>
        <v>-1.0968597154035864E-2</v>
      </c>
      <c r="CD106" s="309">
        <f t="shared" ref="CD106:CD107" si="168">CD96/BY96-1</f>
        <v>-0.13304287407239423</v>
      </c>
      <c r="CE106" s="17">
        <f>CE96/BZ96-1</f>
        <v>-6.8488214425513783E-2</v>
      </c>
      <c r="CF106" s="309">
        <f t="shared" ref="CF106" si="169">CF96/CA96-1</f>
        <v>-0.17355194740641755</v>
      </c>
      <c r="CG106" s="309">
        <f t="shared" ref="CG106:CG107" si="170">CG96/CB96-1</f>
        <v>-0.15307726123404408</v>
      </c>
      <c r="CH106" s="309">
        <f t="shared" ref="CH106:CH107" si="171">CH96/CC96-1</f>
        <v>-0.12272712611067527</v>
      </c>
      <c r="CI106" s="309">
        <f t="shared" ref="CI106:CI107" si="172">CI96/CD96-1</f>
        <v>-9.1805394636817139E-2</v>
      </c>
      <c r="CJ106" s="17">
        <f>CJ96/CE96-1</f>
        <v>-0.14042161601094671</v>
      </c>
      <c r="CK106" s="309"/>
      <c r="CL106" s="309"/>
      <c r="CM106" s="309"/>
      <c r="CN106" s="309"/>
      <c r="CO106" s="17">
        <f>CO96/CJ96-1</f>
        <v>-1.8671263185537912E-3</v>
      </c>
      <c r="CP106" s="309"/>
      <c r="CQ106" s="309"/>
      <c r="CR106" s="309"/>
      <c r="CS106" s="309"/>
      <c r="CT106" s="17">
        <f>CT96/CO96-1</f>
        <v>3.3828098854814304E-2</v>
      </c>
      <c r="CU106" s="309"/>
      <c r="CV106" s="309"/>
      <c r="CW106" s="309"/>
      <c r="CX106" s="309"/>
      <c r="CY106" s="17">
        <f>CY96/CT96-1</f>
        <v>-4.4296032656285345E-2</v>
      </c>
      <c r="CZ106" s="309"/>
      <c r="DA106" s="309"/>
      <c r="DB106" s="309"/>
      <c r="DC106" s="309"/>
      <c r="DD106" s="17">
        <f>DD96/CY96-1</f>
        <v>2.7585162299550436E-2</v>
      </c>
      <c r="DE106" s="309"/>
      <c r="DF106" s="309"/>
      <c r="DG106" s="309"/>
      <c r="DH106" s="309"/>
      <c r="DI106" s="17">
        <f>DI96/DD96-1</f>
        <v>3.0008404743525618E-2</v>
      </c>
      <c r="DJ106" s="309"/>
      <c r="DK106" s="309"/>
      <c r="DL106" s="309"/>
      <c r="DM106" s="309"/>
      <c r="DN106" s="17">
        <f>DN96/DI96-1</f>
        <v>2.812014954863451E-2</v>
      </c>
      <c r="DO106" s="309"/>
      <c r="DP106" s="309"/>
      <c r="DQ106" s="309"/>
      <c r="DR106" s="309"/>
      <c r="DS106" s="17">
        <f>DS96/DN96-1</f>
        <v>-0.14582142939838549</v>
      </c>
      <c r="DT106" s="309"/>
      <c r="DU106" s="309"/>
      <c r="DV106" s="309"/>
      <c r="DW106" s="309"/>
      <c r="DX106" s="17">
        <f>DX96/DS96-1</f>
        <v>-8.2544279752469141E-2</v>
      </c>
      <c r="DY106" s="309"/>
      <c r="DZ106" s="309"/>
      <c r="EA106" s="309"/>
      <c r="EB106" s="309"/>
      <c r="EC106" s="17">
        <f>EC96/DX96-1</f>
        <v>-2.0756658007893947E-2</v>
      </c>
      <c r="ED106" s="309"/>
      <c r="EE106" s="309"/>
      <c r="EF106" s="309"/>
      <c r="EG106" s="309"/>
      <c r="EH106" s="17">
        <f>EH96/EC96-1</f>
        <v>0.11037378848416113</v>
      </c>
      <c r="EI106" s="309"/>
      <c r="EJ106" s="309"/>
      <c r="EK106" s="309"/>
      <c r="EL106" s="309"/>
      <c r="EM106" s="17">
        <f>EM96/EH96-1</f>
        <v>0.56529613468753204</v>
      </c>
      <c r="EN106" s="309"/>
      <c r="EO106" s="309"/>
      <c r="EP106" s="309"/>
      <c r="EQ106" s="309"/>
      <c r="ER106" s="17">
        <f>ER96/EM96-1</f>
        <v>6.5967149162168282E-2</v>
      </c>
    </row>
    <row r="107" spans="2:148" ht="12.75" customHeight="1" thickBot="1">
      <c r="B107" s="317" t="s">
        <v>174</v>
      </c>
      <c r="C107" s="39"/>
      <c r="D107" s="574"/>
      <c r="E107" s="574"/>
      <c r="F107" s="574"/>
      <c r="G107" s="574"/>
      <c r="H107" s="41"/>
      <c r="I107" s="318"/>
      <c r="J107" s="318">
        <f t="shared" si="159"/>
        <v>1.2808376181198118</v>
      </c>
      <c r="K107" s="318">
        <f t="shared" si="159"/>
        <v>0.19818896590146529</v>
      </c>
      <c r="L107" s="318">
        <f t="shared" si="159"/>
        <v>0.57422911712429148</v>
      </c>
      <c r="M107" s="42">
        <f t="shared" si="159"/>
        <v>0.96385825697146821</v>
      </c>
      <c r="N107" s="321">
        <f t="shared" ref="N107:BK107" si="173">N97/I97-1</f>
        <v>0.34663747608723328</v>
      </c>
      <c r="O107" s="321">
        <f t="shared" si="173"/>
        <v>8.8362341596447402E-2</v>
      </c>
      <c r="P107" s="321">
        <f t="shared" si="173"/>
        <v>0.4683048046168381</v>
      </c>
      <c r="Q107" s="321">
        <f t="shared" si="173"/>
        <v>0.16549185552132273</v>
      </c>
      <c r="R107" s="42">
        <f t="shared" si="173"/>
        <v>0.23361737292375317</v>
      </c>
      <c r="S107" s="321">
        <f t="shared" si="173"/>
        <v>9.7407585415405951E-2</v>
      </c>
      <c r="T107" s="321">
        <f t="shared" si="173"/>
        <v>0.11622126118735898</v>
      </c>
      <c r="U107" s="321">
        <f t="shared" si="173"/>
        <v>1.0030493478740077E-2</v>
      </c>
      <c r="V107" s="321">
        <f t="shared" si="173"/>
        <v>0.31303521857496408</v>
      </c>
      <c r="W107" s="42">
        <f t="shared" si="173"/>
        <v>0.13950328373442256</v>
      </c>
      <c r="X107" s="321">
        <f t="shared" si="173"/>
        <v>0.11604994737010288</v>
      </c>
      <c r="Y107" s="321">
        <f t="shared" si="173"/>
        <v>5.5475085670771529E-2</v>
      </c>
      <c r="Z107" s="321">
        <f t="shared" si="173"/>
        <v>0.15909348568179427</v>
      </c>
      <c r="AA107" s="321">
        <f t="shared" si="173"/>
        <v>-2.9187555285048461E-2</v>
      </c>
      <c r="AB107" s="42">
        <f t="shared" si="173"/>
        <v>6.3449239242984179E-2</v>
      </c>
      <c r="AC107" s="321">
        <f t="shared" si="173"/>
        <v>2.7201220519663227E-2</v>
      </c>
      <c r="AD107" s="321">
        <f t="shared" si="173"/>
        <v>-4.5611047289813245E-2</v>
      </c>
      <c r="AE107" s="321">
        <f t="shared" si="173"/>
        <v>-5.7276807718725009E-2</v>
      </c>
      <c r="AF107" s="321">
        <f t="shared" si="173"/>
        <v>-0.14056236924768273</v>
      </c>
      <c r="AG107" s="42">
        <f t="shared" si="173"/>
        <v>-5.4683787504403392E-2</v>
      </c>
      <c r="AH107" s="321">
        <f t="shared" si="173"/>
        <v>-4.6318137638007961E-2</v>
      </c>
      <c r="AI107" s="321">
        <f t="shared" si="173"/>
        <v>-6.4198515786027532E-2</v>
      </c>
      <c r="AJ107" s="321">
        <f t="shared" si="173"/>
        <v>-5.973703252073248E-3</v>
      </c>
      <c r="AK107" s="321">
        <f t="shared" si="173"/>
        <v>8.7047841540814686E-2</v>
      </c>
      <c r="AL107" s="42">
        <f t="shared" si="173"/>
        <v>-9.6174740511947299E-3</v>
      </c>
      <c r="AM107" s="321">
        <f t="shared" si="173"/>
        <v>-4.6285230960024792E-3</v>
      </c>
      <c r="AN107" s="321">
        <f t="shared" si="173"/>
        <v>2.9060746132240522E-2</v>
      </c>
      <c r="AO107" s="321">
        <f t="shared" si="173"/>
        <v>-1.0482476392545959E-3</v>
      </c>
      <c r="AP107" s="321">
        <f t="shared" si="173"/>
        <v>7.6162744844968211E-2</v>
      </c>
      <c r="AQ107" s="42">
        <f t="shared" si="173"/>
        <v>2.6154891038948858E-2</v>
      </c>
      <c r="AR107" s="321">
        <f t="shared" si="173"/>
        <v>7.5801639181759306E-2</v>
      </c>
      <c r="AS107" s="321">
        <f t="shared" si="173"/>
        <v>4.4557218354318362E-2</v>
      </c>
      <c r="AT107" s="321">
        <f t="shared" si="173"/>
        <v>1.5399104583778467E-2</v>
      </c>
      <c r="AU107" s="321">
        <f t="shared" si="173"/>
        <v>-5.4434639514673089E-2</v>
      </c>
      <c r="AV107" s="42">
        <f t="shared" si="173"/>
        <v>1.8932829083237124E-2</v>
      </c>
      <c r="AW107" s="321">
        <f t="shared" si="173"/>
        <v>-0.12469323852965641</v>
      </c>
      <c r="AX107" s="321">
        <f t="shared" si="173"/>
        <v>-6.6531751489624091E-2</v>
      </c>
      <c r="AY107" s="321">
        <f t="shared" si="173"/>
        <v>-6.6282714719520408E-2</v>
      </c>
      <c r="AZ107" s="321">
        <f t="shared" si="173"/>
        <v>-0.13796427912290288</v>
      </c>
      <c r="BA107" s="42">
        <f t="shared" si="173"/>
        <v>-0.1012319003702189</v>
      </c>
      <c r="BB107" s="321">
        <f t="shared" si="173"/>
        <v>-7.8411503857284681E-2</v>
      </c>
      <c r="BC107" s="321">
        <f t="shared" si="173"/>
        <v>-7.5913810431103901E-2</v>
      </c>
      <c r="BD107" s="321">
        <f t="shared" si="173"/>
        <v>-4.485378027507636E-2</v>
      </c>
      <c r="BE107" s="321">
        <f t="shared" si="173"/>
        <v>1.6849098544569063E-2</v>
      </c>
      <c r="BF107" s="42">
        <f t="shared" si="173"/>
        <v>-5.1807954556790103E-2</v>
      </c>
      <c r="BG107" s="321">
        <f t="shared" si="173"/>
        <v>-4.8642945004762073E-2</v>
      </c>
      <c r="BH107" s="321">
        <f t="shared" si="173"/>
        <v>-4.1841160828946955E-2</v>
      </c>
      <c r="BI107" s="321">
        <f t="shared" si="173"/>
        <v>-6.5046750678171783E-2</v>
      </c>
      <c r="BJ107" s="321">
        <f t="shared" si="173"/>
        <v>-6.0846107310459363E-2</v>
      </c>
      <c r="BK107" s="42">
        <f t="shared" si="173"/>
        <v>-4.9158173362531699E-2</v>
      </c>
      <c r="BL107" s="321">
        <f t="shared" si="161"/>
        <v>0.4992354582170635</v>
      </c>
      <c r="BM107" s="321">
        <f t="shared" si="161"/>
        <v>0.58188998827032412</v>
      </c>
      <c r="BN107" s="321">
        <f t="shared" si="161"/>
        <v>0.38592969518354114</v>
      </c>
      <c r="BO107" s="321">
        <f t="shared" si="161"/>
        <v>0.48405740944254827</v>
      </c>
      <c r="BP107" s="42">
        <f t="shared" si="161"/>
        <v>0.48807704196194512</v>
      </c>
      <c r="BQ107" s="321">
        <f t="shared" si="162"/>
        <v>8.9153040503917813E-2</v>
      </c>
      <c r="BR107" s="321">
        <f t="shared" si="162"/>
        <v>9.8011374616691072E-4</v>
      </c>
      <c r="BS107" s="321">
        <f t="shared" si="162"/>
        <v>0.10704510779779741</v>
      </c>
      <c r="BT107" s="321">
        <f t="shared" si="163"/>
        <v>4.7857625624645017E-2</v>
      </c>
      <c r="BU107" s="42">
        <f t="shared" si="161"/>
        <v>5.9204558108086891E-2</v>
      </c>
      <c r="BV107" s="321">
        <f>BV97/BQ97-1</f>
        <v>-6.6644159799276514E-2</v>
      </c>
      <c r="BW107" s="321">
        <f t="shared" si="164"/>
        <v>-6.3806157573608635E-2</v>
      </c>
      <c r="BX107" s="321">
        <f t="shared" si="164"/>
        <v>-8.1015689781318567E-2</v>
      </c>
      <c r="BY107" s="321">
        <f t="shared" si="164"/>
        <v>-8.0370045572246473E-2</v>
      </c>
      <c r="BZ107" s="42">
        <f t="shared" si="164"/>
        <v>-7.0786280886614206E-2</v>
      </c>
      <c r="CA107" s="321">
        <f>CA97/BV97-1</f>
        <v>-7.6682844299637232E-2</v>
      </c>
      <c r="CB107" s="321">
        <f t="shared" si="166"/>
        <v>-2.9718246212802057E-2</v>
      </c>
      <c r="CC107" s="321">
        <f t="shared" si="167"/>
        <v>5.4590238769867128E-3</v>
      </c>
      <c r="CD107" s="321">
        <f t="shared" si="168"/>
        <v>-0.10324206034653649</v>
      </c>
      <c r="CE107" s="42">
        <f>CE97/BZ97-1</f>
        <v>-4.8749416062500273E-2</v>
      </c>
      <c r="CF107" s="321">
        <f>CF97/CA97-1</f>
        <v>-0.13419196096334807</v>
      </c>
      <c r="CG107" s="321">
        <f t="shared" si="170"/>
        <v>-0.11277548409711602</v>
      </c>
      <c r="CH107" s="321">
        <f t="shared" si="171"/>
        <v>-9.0771154898419137E-2</v>
      </c>
      <c r="CI107" s="321">
        <f t="shared" si="172"/>
        <v>-6.6759702333136661E-2</v>
      </c>
      <c r="CJ107" s="42">
        <f>CJ97/CE97-1</f>
        <v>-0.10534379135026317</v>
      </c>
      <c r="CK107" s="321"/>
      <c r="CL107" s="321"/>
      <c r="CM107" s="321"/>
      <c r="CN107" s="321"/>
      <c r="CO107" s="42">
        <f>CO97/CJ97-1</f>
        <v>7.540156839902501E-5</v>
      </c>
      <c r="CP107" s="321"/>
      <c r="CQ107" s="321"/>
      <c r="CR107" s="321"/>
      <c r="CS107" s="321"/>
      <c r="CT107" s="42">
        <f>CT97/CO97-1</f>
        <v>2.6917451997441333E-2</v>
      </c>
      <c r="CU107" s="321"/>
      <c r="CV107" s="321"/>
      <c r="CW107" s="321"/>
      <c r="CX107" s="321"/>
      <c r="CY107" s="42">
        <f>CY97/CT97-1</f>
        <v>-2.9922834084674332E-2</v>
      </c>
      <c r="CZ107" s="321"/>
      <c r="DA107" s="321"/>
      <c r="DB107" s="321"/>
      <c r="DC107" s="321"/>
      <c r="DD107" s="42">
        <f>DD97/CY97-1</f>
        <v>2.468512997020933E-2</v>
      </c>
      <c r="DE107" s="321"/>
      <c r="DF107" s="321"/>
      <c r="DG107" s="321"/>
      <c r="DH107" s="321"/>
      <c r="DI107" s="42">
        <f>DI97/DD97-1</f>
        <v>2.6616937222088799E-2</v>
      </c>
      <c r="DJ107" s="321"/>
      <c r="DK107" s="321"/>
      <c r="DL107" s="321"/>
      <c r="DM107" s="321"/>
      <c r="DN107" s="42">
        <f>DN97/DI97-1</f>
        <v>2.5304938764694862E-2</v>
      </c>
      <c r="DO107" s="321"/>
      <c r="DP107" s="321"/>
      <c r="DQ107" s="321"/>
      <c r="DR107" s="321"/>
      <c r="DS107" s="42">
        <f>DS97/DN97-1</f>
        <v>-9.2326826452035382E-2</v>
      </c>
      <c r="DT107" s="321"/>
      <c r="DU107" s="321"/>
      <c r="DV107" s="321"/>
      <c r="DW107" s="321"/>
      <c r="DX107" s="42">
        <f>DX97/DS97-1</f>
        <v>-4.7629929352603906E-2</v>
      </c>
      <c r="DY107" s="321"/>
      <c r="DZ107" s="321"/>
      <c r="EA107" s="321"/>
      <c r="EB107" s="321"/>
      <c r="EC107" s="42">
        <f>EC97/DX97-1</f>
        <v>-8.8496428250706138E-3</v>
      </c>
      <c r="ED107" s="321"/>
      <c r="EE107" s="321"/>
      <c r="EF107" s="321"/>
      <c r="EG107" s="321"/>
      <c r="EH107" s="42">
        <f>EH97/EC97-1</f>
        <v>9.5066448308147589E-2</v>
      </c>
      <c r="EI107" s="321"/>
      <c r="EJ107" s="321"/>
      <c r="EK107" s="321"/>
      <c r="EL107" s="321"/>
      <c r="EM107" s="42">
        <f>EM97/EH97-1</f>
        <v>0.49883026530870955</v>
      </c>
      <c r="EN107" s="321"/>
      <c r="EO107" s="321"/>
      <c r="EP107" s="321"/>
      <c r="EQ107" s="321"/>
      <c r="ER107" s="42">
        <f>ER97/EM97-1</f>
        <v>6.6633210681328769E-2</v>
      </c>
    </row>
    <row r="108" spans="2:148" ht="12.75" customHeight="1">
      <c r="C108" s="16"/>
      <c r="D108" s="308"/>
      <c r="E108" s="308"/>
      <c r="F108" s="308"/>
      <c r="G108" s="308"/>
      <c r="H108" s="16"/>
      <c r="I108" s="308"/>
      <c r="J108" s="308"/>
      <c r="K108" s="308"/>
      <c r="L108" s="308"/>
      <c r="M108" s="16"/>
      <c r="N108" s="308"/>
      <c r="O108" s="308"/>
      <c r="P108" s="308"/>
      <c r="Q108" s="308"/>
      <c r="R108" s="16"/>
      <c r="S108" s="308"/>
      <c r="T108" s="308"/>
      <c r="U108" s="308"/>
      <c r="V108" s="308"/>
      <c r="W108" s="16"/>
      <c r="X108" s="308"/>
      <c r="Y108" s="308"/>
      <c r="Z108" s="308"/>
      <c r="AA108" s="308"/>
      <c r="AB108" s="16"/>
      <c r="AC108" s="308"/>
      <c r="AD108" s="308"/>
      <c r="AE108" s="308"/>
      <c r="AF108" s="308"/>
      <c r="AG108" s="16"/>
      <c r="AH108" s="308"/>
      <c r="AI108" s="308"/>
      <c r="AJ108" s="308"/>
      <c r="AK108" s="308"/>
      <c r="AL108" s="16"/>
      <c r="AM108" s="308"/>
      <c r="AN108" s="308"/>
      <c r="AO108" s="308"/>
      <c r="AP108" s="308"/>
      <c r="AQ108" s="16"/>
      <c r="AR108" s="308"/>
      <c r="AS108" s="308"/>
      <c r="AT108" s="308"/>
      <c r="AU108" s="308"/>
      <c r="AV108" s="16"/>
      <c r="AW108" s="308"/>
      <c r="AX108" s="308"/>
      <c r="AY108" s="308"/>
      <c r="AZ108" s="308"/>
      <c r="BA108" s="16"/>
      <c r="BB108" s="308"/>
      <c r="BC108" s="308"/>
      <c r="BD108" s="308"/>
      <c r="BE108" s="308"/>
      <c r="BF108" s="16"/>
      <c r="BG108" s="308"/>
      <c r="BH108" s="308"/>
      <c r="BI108" s="308"/>
      <c r="BJ108" s="308"/>
      <c r="BK108" s="16"/>
      <c r="BL108" s="308"/>
      <c r="BM108" s="308"/>
      <c r="BN108" s="308"/>
      <c r="BO108" s="308"/>
      <c r="BP108" s="16"/>
      <c r="BQ108" s="308"/>
      <c r="BR108" s="308"/>
      <c r="BS108" s="308"/>
      <c r="BT108" s="308"/>
      <c r="BU108" s="16"/>
      <c r="BV108" s="308"/>
      <c r="BW108" s="308"/>
      <c r="BX108" s="308"/>
      <c r="BY108" s="308"/>
      <c r="BZ108" s="16"/>
      <c r="CA108" s="308"/>
      <c r="CB108" s="308"/>
      <c r="CC108" s="308"/>
      <c r="CD108" s="308"/>
      <c r="CE108" s="16"/>
      <c r="CF108" s="308"/>
      <c r="CG108" s="308"/>
      <c r="CH108" s="308"/>
      <c r="CI108" s="308"/>
      <c r="CJ108" s="16"/>
      <c r="CK108" s="308"/>
      <c r="CL108" s="308"/>
      <c r="CM108" s="308"/>
      <c r="CN108" s="308"/>
      <c r="CO108" s="16"/>
      <c r="CP108" s="308"/>
      <c r="CQ108" s="308"/>
      <c r="CR108" s="308"/>
      <c r="CS108" s="308"/>
      <c r="CT108" s="16"/>
      <c r="CU108" s="308"/>
      <c r="CV108" s="308"/>
      <c r="CW108" s="308"/>
      <c r="CX108" s="308"/>
      <c r="CY108" s="16"/>
      <c r="CZ108" s="308"/>
      <c r="DA108" s="308"/>
      <c r="DB108" s="308"/>
      <c r="DC108" s="308"/>
      <c r="DD108" s="16"/>
      <c r="DE108" s="308"/>
      <c r="DF108" s="308"/>
      <c r="DG108" s="308"/>
      <c r="DH108" s="308"/>
      <c r="DI108" s="16"/>
      <c r="DJ108" s="308"/>
      <c r="DK108" s="308"/>
      <c r="DL108" s="308"/>
      <c r="DM108" s="308"/>
      <c r="DN108" s="16"/>
      <c r="DO108" s="308"/>
      <c r="DP108" s="308"/>
      <c r="DQ108" s="308"/>
      <c r="DR108" s="308"/>
      <c r="DS108" s="16"/>
      <c r="DT108" s="308"/>
      <c r="DU108" s="308"/>
      <c r="DV108" s="308"/>
      <c r="DW108" s="308"/>
      <c r="DX108" s="16"/>
      <c r="DY108" s="308"/>
      <c r="DZ108" s="308"/>
      <c r="EA108" s="308"/>
      <c r="EB108" s="308"/>
      <c r="EC108" s="16"/>
      <c r="ED108" s="308"/>
      <c r="EE108" s="308"/>
      <c r="EF108" s="308"/>
      <c r="EG108" s="308"/>
      <c r="EH108" s="16"/>
      <c r="EI108" s="308"/>
      <c r="EJ108" s="308"/>
      <c r="EK108" s="308"/>
      <c r="EL108" s="308"/>
      <c r="EM108" s="16"/>
      <c r="EN108" s="308"/>
      <c r="EO108" s="308"/>
      <c r="EP108" s="308"/>
      <c r="EQ108" s="308"/>
      <c r="ER108" s="16"/>
    </row>
    <row r="109" spans="2:148" ht="12.75" customHeight="1">
      <c r="B109" s="1" t="s">
        <v>114</v>
      </c>
      <c r="C109" s="28">
        <f>1.182+13.509</f>
        <v>14.691000000000001</v>
      </c>
      <c r="D109" s="312">
        <v>3.3580000000000001</v>
      </c>
      <c r="E109" s="312">
        <f>6.791-D109</f>
        <v>3.4330000000000003</v>
      </c>
      <c r="F109" s="312">
        <f>10.539-E109-D109</f>
        <v>3.7479999999999998</v>
      </c>
      <c r="G109" s="312">
        <f>+H109-SUM(D109:F109)</f>
        <v>3.8890000000000011</v>
      </c>
      <c r="H109" s="28">
        <f>1.239+13.189</f>
        <v>14.428000000000001</v>
      </c>
      <c r="I109" s="312">
        <v>4.5990000000000002</v>
      </c>
      <c r="J109" s="312">
        <f>9.55-I109</f>
        <v>4.9510000000000005</v>
      </c>
      <c r="K109" s="312">
        <f>14.702-J109-I109</f>
        <v>5.1519999999999992</v>
      </c>
      <c r="L109" s="312">
        <f>+M109-SUM(I109:K109)</f>
        <v>6.1570000000000018</v>
      </c>
      <c r="M109" s="28">
        <f>4.326+16.533</f>
        <v>20.859000000000002</v>
      </c>
      <c r="N109" s="312">
        <v>5.85</v>
      </c>
      <c r="O109" s="312">
        <f>11.861-N109</f>
        <v>6.011000000000001</v>
      </c>
      <c r="P109" s="312">
        <f>17.979-O109-N109</f>
        <v>6.1179999999999986</v>
      </c>
      <c r="Q109" s="312">
        <f>+R109-SUM(N109:P109)</f>
        <v>6.429000000000002</v>
      </c>
      <c r="R109" s="28">
        <f>4.143+20.265</f>
        <v>24.408000000000001</v>
      </c>
      <c r="S109" s="312">
        <v>6.1369999999999996</v>
      </c>
      <c r="T109" s="312">
        <f>12.572-S109</f>
        <v>6.4349999999999996</v>
      </c>
      <c r="U109" s="312">
        <f>23.904-T109-S109</f>
        <v>11.332000000000001</v>
      </c>
      <c r="V109" s="312">
        <f>+W109-SUM(S109:U109)</f>
        <v>11.873000000000001</v>
      </c>
      <c r="W109" s="28">
        <f>10.492+25.285</f>
        <v>35.777000000000001</v>
      </c>
      <c r="X109" s="312">
        <f>4.295+6.948</f>
        <v>11.243</v>
      </c>
      <c r="Y109" s="312">
        <f>(10.127+13.706)-X109</f>
        <v>12.589999999999998</v>
      </c>
      <c r="Z109" s="312">
        <f>(15.059+20.458)-Y109-X109</f>
        <v>11.683999999999999</v>
      </c>
      <c r="AA109" s="312">
        <f>+AB109-SUM(X109:Z109)</f>
        <v>11.76700000000001</v>
      </c>
      <c r="AB109" s="28">
        <f>19.664+27.62</f>
        <v>47.284000000000006</v>
      </c>
      <c r="AC109" s="312">
        <f>4.244+7.427</f>
        <v>11.670999999999999</v>
      </c>
      <c r="AD109" s="312">
        <f>(10.311+15.971)-AC109</f>
        <v>14.611000000000001</v>
      </c>
      <c r="AE109" s="312">
        <f>(15.565+26.249)-AD109-AC109</f>
        <v>15.532</v>
      </c>
      <c r="AF109" s="312">
        <f>+AG109-SUM(AC109:AE109)</f>
        <v>9.4649999999999963</v>
      </c>
      <c r="AG109" s="28">
        <f>14.391+36.888</f>
        <v>51.278999999999996</v>
      </c>
      <c r="AH109" s="312">
        <f>18.926+10.709</f>
        <v>29.634999999999998</v>
      </c>
      <c r="AI109" s="312">
        <f>(43.338+23.781)-AH109</f>
        <v>37.484000000000002</v>
      </c>
      <c r="AJ109" s="312">
        <f>(77.669+37.548)-AI109-AH109</f>
        <v>48.098000000000006</v>
      </c>
      <c r="AK109" s="312">
        <f>+AL109-SUM(AH109:AJ109)</f>
        <v>40.393000000000001</v>
      </c>
      <c r="AL109" s="28">
        <f>103.888+51.722</f>
        <v>155.61000000000001</v>
      </c>
      <c r="AM109" s="312">
        <f>25.428+13.72</f>
        <v>39.148000000000003</v>
      </c>
      <c r="AN109" s="312">
        <f>(62.955+28.828)-AM109</f>
        <v>52.634999999999998</v>
      </c>
      <c r="AO109" s="312">
        <f>(104.522+44.312)-AN109-AM109</f>
        <v>57.051000000000009</v>
      </c>
      <c r="AP109" s="312">
        <f>+AQ109-SUM(AM109:AO109)</f>
        <v>64.109999999999985</v>
      </c>
      <c r="AQ109" s="28">
        <f>148.384+64.56</f>
        <v>212.94399999999999</v>
      </c>
      <c r="AR109" s="312">
        <f>(42.628+17.478)</f>
        <v>60.106000000000002</v>
      </c>
      <c r="AS109" s="312">
        <f>(85.521+33.386)-AR109</f>
        <v>58.801000000000009</v>
      </c>
      <c r="AT109" s="312">
        <f>(138.585+49.375)-AS109-AR109</f>
        <v>69.052999999999997</v>
      </c>
      <c r="AU109" s="312">
        <f>+AV109-SUM(AR109:AT109)</f>
        <v>77.516999999999967</v>
      </c>
      <c r="AV109" s="28">
        <f>198.237+67.24</f>
        <v>265.47699999999998</v>
      </c>
      <c r="AW109" s="312">
        <f>62.629+18.85</f>
        <v>81.478999999999999</v>
      </c>
      <c r="AX109" s="312">
        <f>(119.776+36.03)-AW109</f>
        <v>74.326999999999984</v>
      </c>
      <c r="AY109" s="312">
        <f>+($BA109-$AW109-AX109)/2</f>
        <v>73.212999999999994</v>
      </c>
      <c r="AZ109" s="312">
        <f>+($BA109-$AW109-AX109)/2</f>
        <v>73.212999999999994</v>
      </c>
      <c r="BA109" s="28">
        <f>+CF!M6+CF!M11</f>
        <v>302.23199999999997</v>
      </c>
      <c r="BB109" s="312">
        <f>+BF109/4</f>
        <v>69.551500000000004</v>
      </c>
      <c r="BC109" s="312">
        <f>+BF109/4</f>
        <v>69.551500000000004</v>
      </c>
      <c r="BD109" s="312">
        <f>+BF109/4</f>
        <v>69.551500000000004</v>
      </c>
      <c r="BE109" s="312">
        <f>+BF109/4</f>
        <v>69.551500000000004</v>
      </c>
      <c r="BF109" s="28">
        <f>+CF!N6+CF!N11</f>
        <v>278.20600000000002</v>
      </c>
      <c r="BG109" s="312">
        <f>+BK109/4</f>
        <v>86.176000000000002</v>
      </c>
      <c r="BH109" s="312">
        <f>+BK109/4</f>
        <v>86.176000000000002</v>
      </c>
      <c r="BI109" s="312">
        <f>+BK109/4</f>
        <v>86.176000000000002</v>
      </c>
      <c r="BJ109" s="312">
        <f>+BK109/4</f>
        <v>86.176000000000002</v>
      </c>
      <c r="BK109" s="28">
        <f>+CF!O6+CF!O11</f>
        <v>344.70400000000001</v>
      </c>
      <c r="BL109" s="312">
        <f>+BP109/4</f>
        <v>262.5</v>
      </c>
      <c r="BM109" s="312">
        <f>+BP109/4</f>
        <v>262.5</v>
      </c>
      <c r="BN109" s="312">
        <f>+BP109/4</f>
        <v>262.5</v>
      </c>
      <c r="BO109" s="312">
        <f>+BP109/4</f>
        <v>262.5</v>
      </c>
      <c r="BP109" s="28">
        <f>+CF!P6+CF!P11</f>
        <v>1050</v>
      </c>
      <c r="BQ109" s="312">
        <f>+BU109/4</f>
        <v>274.5</v>
      </c>
      <c r="BR109" s="312">
        <f>+BU109/4</f>
        <v>274.5</v>
      </c>
      <c r="BS109" s="312">
        <f>+BU109/4</f>
        <v>274.5</v>
      </c>
      <c r="BT109" s="312">
        <f>+BU109/4</f>
        <v>274.5</v>
      </c>
      <c r="BU109" s="28">
        <f>+CF!Q6+CF!Q11</f>
        <v>1098</v>
      </c>
      <c r="BV109" s="312">
        <f>BZ109/4</f>
        <v>289.5</v>
      </c>
      <c r="BW109" s="312">
        <f>BZ109/4</f>
        <v>289.5</v>
      </c>
      <c r="BX109" s="312">
        <f>BZ109/4</f>
        <v>289.5</v>
      </c>
      <c r="BY109" s="312">
        <f>BZ109/4</f>
        <v>289.5</v>
      </c>
      <c r="BZ109" s="28">
        <f>+CF!R6+CF!R11</f>
        <v>1158</v>
      </c>
      <c r="CA109" s="312">
        <f>CE109/4</f>
        <v>321.5</v>
      </c>
      <c r="CB109" s="312">
        <f>CE109/4</f>
        <v>321.5</v>
      </c>
      <c r="CC109" s="312">
        <f>CE109/4</f>
        <v>321.5</v>
      </c>
      <c r="CD109" s="312">
        <f>CE109/4</f>
        <v>321.5</v>
      </c>
      <c r="CE109" s="28">
        <f>+CF!S6+CF!S11</f>
        <v>1286</v>
      </c>
      <c r="CF109" s="312">
        <f>CJ109/4</f>
        <v>345.08959136535873</v>
      </c>
      <c r="CG109" s="312">
        <f>CJ109/4</f>
        <v>345.08959136535873</v>
      </c>
      <c r="CH109" s="312">
        <f>CJ109/4</f>
        <v>345.08959136535873</v>
      </c>
      <c r="CI109" s="312">
        <f>CJ109/4</f>
        <v>345.08959136535873</v>
      </c>
      <c r="CJ109" s="28">
        <f>+CF!T6+CF!T11</f>
        <v>1380.3583654614349</v>
      </c>
      <c r="CK109" s="312"/>
      <c r="CL109" s="312"/>
      <c r="CM109" s="312"/>
      <c r="CN109" s="312"/>
      <c r="CO109" s="28">
        <f>+CF!U6+CF!U11</f>
        <v>1422.1558758218903</v>
      </c>
      <c r="CP109" s="312"/>
      <c r="CQ109" s="312"/>
      <c r="CR109" s="312"/>
      <c r="CS109" s="312"/>
      <c r="CT109" s="28">
        <f>+CF!V6+CF!V11</f>
        <v>1470.7026792254678</v>
      </c>
      <c r="CU109" s="312"/>
      <c r="CV109" s="312"/>
      <c r="CW109" s="312"/>
      <c r="CX109" s="312"/>
      <c r="CY109" s="28">
        <f>+CF!W6+CF!W11</f>
        <v>1517.3861736600613</v>
      </c>
      <c r="CZ109" s="312"/>
      <c r="DA109" s="312"/>
      <c r="DB109" s="312"/>
      <c r="DC109" s="312"/>
      <c r="DD109" s="28">
        <f>+CF!X6+CF!X11</f>
        <v>1572.9951311012196</v>
      </c>
      <c r="DE109" s="312"/>
      <c r="DF109" s="312"/>
      <c r="DG109" s="312"/>
      <c r="DH109" s="312"/>
      <c r="DI109" s="28">
        <f>+CF!Y6+CF!Y11</f>
        <v>1634.8429872388151</v>
      </c>
      <c r="DJ109" s="312"/>
      <c r="DK109" s="312"/>
      <c r="DL109" s="312"/>
      <c r="DM109" s="312"/>
      <c r="DN109" s="28">
        <f>+CF!Z6+CF!Z11</f>
        <v>1703.3295969477406</v>
      </c>
      <c r="DO109" s="312"/>
      <c r="DP109" s="312"/>
      <c r="DQ109" s="312"/>
      <c r="DR109" s="312"/>
      <c r="DS109" s="28">
        <f>+CF!AA6+CF!AA11</f>
        <v>1759.7158474664666</v>
      </c>
      <c r="DT109" s="312"/>
      <c r="DU109" s="312"/>
      <c r="DV109" s="312"/>
      <c r="DW109" s="312"/>
      <c r="DX109" s="28">
        <f>+CF!AB6+CF!AB11</f>
        <v>1814.1654998055101</v>
      </c>
      <c r="DY109" s="312"/>
      <c r="DZ109" s="312"/>
      <c r="EA109" s="312"/>
      <c r="EB109" s="312"/>
      <c r="EC109" s="28">
        <f>+CF!AC6+CF!AC11</f>
        <v>1871.1367796661611</v>
      </c>
      <c r="ED109" s="312"/>
      <c r="EE109" s="312"/>
      <c r="EF109" s="312"/>
      <c r="EG109" s="312"/>
      <c r="EH109" s="28">
        <f>+CF!AD6+CF!AD11</f>
        <v>1930.8951669530375</v>
      </c>
      <c r="EI109" s="312"/>
      <c r="EJ109" s="312"/>
      <c r="EK109" s="312"/>
      <c r="EL109" s="312"/>
      <c r="EM109" s="28">
        <f>+CF!AE6+CF!AE11</f>
        <v>1983.6674005779273</v>
      </c>
      <c r="EN109" s="312"/>
      <c r="EO109" s="312"/>
      <c r="EP109" s="312"/>
      <c r="EQ109" s="312"/>
      <c r="ER109" s="28">
        <f>+CF!AF6+CF!AF11</f>
        <v>2036.7029329588399</v>
      </c>
    </row>
    <row r="110" spans="2:148" ht="12.75" customHeight="1">
      <c r="B110" s="9" t="s">
        <v>115</v>
      </c>
      <c r="C110" s="33">
        <f t="shared" ref="C110:AH110" si="174">C20+C109</f>
        <v>-107.998</v>
      </c>
      <c r="D110" s="322">
        <f t="shared" si="174"/>
        <v>-3.5850000000000048</v>
      </c>
      <c r="E110" s="322">
        <f t="shared" si="174"/>
        <v>22.626999999999995</v>
      </c>
      <c r="F110" s="322">
        <f t="shared" si="174"/>
        <v>39.664999999999978</v>
      </c>
      <c r="G110" s="322">
        <f t="shared" si="174"/>
        <v>36.728000000000051</v>
      </c>
      <c r="H110" s="33">
        <f t="shared" si="174"/>
        <v>95.435000000000031</v>
      </c>
      <c r="I110" s="322">
        <f t="shared" si="174"/>
        <v>59.600999999999999</v>
      </c>
      <c r="J110" s="322">
        <f t="shared" si="174"/>
        <v>112.72300000000001</v>
      </c>
      <c r="K110" s="322">
        <f t="shared" si="174"/>
        <v>71.075000000000017</v>
      </c>
      <c r="L110" s="322">
        <f t="shared" si="174"/>
        <v>105.05699999999999</v>
      </c>
      <c r="M110" s="33">
        <f t="shared" si="174"/>
        <v>348.45600000000013</v>
      </c>
      <c r="N110" s="322">
        <f t="shared" si="174"/>
        <v>150.27299999999994</v>
      </c>
      <c r="O110" s="322">
        <f t="shared" si="174"/>
        <v>164.20899999999997</v>
      </c>
      <c r="P110" s="322">
        <f t="shared" si="174"/>
        <v>169.88800000000003</v>
      </c>
      <c r="Q110" s="322">
        <f t="shared" si="174"/>
        <v>171.72800000000004</v>
      </c>
      <c r="R110" s="33">
        <f t="shared" si="174"/>
        <v>656.09800000000007</v>
      </c>
      <c r="S110" s="322">
        <f t="shared" si="174"/>
        <v>229.61399999999995</v>
      </c>
      <c r="T110" s="322">
        <f t="shared" si="174"/>
        <v>283.93299999999994</v>
      </c>
      <c r="U110" s="322">
        <f t="shared" si="174"/>
        <v>259.58200000000005</v>
      </c>
      <c r="V110" s="322">
        <f t="shared" si="174"/>
        <v>371.714</v>
      </c>
      <c r="W110" s="33">
        <f t="shared" si="174"/>
        <v>1144.8429999999998</v>
      </c>
      <c r="X110" s="322">
        <f t="shared" si="174"/>
        <v>412.52700000000004</v>
      </c>
      <c r="Y110" s="322">
        <f t="shared" si="174"/>
        <v>414.67199999999985</v>
      </c>
      <c r="Z110" s="322">
        <f t="shared" si="174"/>
        <v>456.53699999999992</v>
      </c>
      <c r="AA110" s="322">
        <f t="shared" si="174"/>
        <v>532.5089999999999</v>
      </c>
      <c r="AB110" s="33">
        <f t="shared" si="174"/>
        <v>1816.2450000000006</v>
      </c>
      <c r="AC110" s="322">
        <f t="shared" si="174"/>
        <v>628.7360000000001</v>
      </c>
      <c r="AD110" s="322">
        <f t="shared" si="174"/>
        <v>605.26600000000008</v>
      </c>
      <c r="AE110" s="322">
        <f t="shared" si="174"/>
        <v>608.62300000000016</v>
      </c>
      <c r="AF110" s="322">
        <f t="shared" si="174"/>
        <v>557.11700000000008</v>
      </c>
      <c r="AG110" s="33">
        <f t="shared" si="174"/>
        <v>2399.7419999999997</v>
      </c>
      <c r="AH110" s="322">
        <f t="shared" si="174"/>
        <v>733.81700000000012</v>
      </c>
      <c r="AI110" s="322">
        <f t="shared" ref="AI110:BN110" si="175">AI20+AI109</f>
        <v>690.72500000000002</v>
      </c>
      <c r="AJ110" s="322">
        <f t="shared" si="175"/>
        <v>783.52600000000007</v>
      </c>
      <c r="AK110" s="322">
        <f t="shared" si="175"/>
        <v>790.29799999999977</v>
      </c>
      <c r="AL110" s="33">
        <f t="shared" si="175"/>
        <v>2998.3659999999995</v>
      </c>
      <c r="AM110" s="322">
        <f t="shared" si="175"/>
        <v>888.50900000000013</v>
      </c>
      <c r="AN110" s="322">
        <f t="shared" si="175"/>
        <v>916.02499999999986</v>
      </c>
      <c r="AO110" s="322">
        <f t="shared" si="175"/>
        <v>1028.2130000000004</v>
      </c>
      <c r="AP110" s="322">
        <f t="shared" si="175"/>
        <v>1210.2719999999999</v>
      </c>
      <c r="AQ110" s="33">
        <f t="shared" si="175"/>
        <v>4043.0189999999993</v>
      </c>
      <c r="AR110" s="322">
        <f t="shared" si="175"/>
        <v>1302.7339999999999</v>
      </c>
      <c r="AS110" s="322">
        <f t="shared" si="175"/>
        <v>1119.5340000000001</v>
      </c>
      <c r="AT110" s="322">
        <f t="shared" si="175"/>
        <v>1123.0239999999994</v>
      </c>
      <c r="AU110" s="322">
        <f t="shared" si="175"/>
        <v>1125.42</v>
      </c>
      <c r="AV110" s="33">
        <f t="shared" si="175"/>
        <v>4670.7120000000004</v>
      </c>
      <c r="AW110" s="322">
        <f t="shared" si="175"/>
        <v>1052.9550000000004</v>
      </c>
      <c r="AX110" s="322">
        <f t="shared" si="175"/>
        <v>1158.9389999999999</v>
      </c>
      <c r="AY110" s="322">
        <f t="shared" si="175"/>
        <v>1148.1629999999998</v>
      </c>
      <c r="AZ110" s="322">
        <f t="shared" si="175"/>
        <v>1068.0519999999999</v>
      </c>
      <c r="BA110" s="33">
        <f t="shared" si="175"/>
        <v>4428.1089999999995</v>
      </c>
      <c r="BB110" s="322">
        <f t="shared" si="175"/>
        <v>1149.9275</v>
      </c>
      <c r="BC110" s="322">
        <f t="shared" si="175"/>
        <v>1205.2184999999995</v>
      </c>
      <c r="BD110" s="322">
        <f t="shared" si="175"/>
        <v>1263.3334999999995</v>
      </c>
      <c r="BE110" s="322">
        <f t="shared" si="175"/>
        <v>1297.2635000000002</v>
      </c>
      <c r="BF110" s="33">
        <f t="shared" si="175"/>
        <v>4858.2070000000022</v>
      </c>
      <c r="BG110" s="322">
        <f t="shared" si="175"/>
        <v>1213.4280000000001</v>
      </c>
      <c r="BH110" s="322">
        <f t="shared" si="175"/>
        <v>1328.6960000000004</v>
      </c>
      <c r="BI110" s="322">
        <f t="shared" si="175"/>
        <v>1344.8530000000001</v>
      </c>
      <c r="BJ110" s="322">
        <f t="shared" si="175"/>
        <v>1446.1680000000001</v>
      </c>
      <c r="BK110" s="33">
        <f t="shared" si="175"/>
        <v>5333.1449999999995</v>
      </c>
      <c r="BL110" s="322">
        <f t="shared" si="175"/>
        <v>3592.2130000000016</v>
      </c>
      <c r="BM110" s="322">
        <f t="shared" si="175"/>
        <v>4963.3250000000016</v>
      </c>
      <c r="BN110" s="322">
        <f t="shared" si="175"/>
        <v>4046.6660000000002</v>
      </c>
      <c r="BO110" s="322">
        <f t="shared" ref="BO110:CE110" si="176">BO20+BO109</f>
        <v>5031.3721077385035</v>
      </c>
      <c r="BP110" s="33">
        <f t="shared" si="176"/>
        <v>17633.976107738505</v>
      </c>
      <c r="BQ110" s="322">
        <f t="shared" si="176"/>
        <v>5943.5</v>
      </c>
      <c r="BR110" s="322">
        <f t="shared" si="176"/>
        <v>6267.5</v>
      </c>
      <c r="BS110" s="322">
        <f t="shared" si="176"/>
        <v>6150.5</v>
      </c>
      <c r="BT110" s="322">
        <f t="shared" si="176"/>
        <v>6131.5</v>
      </c>
      <c r="BU110" s="33">
        <f t="shared" si="176"/>
        <v>24493</v>
      </c>
      <c r="BV110" s="322">
        <f t="shared" si="176"/>
        <v>5693.5</v>
      </c>
      <c r="BW110" s="322">
        <f t="shared" si="176"/>
        <v>5534.5</v>
      </c>
      <c r="BX110" s="322">
        <f t="shared" si="176"/>
        <v>5110.5</v>
      </c>
      <c r="BY110" s="322">
        <f t="shared" si="176"/>
        <v>4852.5</v>
      </c>
      <c r="BZ110" s="33">
        <f t="shared" si="176"/>
        <v>21191</v>
      </c>
      <c r="CA110" s="322">
        <f t="shared" si="176"/>
        <v>4387.5</v>
      </c>
      <c r="CB110" s="322">
        <f t="shared" si="176"/>
        <v>4931.5</v>
      </c>
      <c r="CC110" s="322">
        <f t="shared" si="176"/>
        <v>4461.5</v>
      </c>
      <c r="CD110" s="322">
        <f t="shared" si="176"/>
        <v>3536.5</v>
      </c>
      <c r="CE110" s="33">
        <f t="shared" si="176"/>
        <v>17317</v>
      </c>
      <c r="CF110" s="322">
        <f t="shared" ref="CF110:CI110" si="177">CF20+CF109</f>
        <v>2990.2329437111039</v>
      </c>
      <c r="CG110" s="322">
        <f t="shared" si="177"/>
        <v>3205.4742382442491</v>
      </c>
      <c r="CH110" s="322">
        <f t="shared" si="177"/>
        <v>3296.7866346699484</v>
      </c>
      <c r="CI110" s="322">
        <f t="shared" si="177"/>
        <v>2992.7979728946557</v>
      </c>
      <c r="CJ110" s="33">
        <f>CJ20+CJ109</f>
        <v>12485.291789519957</v>
      </c>
      <c r="CK110" s="322"/>
      <c r="CL110" s="322"/>
      <c r="CM110" s="322"/>
      <c r="CN110" s="322"/>
      <c r="CO110" s="33">
        <f>CO20+CO109</f>
        <v>12665.433776052965</v>
      </c>
      <c r="CP110" s="322"/>
      <c r="CQ110" s="322"/>
      <c r="CR110" s="322"/>
      <c r="CS110" s="322"/>
      <c r="CT110" s="33">
        <f>CT20+CT109</f>
        <v>13833.767543647287</v>
      </c>
      <c r="CU110" s="322"/>
      <c r="CV110" s="322"/>
      <c r="CW110" s="322"/>
      <c r="CX110" s="322"/>
      <c r="CY110" s="33">
        <f>CY20+CY109</f>
        <v>12692.069010656489</v>
      </c>
      <c r="CZ110" s="322"/>
      <c r="DA110" s="322"/>
      <c r="DB110" s="322"/>
      <c r="DC110" s="322"/>
      <c r="DD110" s="33">
        <f>DD20+DD109</f>
        <v>13437.273648967028</v>
      </c>
      <c r="DE110" s="322"/>
      <c r="DF110" s="322"/>
      <c r="DG110" s="322"/>
      <c r="DH110" s="322"/>
      <c r="DI110" s="33">
        <f>DI20+DI109</f>
        <v>14322.478590623596</v>
      </c>
      <c r="DJ110" s="322"/>
      <c r="DK110" s="322"/>
      <c r="DL110" s="322"/>
      <c r="DM110" s="322"/>
      <c r="DN110" s="33">
        <f>DN20+DN109</f>
        <v>15247.379828020299</v>
      </c>
      <c r="DO110" s="322"/>
      <c r="DP110" s="322"/>
      <c r="DQ110" s="322"/>
      <c r="DR110" s="322"/>
      <c r="DS110" s="33">
        <f>DS20+DS109</f>
        <v>10725.723529697256</v>
      </c>
      <c r="DT110" s="322"/>
      <c r="DU110" s="322"/>
      <c r="DV110" s="322"/>
      <c r="DW110" s="322"/>
      <c r="DX110" s="33">
        <f>DX20+DX109</f>
        <v>9317.2316827825089</v>
      </c>
      <c r="DY110" s="322"/>
      <c r="DZ110" s="322"/>
      <c r="EA110" s="322"/>
      <c r="EB110" s="322"/>
      <c r="EC110" s="33">
        <f>EC20+EC109</f>
        <v>9154.9618328820598</v>
      </c>
      <c r="ED110" s="322"/>
      <c r="EE110" s="322"/>
      <c r="EF110" s="322"/>
      <c r="EG110" s="322"/>
      <c r="EH110" s="33">
        <f>EH20+EH109</f>
        <v>9990.9966401184902</v>
      </c>
      <c r="EI110" s="322"/>
      <c r="EJ110" s="322"/>
      <c r="EK110" s="322"/>
      <c r="EL110" s="322"/>
      <c r="EM110" s="33">
        <f>EM20+EM109</f>
        <v>12595.620564835086</v>
      </c>
      <c r="EN110" s="322"/>
      <c r="EO110" s="322"/>
      <c r="EP110" s="322"/>
      <c r="EQ110" s="322"/>
      <c r="ER110" s="33">
        <f>ER20+ER109</f>
        <v>12889.32016577833</v>
      </c>
    </row>
    <row r="111" spans="2:148" ht="12.75" customHeight="1">
      <c r="B111" s="1" t="s">
        <v>116</v>
      </c>
      <c r="C111" s="6"/>
      <c r="D111" s="323"/>
      <c r="E111" s="323"/>
      <c r="F111" s="323"/>
      <c r="G111" s="323"/>
      <c r="H111" s="6"/>
      <c r="I111" s="323"/>
      <c r="J111" s="323"/>
      <c r="K111" s="323"/>
      <c r="L111" s="323"/>
      <c r="M111" s="6"/>
      <c r="N111" s="312">
        <v>1.302</v>
      </c>
      <c r="O111" s="312">
        <v>1.304</v>
      </c>
      <c r="P111" s="312">
        <v>1.304</v>
      </c>
      <c r="Q111" s="312">
        <f>9.16-3.91</f>
        <v>5.25</v>
      </c>
      <c r="R111" s="28">
        <f>N111+O111+P111+Q111</f>
        <v>9.16</v>
      </c>
      <c r="S111" s="323"/>
      <c r="T111" s="323"/>
      <c r="U111" s="323"/>
      <c r="V111" s="323"/>
      <c r="W111" s="6"/>
      <c r="X111" s="323"/>
      <c r="Y111" s="323"/>
      <c r="Z111" s="323"/>
      <c r="AA111" s="323"/>
      <c r="AB111" s="6"/>
      <c r="AC111" s="323"/>
      <c r="AD111" s="323"/>
      <c r="AE111" s="323"/>
      <c r="AF111" s="323"/>
      <c r="AG111" s="6"/>
      <c r="AH111" s="323"/>
      <c r="AI111" s="323"/>
      <c r="AJ111" s="323"/>
      <c r="AK111" s="323"/>
      <c r="AL111" s="6"/>
      <c r="AM111" s="323"/>
      <c r="AN111" s="323"/>
      <c r="AO111" s="323"/>
      <c r="AP111" s="323"/>
      <c r="AQ111" s="6"/>
      <c r="AR111" s="323"/>
      <c r="AS111" s="323"/>
      <c r="AT111" s="323"/>
      <c r="AU111" s="323"/>
      <c r="AV111" s="6"/>
      <c r="AW111" s="323"/>
      <c r="AX111" s="323"/>
      <c r="AY111" s="323"/>
      <c r="AZ111" s="323"/>
      <c r="BA111" s="6"/>
      <c r="BB111" s="323"/>
      <c r="BC111" s="323"/>
      <c r="BD111" s="323"/>
      <c r="BE111" s="323"/>
      <c r="BF111" s="6"/>
      <c r="BG111" s="323"/>
      <c r="BH111" s="323"/>
      <c r="BI111" s="323"/>
      <c r="BJ111" s="323"/>
      <c r="BK111" s="6"/>
      <c r="BL111" s="323"/>
      <c r="BM111" s="323"/>
      <c r="BN111" s="323"/>
      <c r="BO111" s="323"/>
      <c r="BP111" s="6"/>
      <c r="BQ111" s="323"/>
      <c r="BR111" s="323"/>
      <c r="BS111" s="323"/>
      <c r="BT111" s="323"/>
      <c r="BU111" s="6"/>
      <c r="BV111" s="323"/>
      <c r="BW111" s="323"/>
      <c r="BX111" s="323"/>
      <c r="BY111" s="323"/>
      <c r="BZ111" s="6"/>
      <c r="CA111" s="323"/>
      <c r="CB111" s="323"/>
      <c r="CC111" s="323"/>
      <c r="CD111" s="323"/>
      <c r="CE111" s="6"/>
      <c r="CF111" s="323"/>
      <c r="CG111" s="323"/>
      <c r="CH111" s="323"/>
      <c r="CI111" s="323"/>
      <c r="CJ111" s="6"/>
      <c r="CK111" s="323"/>
      <c r="CL111" s="323"/>
      <c r="CM111" s="323"/>
      <c r="CN111" s="323"/>
      <c r="CO111" s="6"/>
      <c r="CP111" s="323"/>
      <c r="CQ111" s="323"/>
      <c r="CR111" s="323"/>
      <c r="CS111" s="323"/>
      <c r="CT111" s="6"/>
      <c r="CU111" s="323"/>
      <c r="CV111" s="323"/>
      <c r="CW111" s="323"/>
      <c r="CX111" s="323"/>
      <c r="CY111" s="6"/>
      <c r="CZ111" s="323"/>
      <c r="DA111" s="323"/>
      <c r="DB111" s="323"/>
      <c r="DC111" s="323"/>
      <c r="DD111" s="6"/>
      <c r="DE111" s="323"/>
      <c r="DF111" s="323"/>
      <c r="DG111" s="323"/>
      <c r="DH111" s="323"/>
      <c r="DI111" s="6"/>
      <c r="DJ111" s="323"/>
      <c r="DK111" s="323"/>
      <c r="DL111" s="323"/>
      <c r="DM111" s="323"/>
      <c r="DN111" s="6"/>
      <c r="DO111" s="323"/>
      <c r="DP111" s="323"/>
      <c r="DQ111" s="323"/>
      <c r="DR111" s="323"/>
      <c r="DS111" s="6"/>
      <c r="DT111" s="323"/>
      <c r="DU111" s="323"/>
      <c r="DV111" s="323"/>
      <c r="DW111" s="323"/>
      <c r="DX111" s="6"/>
      <c r="DY111" s="323"/>
      <c r="DZ111" s="323"/>
      <c r="EA111" s="323"/>
      <c r="EB111" s="323"/>
      <c r="EC111" s="6"/>
      <c r="ED111" s="323"/>
      <c r="EE111" s="323"/>
      <c r="EF111" s="323"/>
      <c r="EG111" s="323"/>
      <c r="EH111" s="6"/>
      <c r="EI111" s="323"/>
      <c r="EJ111" s="323"/>
      <c r="EK111" s="323"/>
      <c r="EL111" s="323"/>
      <c r="EM111" s="6"/>
      <c r="EN111" s="323"/>
      <c r="EO111" s="323"/>
      <c r="EP111" s="323"/>
      <c r="EQ111" s="323"/>
      <c r="ER111" s="6"/>
    </row>
    <row r="112" spans="2:148" ht="12.75" customHeight="1">
      <c r="C112" s="3"/>
      <c r="D112" s="324"/>
      <c r="E112" s="324"/>
      <c r="F112" s="324"/>
      <c r="G112" s="324"/>
      <c r="H112" s="3"/>
      <c r="I112" s="324"/>
      <c r="J112" s="324"/>
      <c r="K112" s="324"/>
      <c r="L112" s="324"/>
      <c r="M112" s="3"/>
      <c r="N112" s="324"/>
      <c r="O112" s="324"/>
      <c r="P112" s="324"/>
      <c r="Q112" s="324"/>
      <c r="R112" s="3"/>
      <c r="S112" s="324"/>
      <c r="T112" s="324"/>
      <c r="U112" s="324"/>
      <c r="V112" s="324"/>
      <c r="W112" s="3"/>
      <c r="X112" s="324"/>
      <c r="Y112" s="324"/>
      <c r="Z112" s="324"/>
      <c r="AA112" s="324"/>
      <c r="AB112" s="3"/>
      <c r="AC112" s="324"/>
      <c r="AD112" s="324"/>
      <c r="AE112" s="324"/>
      <c r="AF112" s="324"/>
      <c r="AG112" s="3"/>
      <c r="AH112" s="324"/>
      <c r="AI112" s="324"/>
      <c r="AJ112" s="324"/>
      <c r="AK112" s="324"/>
      <c r="AL112" s="3"/>
      <c r="AM112" s="324"/>
      <c r="AN112" s="324"/>
      <c r="AO112" s="324"/>
      <c r="AP112" s="324"/>
      <c r="AQ112" s="3"/>
      <c r="AR112" s="324"/>
      <c r="AS112" s="324"/>
      <c r="AT112" s="324"/>
      <c r="AU112" s="324"/>
      <c r="AV112" s="3"/>
      <c r="AW112" s="324"/>
      <c r="AX112" s="324"/>
      <c r="AY112" s="324"/>
      <c r="AZ112" s="324"/>
      <c r="BA112" s="3"/>
      <c r="BB112" s="324"/>
      <c r="BC112" s="324"/>
      <c r="BD112" s="324"/>
      <c r="BE112" s="324"/>
      <c r="BF112" s="3"/>
      <c r="BG112" s="324"/>
      <c r="BH112" s="324"/>
      <c r="BI112" s="324"/>
      <c r="BJ112" s="324"/>
      <c r="BK112" s="3"/>
      <c r="BL112" s="324"/>
      <c r="BM112" s="324"/>
      <c r="BN112" s="324"/>
      <c r="BO112" s="324"/>
      <c r="BP112" s="3"/>
      <c r="BQ112" s="324"/>
      <c r="BR112" s="324"/>
      <c r="BS112" s="324"/>
      <c r="BT112" s="324"/>
      <c r="BU112" s="3"/>
      <c r="BV112" s="324"/>
      <c r="BW112" s="324"/>
      <c r="BX112" s="324"/>
      <c r="BY112" s="324"/>
      <c r="BZ112" s="3"/>
      <c r="CA112" s="324"/>
      <c r="CB112" s="324"/>
      <c r="CC112" s="324"/>
      <c r="CD112" s="324"/>
      <c r="CE112" s="3"/>
      <c r="CF112" s="324"/>
      <c r="CG112" s="324"/>
      <c r="CH112" s="324"/>
      <c r="CI112" s="324"/>
      <c r="CJ112" s="3"/>
      <c r="CK112" s="324"/>
      <c r="CL112" s="324"/>
      <c r="CM112" s="324"/>
      <c r="CN112" s="324"/>
      <c r="CO112" s="3"/>
      <c r="CP112" s="324"/>
      <c r="CQ112" s="324"/>
      <c r="CR112" s="324"/>
      <c r="CS112" s="324"/>
      <c r="CT112" s="3"/>
      <c r="CU112" s="324"/>
      <c r="CV112" s="324"/>
      <c r="CW112" s="324"/>
      <c r="CX112" s="324"/>
      <c r="CY112" s="3"/>
      <c r="CZ112" s="324"/>
      <c r="DA112" s="324"/>
      <c r="DB112" s="324"/>
      <c r="DC112" s="324"/>
      <c r="DD112" s="3"/>
      <c r="DE112" s="324"/>
      <c r="DF112" s="324"/>
      <c r="DG112" s="324"/>
      <c r="DH112" s="324"/>
      <c r="DI112" s="3"/>
      <c r="DJ112" s="324"/>
      <c r="DK112" s="324"/>
      <c r="DL112" s="324"/>
      <c r="DM112" s="324"/>
      <c r="DN112" s="3"/>
      <c r="DO112" s="324"/>
      <c r="DP112" s="324"/>
      <c r="DQ112" s="324"/>
      <c r="DR112" s="324"/>
      <c r="DS112" s="3"/>
      <c r="DT112" s="324"/>
      <c r="DU112" s="324"/>
      <c r="DV112" s="324"/>
      <c r="DW112" s="324"/>
      <c r="DX112" s="3"/>
      <c r="DY112" s="324"/>
      <c r="DZ112" s="324"/>
      <c r="EA112" s="324"/>
      <c r="EB112" s="324"/>
      <c r="EC112" s="3"/>
      <c r="ED112" s="324"/>
      <c r="EE112" s="324"/>
      <c r="EF112" s="324"/>
      <c r="EG112" s="324"/>
      <c r="EH112" s="3"/>
      <c r="EI112" s="324"/>
      <c r="EJ112" s="324"/>
      <c r="EK112" s="324"/>
      <c r="EL112" s="324"/>
      <c r="EM112" s="3"/>
      <c r="EN112" s="324"/>
      <c r="EO112" s="324"/>
      <c r="EP112" s="324"/>
      <c r="EQ112" s="324"/>
      <c r="ER112" s="3"/>
    </row>
    <row r="113" spans="2:237" ht="12.75" customHeight="1">
      <c r="B113" s="9" t="s">
        <v>118</v>
      </c>
      <c r="C113" s="9"/>
      <c r="D113" s="521"/>
      <c r="E113" s="521"/>
      <c r="F113" s="521"/>
      <c r="G113" s="521"/>
      <c r="H113" s="9"/>
      <c r="I113" s="521"/>
      <c r="J113" s="521"/>
      <c r="K113" s="521"/>
      <c r="L113" s="521"/>
      <c r="M113" s="9"/>
      <c r="N113" s="521"/>
      <c r="O113" s="521"/>
      <c r="P113" s="521"/>
      <c r="Q113" s="521"/>
      <c r="R113" s="9"/>
      <c r="S113" s="521"/>
      <c r="T113" s="521"/>
      <c r="U113" s="521"/>
      <c r="V113" s="521"/>
      <c r="W113" s="9"/>
      <c r="X113" s="521"/>
      <c r="Y113" s="521"/>
      <c r="Z113" s="521"/>
      <c r="AA113" s="521"/>
      <c r="AB113" s="9"/>
      <c r="AC113" s="521"/>
      <c r="AD113" s="521"/>
      <c r="AE113" s="521"/>
      <c r="AF113" s="521"/>
      <c r="AG113" s="9"/>
      <c r="AH113" s="521"/>
      <c r="AI113" s="521"/>
      <c r="AJ113" s="521"/>
      <c r="AK113" s="521"/>
      <c r="AL113" s="9"/>
      <c r="AM113" s="521"/>
      <c r="AN113" s="521"/>
      <c r="AO113" s="521"/>
      <c r="AP113" s="521"/>
      <c r="AQ113" s="9"/>
      <c r="AR113" s="521"/>
      <c r="AS113" s="521"/>
      <c r="AT113" s="521"/>
      <c r="AU113" s="521"/>
      <c r="AV113" s="9"/>
      <c r="AW113" s="521"/>
      <c r="AX113" s="521"/>
      <c r="AY113" s="521"/>
      <c r="AZ113" s="521"/>
      <c r="BA113" s="9"/>
      <c r="BB113" s="290"/>
      <c r="BC113" s="290"/>
      <c r="BD113" s="290"/>
      <c r="BE113" s="290"/>
      <c r="BF113" s="9"/>
      <c r="BG113" s="290"/>
      <c r="BH113" s="290"/>
      <c r="BI113" s="290"/>
      <c r="BJ113" s="290"/>
      <c r="BK113" s="9"/>
      <c r="BL113" s="290"/>
      <c r="BM113" s="290"/>
      <c r="BN113" s="290"/>
      <c r="BO113" s="290"/>
      <c r="BP113" s="9"/>
      <c r="BQ113" s="290"/>
      <c r="BR113" s="290"/>
      <c r="BS113" s="290"/>
      <c r="BT113" s="290"/>
      <c r="BU113" s="9"/>
      <c r="BV113" s="290"/>
      <c r="BW113" s="290"/>
      <c r="BX113" s="290"/>
      <c r="BY113" s="290"/>
      <c r="BZ113" s="9"/>
      <c r="CA113" s="290"/>
      <c r="CB113" s="290"/>
      <c r="CC113" s="290"/>
      <c r="CD113" s="290"/>
      <c r="CE113" s="9"/>
      <c r="CF113" s="290"/>
      <c r="CG113" s="290"/>
      <c r="CH113" s="290"/>
      <c r="CI113" s="290"/>
      <c r="CJ113" s="9"/>
      <c r="CK113" s="290"/>
      <c r="CL113" s="290"/>
      <c r="CM113" s="290"/>
      <c r="CN113" s="290"/>
      <c r="CO113" s="9"/>
      <c r="CP113" s="290"/>
      <c r="CQ113" s="290"/>
      <c r="CR113" s="290"/>
      <c r="CS113" s="290"/>
      <c r="CT113" s="9"/>
      <c r="CU113" s="290"/>
      <c r="CV113" s="290"/>
      <c r="CW113" s="290"/>
      <c r="CX113" s="290"/>
      <c r="CY113" s="9"/>
      <c r="CZ113" s="290"/>
      <c r="DA113" s="290"/>
      <c r="DB113" s="290"/>
      <c r="DC113" s="290"/>
      <c r="DD113" s="9"/>
      <c r="DE113" s="290"/>
      <c r="DF113" s="290"/>
      <c r="DG113" s="290"/>
      <c r="DH113" s="290"/>
      <c r="DI113" s="9"/>
      <c r="DJ113" s="290"/>
      <c r="DK113" s="290"/>
      <c r="DL113" s="290"/>
      <c r="DM113" s="290"/>
      <c r="DN113" s="9"/>
      <c r="DO113" s="290"/>
      <c r="DP113" s="290"/>
      <c r="DQ113" s="290"/>
      <c r="DR113" s="290"/>
      <c r="DS113" s="9"/>
      <c r="DT113" s="290"/>
      <c r="DU113" s="290"/>
      <c r="DV113" s="290"/>
      <c r="DW113" s="290"/>
      <c r="DX113" s="9"/>
      <c r="DY113" s="290"/>
      <c r="DZ113" s="290"/>
      <c r="EA113" s="290"/>
      <c r="EB113" s="290"/>
      <c r="EC113" s="9"/>
      <c r="ED113" s="290"/>
      <c r="EE113" s="290"/>
      <c r="EF113" s="290"/>
      <c r="EG113" s="290"/>
      <c r="EH113" s="9"/>
      <c r="EI113" s="290"/>
      <c r="EJ113" s="290"/>
      <c r="EK113" s="290"/>
      <c r="EL113" s="290"/>
      <c r="EM113" s="9"/>
      <c r="EN113" s="290"/>
      <c r="EO113" s="290"/>
      <c r="EP113" s="290"/>
      <c r="EQ113" s="290"/>
      <c r="ER113" s="9"/>
    </row>
    <row r="114" spans="2:237" ht="12.75" hidden="1" customHeight="1" outlineLevel="1">
      <c r="B114" s="1" t="s">
        <v>119</v>
      </c>
      <c r="C114" s="34">
        <v>63.887999999999998</v>
      </c>
      <c r="D114" s="522">
        <v>32.811999999999998</v>
      </c>
      <c r="E114" s="522">
        <v>44.177999999999997</v>
      </c>
      <c r="F114" s="522">
        <v>70.284000000000006</v>
      </c>
      <c r="G114" s="522">
        <v>71.683999999999997</v>
      </c>
      <c r="H114" s="34">
        <f>+SUM(D114:G114)</f>
        <v>218.958</v>
      </c>
      <c r="I114" s="522">
        <v>79.186000000000007</v>
      </c>
      <c r="J114" s="522">
        <v>133.46799999999999</v>
      </c>
      <c r="K114" s="522">
        <v>89.021000000000001</v>
      </c>
      <c r="L114" s="522">
        <v>141.83099999999999</v>
      </c>
      <c r="M114" s="34">
        <f>+SUM(I114:L114)</f>
        <v>443.50599999999997</v>
      </c>
      <c r="N114" s="522">
        <v>143.077</v>
      </c>
      <c r="O114" s="522">
        <v>166.34</v>
      </c>
      <c r="P114" s="522">
        <v>168.85300000000001</v>
      </c>
      <c r="Q114" s="522">
        <v>179.63200000000001</v>
      </c>
      <c r="R114" s="34">
        <f>+SUM(N114:Q114)</f>
        <v>657.90200000000004</v>
      </c>
      <c r="S114" s="522">
        <v>229.547</v>
      </c>
      <c r="T114" s="522">
        <v>236.47</v>
      </c>
      <c r="U114" s="522">
        <v>256.29399999999998</v>
      </c>
      <c r="V114" s="522">
        <v>268.76799999999997</v>
      </c>
      <c r="W114" s="34">
        <f>+SUM(S114:V114)</f>
        <v>991.07899999999995</v>
      </c>
      <c r="X114" s="522">
        <v>300.59399999999999</v>
      </c>
      <c r="Y114" s="522">
        <v>331.39299999999997</v>
      </c>
      <c r="Z114" s="522">
        <v>385.327</v>
      </c>
      <c r="AA114" s="522">
        <v>450.00799999999998</v>
      </c>
      <c r="AB114" s="34">
        <f>+SUM(X114:AA114)</f>
        <v>1467.3219999999999</v>
      </c>
      <c r="AC114" s="522">
        <v>494.20299999999997</v>
      </c>
      <c r="AD114" s="522">
        <v>512.54999999999995</v>
      </c>
      <c r="AE114" s="522">
        <v>566.35699999999997</v>
      </c>
      <c r="AF114" s="522">
        <v>592.95600000000002</v>
      </c>
      <c r="AG114" s="34">
        <f>+SUM(AC114:AF114)</f>
        <v>2166.0659999999998</v>
      </c>
      <c r="AH114" s="522">
        <v>669.57600000000002</v>
      </c>
      <c r="AI114" s="522">
        <v>681.27</v>
      </c>
      <c r="AJ114" s="522">
        <v>750.28800000000001</v>
      </c>
      <c r="AK114" s="522">
        <v>756.33799999999997</v>
      </c>
      <c r="AL114" s="34">
        <f>+SUM(AH114:AK114)</f>
        <v>2857.4719999999998</v>
      </c>
      <c r="AM114" s="522">
        <v>803.16</v>
      </c>
      <c r="AN114" s="522">
        <v>871.27300000000002</v>
      </c>
      <c r="AO114" s="522">
        <v>918.47699999999998</v>
      </c>
      <c r="AP114" s="522">
        <v>1006.403</v>
      </c>
      <c r="AQ114" s="34">
        <f>+SUM(AM114:AP114)</f>
        <v>3599.3130000000001</v>
      </c>
      <c r="AR114" s="522">
        <v>1012.484</v>
      </c>
      <c r="AS114" s="522">
        <v>1039.883</v>
      </c>
      <c r="AT114" s="522">
        <v>1071.77</v>
      </c>
      <c r="AU114" s="522">
        <v>1099.8979999999999</v>
      </c>
      <c r="AV114" s="34">
        <f>+SUM(AR114:AU114)</f>
        <v>4224.0349999999999</v>
      </c>
      <c r="AW114" s="522">
        <v>1035.7940000000001</v>
      </c>
      <c r="AX114" s="522">
        <v>1144.6210000000001</v>
      </c>
      <c r="AY114" s="522">
        <v>1182.181</v>
      </c>
      <c r="AZ114" s="325"/>
      <c r="BA114" s="7"/>
      <c r="BB114" s="325"/>
      <c r="BC114" s="325"/>
      <c r="BD114" s="325"/>
      <c r="BE114" s="325"/>
      <c r="BF114" s="7"/>
      <c r="BG114" s="325"/>
      <c r="BH114" s="325"/>
      <c r="BI114" s="325"/>
      <c r="BJ114" s="325"/>
      <c r="BK114" s="7"/>
      <c r="BL114" s="325"/>
      <c r="BM114" s="325"/>
      <c r="BN114" s="325"/>
      <c r="BO114" s="325"/>
      <c r="BP114" s="7"/>
      <c r="BQ114" s="325"/>
      <c r="BR114" s="325"/>
      <c r="BS114" s="325"/>
      <c r="BT114" s="325"/>
      <c r="BU114" s="7"/>
      <c r="BV114" s="325"/>
      <c r="BW114" s="325"/>
      <c r="BX114" s="325"/>
      <c r="BY114" s="325"/>
      <c r="BZ114" s="7"/>
      <c r="CA114" s="325"/>
      <c r="CB114" s="325"/>
      <c r="CC114" s="325"/>
      <c r="CD114" s="325"/>
      <c r="CE114" s="7"/>
      <c r="CF114" s="325"/>
      <c r="CG114" s="325"/>
      <c r="CH114" s="325"/>
      <c r="CI114" s="325"/>
      <c r="CJ114" s="7"/>
      <c r="CK114" s="325"/>
      <c r="CL114" s="325"/>
      <c r="CM114" s="325"/>
      <c r="CN114" s="325"/>
      <c r="CO114" s="7"/>
      <c r="CP114" s="325"/>
      <c r="CQ114" s="325"/>
      <c r="CR114" s="325"/>
      <c r="CS114" s="325"/>
      <c r="CT114" s="7"/>
      <c r="CU114" s="325"/>
      <c r="CV114" s="325"/>
      <c r="CW114" s="325"/>
      <c r="CX114" s="325"/>
      <c r="CY114" s="7"/>
      <c r="CZ114" s="325"/>
      <c r="DA114" s="325"/>
      <c r="DB114" s="325"/>
      <c r="DC114" s="325"/>
      <c r="DD114" s="7"/>
      <c r="DE114" s="325"/>
      <c r="DF114" s="325"/>
      <c r="DG114" s="325"/>
      <c r="DH114" s="325"/>
      <c r="DI114" s="7"/>
      <c r="DJ114" s="325"/>
      <c r="DK114" s="325"/>
      <c r="DL114" s="325"/>
      <c r="DM114" s="325"/>
      <c r="DN114" s="7"/>
      <c r="DO114" s="325"/>
      <c r="DP114" s="325"/>
      <c r="DQ114" s="325"/>
      <c r="DR114" s="325"/>
      <c r="DS114" s="7"/>
      <c r="DT114" s="325"/>
      <c r="DU114" s="325"/>
      <c r="DV114" s="325"/>
      <c r="DW114" s="325"/>
      <c r="DX114" s="7"/>
      <c r="DY114" s="325"/>
      <c r="DZ114" s="325"/>
      <c r="EA114" s="325"/>
      <c r="EB114" s="325"/>
      <c r="EC114" s="7"/>
      <c r="ED114" s="325"/>
      <c r="EE114" s="325"/>
      <c r="EF114" s="325"/>
      <c r="EG114" s="325"/>
      <c r="EH114" s="7"/>
      <c r="EI114" s="325"/>
      <c r="EJ114" s="325"/>
      <c r="EK114" s="325"/>
      <c r="EL114" s="325"/>
      <c r="EM114" s="7"/>
      <c r="EN114" s="325"/>
      <c r="EO114" s="325"/>
      <c r="EP114" s="325"/>
      <c r="EQ114" s="325"/>
      <c r="ER114" s="7"/>
    </row>
    <row r="115" spans="2:237" s="9" customFormat="1" ht="12.75" hidden="1" customHeight="1" outlineLevel="1">
      <c r="B115" s="1" t="s">
        <v>120</v>
      </c>
      <c r="C115" s="34">
        <f t="shared" ref="C115:AH115" si="178">SUM(C116:C123)</f>
        <v>169.881</v>
      </c>
      <c r="D115" s="522">
        <f t="shared" si="178"/>
        <v>45.603999999999999</v>
      </c>
      <c r="E115" s="522">
        <f t="shared" si="178"/>
        <v>65.185000000000002</v>
      </c>
      <c r="F115" s="522">
        <f t="shared" si="178"/>
        <v>63.70000000000001</v>
      </c>
      <c r="G115" s="522">
        <f t="shared" si="178"/>
        <v>73.343000000000004</v>
      </c>
      <c r="H115" s="34">
        <f t="shared" si="178"/>
        <v>247.83199999999999</v>
      </c>
      <c r="I115" s="522">
        <f t="shared" si="178"/>
        <v>85.918999999999997</v>
      </c>
      <c r="J115" s="522">
        <f t="shared" si="178"/>
        <v>105.402</v>
      </c>
      <c r="K115" s="522">
        <f t="shared" si="178"/>
        <v>111.351</v>
      </c>
      <c r="L115" s="522">
        <f t="shared" si="178"/>
        <v>121.68599999999999</v>
      </c>
      <c r="M115" s="34">
        <f t="shared" si="178"/>
        <v>424.358</v>
      </c>
      <c r="N115" s="522">
        <f t="shared" si="178"/>
        <v>166.05</v>
      </c>
      <c r="O115" s="522">
        <f t="shared" si="178"/>
        <v>153.38200000000001</v>
      </c>
      <c r="P115" s="522">
        <f t="shared" si="178"/>
        <v>157.334</v>
      </c>
      <c r="Q115" s="522">
        <f t="shared" si="178"/>
        <v>189.95399999999998</v>
      </c>
      <c r="R115" s="34">
        <f t="shared" si="178"/>
        <v>666.72</v>
      </c>
      <c r="S115" s="522">
        <f t="shared" si="178"/>
        <v>200.86700000000002</v>
      </c>
      <c r="T115" s="522">
        <f t="shared" si="178"/>
        <v>258.79899999999998</v>
      </c>
      <c r="U115" s="522">
        <f t="shared" si="178"/>
        <v>237.15700000000001</v>
      </c>
      <c r="V115" s="522">
        <f t="shared" si="178"/>
        <v>340.49799999999999</v>
      </c>
      <c r="W115" s="34">
        <f t="shared" si="178"/>
        <v>1037.3209999999999</v>
      </c>
      <c r="X115" s="522">
        <f t="shared" si="178"/>
        <v>392.28399999999999</v>
      </c>
      <c r="Y115" s="522">
        <f t="shared" si="178"/>
        <v>353.90900000000005</v>
      </c>
      <c r="Z115" s="522">
        <f t="shared" si="178"/>
        <v>363.40600000000001</v>
      </c>
      <c r="AA115" s="522">
        <f t="shared" si="178"/>
        <v>449.21799999999996</v>
      </c>
      <c r="AB115" s="34">
        <f t="shared" si="178"/>
        <v>1558.8170000000005</v>
      </c>
      <c r="AC115" s="522">
        <f t="shared" si="178"/>
        <v>534.22699999999998</v>
      </c>
      <c r="AD115" s="522">
        <f t="shared" si="178"/>
        <v>535.53899999999999</v>
      </c>
      <c r="AE115" s="522">
        <f t="shared" si="178"/>
        <v>492.44600000000003</v>
      </c>
      <c r="AF115" s="522">
        <f t="shared" si="178"/>
        <v>501.767</v>
      </c>
      <c r="AG115" s="34">
        <f t="shared" si="178"/>
        <v>2063.9790000000003</v>
      </c>
      <c r="AH115" s="522">
        <f t="shared" si="178"/>
        <v>588.57600000000002</v>
      </c>
      <c r="AI115" s="522">
        <f t="shared" ref="AI115:AY115" si="179">SUM(AI116:AI123)</f>
        <v>596.85500000000002</v>
      </c>
      <c r="AJ115" s="522">
        <f t="shared" si="179"/>
        <v>620.98</v>
      </c>
      <c r="AK115" s="522">
        <f t="shared" si="179"/>
        <v>671.86699999999996</v>
      </c>
      <c r="AL115" s="34">
        <f t="shared" si="179"/>
        <v>2478.2780000000002</v>
      </c>
      <c r="AM115" s="522">
        <f t="shared" si="179"/>
        <v>727.29999999999984</v>
      </c>
      <c r="AN115" s="522">
        <f t="shared" si="179"/>
        <v>775.88199999999983</v>
      </c>
      <c r="AO115" s="522">
        <f t="shared" si="179"/>
        <v>882.91200000000003</v>
      </c>
      <c r="AP115" s="522">
        <f t="shared" si="179"/>
        <v>1025.9760000000001</v>
      </c>
      <c r="AQ115" s="34">
        <f t="shared" si="179"/>
        <v>3412.0700000000006</v>
      </c>
      <c r="AR115" s="522">
        <f t="shared" si="179"/>
        <v>1073.3689999999999</v>
      </c>
      <c r="AS115" s="522">
        <f t="shared" si="179"/>
        <v>887.34100000000001</v>
      </c>
      <c r="AT115" s="522">
        <f t="shared" si="179"/>
        <v>865.88599999999997</v>
      </c>
      <c r="AU115" s="522">
        <f t="shared" si="179"/>
        <v>898.78899999999999</v>
      </c>
      <c r="AV115" s="34">
        <f t="shared" si="179"/>
        <v>3725.3849999999998</v>
      </c>
      <c r="AW115" s="522">
        <f t="shared" si="179"/>
        <v>890.3</v>
      </c>
      <c r="AX115" s="522">
        <f t="shared" si="179"/>
        <v>992.63199999999995</v>
      </c>
      <c r="AY115" s="522">
        <f t="shared" si="179"/>
        <v>939.47899999999993</v>
      </c>
      <c r="AZ115" s="325"/>
      <c r="BA115" s="7"/>
      <c r="BB115" s="325"/>
      <c r="BC115" s="325"/>
      <c r="BD115" s="325"/>
      <c r="BE115" s="325"/>
      <c r="BF115" s="7"/>
      <c r="BG115" s="325"/>
      <c r="BH115" s="325"/>
      <c r="BI115" s="325"/>
      <c r="BJ115" s="325"/>
      <c r="BK115" s="7"/>
      <c r="BL115" s="325"/>
      <c r="BM115" s="325"/>
      <c r="BN115" s="325"/>
      <c r="BO115" s="325"/>
      <c r="BP115" s="7"/>
      <c r="BQ115" s="325"/>
      <c r="BR115" s="325"/>
      <c r="BS115" s="325"/>
      <c r="BT115" s="325"/>
      <c r="BU115" s="7"/>
      <c r="BV115" s="325"/>
      <c r="BW115" s="325"/>
      <c r="BX115" s="325"/>
      <c r="BY115" s="325"/>
      <c r="BZ115" s="7"/>
      <c r="CA115" s="325"/>
      <c r="CB115" s="325"/>
      <c r="CC115" s="325"/>
      <c r="CD115" s="325"/>
      <c r="CE115" s="7"/>
      <c r="CF115" s="325"/>
      <c r="CG115" s="325"/>
      <c r="CH115" s="325"/>
      <c r="CI115" s="325"/>
      <c r="CJ115" s="7"/>
      <c r="CK115" s="325"/>
      <c r="CL115" s="325"/>
      <c r="CM115" s="325"/>
      <c r="CN115" s="325"/>
      <c r="CO115" s="7"/>
      <c r="CP115" s="325"/>
      <c r="CQ115" s="325"/>
      <c r="CR115" s="325"/>
      <c r="CS115" s="325"/>
      <c r="CT115" s="7"/>
      <c r="CU115" s="325"/>
      <c r="CV115" s="325"/>
      <c r="CW115" s="325"/>
      <c r="CX115" s="325"/>
      <c r="CY115" s="7"/>
      <c r="CZ115" s="325"/>
      <c r="DA115" s="325"/>
      <c r="DB115" s="325"/>
      <c r="DC115" s="325"/>
      <c r="DD115" s="7"/>
      <c r="DE115" s="325"/>
      <c r="DF115" s="325"/>
      <c r="DG115" s="325"/>
      <c r="DH115" s="325"/>
      <c r="DI115" s="7"/>
      <c r="DJ115" s="325"/>
      <c r="DK115" s="325"/>
      <c r="DL115" s="325"/>
      <c r="DM115" s="325"/>
      <c r="DN115" s="7"/>
      <c r="DO115" s="325"/>
      <c r="DP115" s="325"/>
      <c r="DQ115" s="325"/>
      <c r="DR115" s="325"/>
      <c r="DS115" s="7"/>
      <c r="DT115" s="325"/>
      <c r="DU115" s="325"/>
      <c r="DV115" s="325"/>
      <c r="DW115" s="325"/>
      <c r="DX115" s="7"/>
      <c r="DY115" s="325"/>
      <c r="DZ115" s="325"/>
      <c r="EA115" s="325"/>
      <c r="EB115" s="325"/>
      <c r="EC115" s="7"/>
      <c r="ED115" s="325"/>
      <c r="EE115" s="325"/>
      <c r="EF115" s="325"/>
      <c r="EG115" s="325"/>
      <c r="EH115" s="7"/>
      <c r="EI115" s="325"/>
      <c r="EJ115" s="325"/>
      <c r="EK115" s="325"/>
      <c r="EL115" s="325"/>
      <c r="EM115" s="7"/>
      <c r="EN115" s="325"/>
      <c r="EO115" s="325"/>
      <c r="EP115" s="325"/>
      <c r="EQ115" s="325"/>
      <c r="ER115" s="7"/>
      <c r="EU115"/>
      <c r="EV115"/>
      <c r="EW115"/>
      <c r="EX115"/>
      <c r="EY115"/>
      <c r="EZ115"/>
    </row>
    <row r="116" spans="2:237" ht="12.75" hidden="1" customHeight="1" outlineLevel="1">
      <c r="B116" s="21" t="s">
        <v>121</v>
      </c>
      <c r="C116" s="34">
        <v>7.7210000000000001</v>
      </c>
      <c r="D116" s="522">
        <v>0</v>
      </c>
      <c r="E116" s="522">
        <v>10.683999999999999</v>
      </c>
      <c r="F116" s="522">
        <v>0.26400000000000001</v>
      </c>
      <c r="G116" s="522">
        <v>1.4970000000000001</v>
      </c>
      <c r="H116" s="34">
        <f t="shared" ref="H116:H123" si="180">+SUM(D116:G116)</f>
        <v>12.444999999999999</v>
      </c>
      <c r="I116" s="522">
        <v>5.1749999999999998</v>
      </c>
      <c r="J116" s="522">
        <v>4.6740000000000004</v>
      </c>
      <c r="K116" s="522">
        <v>2.5979999999999999</v>
      </c>
      <c r="L116" s="522">
        <v>4.0449999999999999</v>
      </c>
      <c r="M116" s="34">
        <f t="shared" ref="M116:M123" si="181">+SUM(I116:L116)</f>
        <v>16.491999999999997</v>
      </c>
      <c r="N116" s="522">
        <v>29.617999999999999</v>
      </c>
      <c r="O116" s="522">
        <v>12.074</v>
      </c>
      <c r="P116" s="522">
        <v>4.7960000000000003</v>
      </c>
      <c r="Q116" s="522">
        <v>8.2769999999999992</v>
      </c>
      <c r="R116" s="34">
        <f t="shared" ref="R116:R123" si="182">+SUM(N116:Q116)</f>
        <v>54.765000000000001</v>
      </c>
      <c r="S116" s="522">
        <v>14.959</v>
      </c>
      <c r="T116" s="522">
        <v>39.043999999999997</v>
      </c>
      <c r="U116" s="522">
        <v>15.382</v>
      </c>
      <c r="V116" s="522">
        <v>104.973</v>
      </c>
      <c r="W116" s="34">
        <f t="shared" ref="W116:W123" si="183">+SUM(S116:V116)</f>
        <v>174.358</v>
      </c>
      <c r="X116" s="522">
        <v>118.94499999999999</v>
      </c>
      <c r="Y116" s="522">
        <v>77.144000000000005</v>
      </c>
      <c r="Z116" s="522">
        <v>68.307000000000002</v>
      </c>
      <c r="AA116" s="522">
        <v>117.965</v>
      </c>
      <c r="AB116" s="34">
        <f t="shared" ref="AB116:AB123" si="184">+SUM(X116:AA116)</f>
        <v>382.36099999999999</v>
      </c>
      <c r="AC116" s="522">
        <v>173.90700000000001</v>
      </c>
      <c r="AD116" s="522">
        <v>129.03700000000001</v>
      </c>
      <c r="AE116" s="522">
        <v>84.123000000000005</v>
      </c>
      <c r="AF116" s="522">
        <v>55.387999999999998</v>
      </c>
      <c r="AG116" s="34">
        <f t="shared" ref="AG116:AG123" si="185">+SUM(AC116:AF116)</f>
        <v>442.45499999999998</v>
      </c>
      <c r="AH116" s="522">
        <v>102.892</v>
      </c>
      <c r="AI116" s="522">
        <v>46.027999999999999</v>
      </c>
      <c r="AJ116" s="522">
        <v>18.151</v>
      </c>
      <c r="AK116" s="522">
        <v>26.242999999999999</v>
      </c>
      <c r="AL116" s="34">
        <f t="shared" ref="AL116:AL123" si="186">+SUM(AH116:AK116)</f>
        <v>193.31399999999999</v>
      </c>
      <c r="AM116" s="522">
        <v>44.71</v>
      </c>
      <c r="AN116" s="522">
        <v>64.881</v>
      </c>
      <c r="AO116" s="522">
        <v>127.76300000000001</v>
      </c>
      <c r="AP116" s="522">
        <v>210.84899999999999</v>
      </c>
      <c r="AQ116" s="34">
        <f t="shared" ref="AQ116:AQ123" si="187">+SUM(AM116:AP116)</f>
        <v>448.20299999999997</v>
      </c>
      <c r="AR116" s="522">
        <v>261.245</v>
      </c>
      <c r="AS116" s="522">
        <v>99.837999999999994</v>
      </c>
      <c r="AT116" s="522">
        <v>53.534999999999997</v>
      </c>
      <c r="AU116" s="522">
        <v>43.988</v>
      </c>
      <c r="AV116" s="34">
        <f t="shared" ref="AV116:AV123" si="188">+SUM(AR116:AU116)</f>
        <v>458.60599999999994</v>
      </c>
      <c r="AW116" s="522">
        <v>32.566000000000003</v>
      </c>
      <c r="AX116" s="522">
        <v>76.055000000000007</v>
      </c>
      <c r="AY116" s="522">
        <v>32.845999999999997</v>
      </c>
      <c r="AZ116" s="325"/>
      <c r="BA116" s="7"/>
      <c r="BB116" s="325"/>
      <c r="BC116" s="325"/>
      <c r="BD116" s="325"/>
      <c r="BE116" s="325"/>
      <c r="BF116" s="7"/>
      <c r="BG116" s="325"/>
      <c r="BH116" s="325"/>
      <c r="BI116" s="325"/>
      <c r="BJ116" s="325"/>
      <c r="BK116" s="7"/>
      <c r="BL116" s="325"/>
      <c r="BM116" s="325"/>
      <c r="BN116" s="325"/>
      <c r="BO116" s="325"/>
      <c r="BP116" s="7"/>
      <c r="BQ116" s="325"/>
      <c r="BR116" s="325"/>
      <c r="BS116" s="325"/>
      <c r="BT116" s="325"/>
      <c r="BU116" s="7"/>
      <c r="BV116" s="325"/>
      <c r="BW116" s="325"/>
      <c r="BX116" s="325"/>
      <c r="BY116" s="325"/>
      <c r="BZ116" s="7"/>
      <c r="CA116" s="325"/>
      <c r="CB116" s="325"/>
      <c r="CC116" s="325"/>
      <c r="CD116" s="325"/>
      <c r="CE116" s="7"/>
      <c r="CF116" s="325"/>
      <c r="CG116" s="325"/>
      <c r="CH116" s="325"/>
      <c r="CI116" s="325"/>
      <c r="CJ116" s="7"/>
      <c r="CK116" s="325"/>
      <c r="CL116" s="325"/>
      <c r="CM116" s="325"/>
      <c r="CN116" s="325"/>
      <c r="CO116" s="7"/>
      <c r="CP116" s="325"/>
      <c r="CQ116" s="325"/>
      <c r="CR116" s="325"/>
      <c r="CS116" s="325"/>
      <c r="CT116" s="7"/>
      <c r="CU116" s="325"/>
      <c r="CV116" s="325"/>
      <c r="CW116" s="325"/>
      <c r="CX116" s="325"/>
      <c r="CY116" s="7"/>
      <c r="CZ116" s="325"/>
      <c r="DA116" s="325"/>
      <c r="DB116" s="325"/>
      <c r="DC116" s="325"/>
      <c r="DD116" s="7"/>
      <c r="DE116" s="325"/>
      <c r="DF116" s="325"/>
      <c r="DG116" s="325"/>
      <c r="DH116" s="325"/>
      <c r="DI116" s="7"/>
      <c r="DJ116" s="325"/>
      <c r="DK116" s="325"/>
      <c r="DL116" s="325"/>
      <c r="DM116" s="325"/>
      <c r="DN116" s="7"/>
      <c r="DO116" s="325"/>
      <c r="DP116" s="325"/>
      <c r="DQ116" s="325"/>
      <c r="DR116" s="325"/>
      <c r="DS116" s="7"/>
      <c r="DT116" s="325"/>
      <c r="DU116" s="325"/>
      <c r="DV116" s="325"/>
      <c r="DW116" s="325"/>
      <c r="DX116" s="7"/>
      <c r="DY116" s="325"/>
      <c r="DZ116" s="325"/>
      <c r="EA116" s="325"/>
      <c r="EB116" s="325"/>
      <c r="EC116" s="7"/>
      <c r="ED116" s="325"/>
      <c r="EE116" s="325"/>
      <c r="EF116" s="325"/>
      <c r="EG116" s="325"/>
      <c r="EH116" s="7"/>
      <c r="EI116" s="325"/>
      <c r="EJ116" s="325"/>
      <c r="EK116" s="325"/>
      <c r="EL116" s="325"/>
      <c r="EM116" s="7"/>
      <c r="EN116" s="325"/>
      <c r="EO116" s="325"/>
      <c r="EP116" s="325"/>
      <c r="EQ116" s="325"/>
      <c r="ER116" s="7"/>
      <c r="ES116" s="7"/>
      <c r="ET116" s="7"/>
      <c r="FA116" s="7"/>
      <c r="FB116" s="7"/>
      <c r="FC116" s="7"/>
      <c r="FD116" s="7"/>
      <c r="FE116" s="7"/>
      <c r="FF116" s="7"/>
      <c r="FG116" s="7"/>
      <c r="FH116" s="7"/>
      <c r="FI116" s="7"/>
      <c r="FJ116" s="7"/>
      <c r="FK116" s="7"/>
      <c r="FL116" s="7"/>
      <c r="FM116" s="7"/>
      <c r="FN116" s="7"/>
      <c r="FO116" s="7"/>
      <c r="FP116" s="7"/>
      <c r="FQ116" s="7"/>
      <c r="FR116" s="7"/>
      <c r="FS116" s="7"/>
      <c r="FT116" s="7"/>
      <c r="FU116" s="7"/>
      <c r="FV116" s="7"/>
      <c r="FW116" s="7"/>
      <c r="FX116" s="7"/>
      <c r="FY116" s="7"/>
      <c r="FZ116" s="7"/>
      <c r="GA116" s="7"/>
      <c r="GB116" s="7"/>
      <c r="GC116" s="7"/>
      <c r="GD116" s="7"/>
      <c r="GE116" s="7"/>
      <c r="GF116" s="7"/>
      <c r="GG116" s="7"/>
      <c r="GH116" s="7"/>
      <c r="GI116" s="7"/>
      <c r="GJ116" s="7"/>
      <c r="GK116" s="7"/>
      <c r="GL116" s="7"/>
      <c r="GM116" s="7"/>
      <c r="GN116" s="7"/>
      <c r="GO116" s="7"/>
      <c r="GP116" s="7"/>
      <c r="GQ116" s="7"/>
      <c r="GR116" s="7"/>
      <c r="GS116" s="7"/>
      <c r="GT116" s="7"/>
      <c r="GU116" s="7"/>
      <c r="GV116" s="7"/>
      <c r="GW116" s="7"/>
      <c r="GX116" s="7"/>
      <c r="GY116" s="7"/>
      <c r="GZ116" s="7"/>
      <c r="HA116" s="7"/>
      <c r="HB116" s="7"/>
      <c r="HC116" s="7"/>
      <c r="HD116" s="7"/>
      <c r="HE116" s="7"/>
      <c r="HF116" s="7"/>
      <c r="HG116" s="7"/>
      <c r="HH116" s="7"/>
      <c r="HI116" s="7"/>
      <c r="HJ116" s="7"/>
      <c r="HK116" s="7"/>
      <c r="HL116" s="7"/>
      <c r="HM116" s="7"/>
      <c r="HN116" s="7"/>
      <c r="HO116" s="7"/>
      <c r="HP116" s="7"/>
      <c r="HQ116" s="7"/>
      <c r="HR116" s="7"/>
      <c r="HS116" s="7"/>
      <c r="HT116" s="7"/>
      <c r="HU116" s="7"/>
      <c r="HV116" s="7"/>
      <c r="HW116" s="7"/>
      <c r="HX116" s="7"/>
      <c r="HY116" s="7"/>
      <c r="HZ116" s="7"/>
      <c r="IA116" s="7"/>
      <c r="IB116" s="7"/>
      <c r="IC116" s="7"/>
    </row>
    <row r="117" spans="2:237" ht="12.75" hidden="1" customHeight="1" outlineLevel="1">
      <c r="B117" s="21" t="s">
        <v>122</v>
      </c>
      <c r="C117" s="34">
        <v>16.774999999999999</v>
      </c>
      <c r="D117" s="522">
        <v>7.452</v>
      </c>
      <c r="E117" s="522">
        <v>9.0530000000000008</v>
      </c>
      <c r="F117" s="522">
        <v>11.208</v>
      </c>
      <c r="G117" s="522">
        <v>14.704000000000001</v>
      </c>
      <c r="H117" s="34">
        <f t="shared" si="180"/>
        <v>42.417000000000002</v>
      </c>
      <c r="I117" s="522">
        <v>17.850999999999999</v>
      </c>
      <c r="J117" s="522">
        <v>23.492000000000001</v>
      </c>
      <c r="K117" s="522">
        <v>23.704000000000001</v>
      </c>
      <c r="L117" s="522">
        <v>24.129000000000001</v>
      </c>
      <c r="M117" s="34">
        <f t="shared" si="181"/>
        <v>89.176000000000002</v>
      </c>
      <c r="N117" s="522">
        <v>30.911999999999999</v>
      </c>
      <c r="O117" s="522">
        <v>30.353000000000002</v>
      </c>
      <c r="P117" s="522">
        <v>27.61</v>
      </c>
      <c r="Q117" s="522">
        <v>31.984000000000002</v>
      </c>
      <c r="R117" s="34">
        <f t="shared" si="182"/>
        <v>120.85900000000001</v>
      </c>
      <c r="S117" s="522">
        <v>39.112000000000002</v>
      </c>
      <c r="T117" s="522">
        <v>39.92</v>
      </c>
      <c r="U117" s="522">
        <v>38.488</v>
      </c>
      <c r="V117" s="522">
        <v>38.85</v>
      </c>
      <c r="W117" s="34">
        <f t="shared" si="183"/>
        <v>156.37</v>
      </c>
      <c r="X117" s="522">
        <v>48.314999999999998</v>
      </c>
      <c r="Y117" s="522">
        <v>53.969000000000001</v>
      </c>
      <c r="Z117" s="522">
        <v>56.561</v>
      </c>
      <c r="AA117" s="522">
        <v>69.945999999999998</v>
      </c>
      <c r="AB117" s="34">
        <f t="shared" si="184"/>
        <v>228.791</v>
      </c>
      <c r="AC117" s="522">
        <v>69.456000000000003</v>
      </c>
      <c r="AD117" s="522">
        <v>84.65</v>
      </c>
      <c r="AE117" s="522">
        <v>87.73</v>
      </c>
      <c r="AF117" s="522">
        <v>107.441</v>
      </c>
      <c r="AG117" s="34">
        <f t="shared" si="185"/>
        <v>349.27700000000004</v>
      </c>
      <c r="AH117" s="522">
        <v>92.346000000000004</v>
      </c>
      <c r="AI117" s="522">
        <v>97.498999999999995</v>
      </c>
      <c r="AJ117" s="522">
        <v>105.087</v>
      </c>
      <c r="AK117" s="522">
        <v>100.74</v>
      </c>
      <c r="AL117" s="34">
        <f t="shared" si="186"/>
        <v>395.67200000000003</v>
      </c>
      <c r="AM117" s="522">
        <v>93.528000000000006</v>
      </c>
      <c r="AN117" s="522">
        <v>111.771</v>
      </c>
      <c r="AO117" s="522">
        <v>121.393</v>
      </c>
      <c r="AP117" s="522">
        <v>141.62200000000001</v>
      </c>
      <c r="AQ117" s="34">
        <f t="shared" si="187"/>
        <v>468.31400000000002</v>
      </c>
      <c r="AR117" s="522">
        <v>124.717</v>
      </c>
      <c r="AS117" s="522">
        <v>125.36199999999999</v>
      </c>
      <c r="AT117" s="522">
        <v>126.485</v>
      </c>
      <c r="AU117" s="522">
        <v>143.136</v>
      </c>
      <c r="AV117" s="34">
        <f t="shared" si="188"/>
        <v>519.70000000000005</v>
      </c>
      <c r="AW117" s="522">
        <v>133.89699999999999</v>
      </c>
      <c r="AX117" s="522">
        <v>149.02099999999999</v>
      </c>
      <c r="AY117" s="522">
        <v>154.684</v>
      </c>
      <c r="AZ117" s="325"/>
      <c r="BA117" s="7"/>
      <c r="BB117" s="325"/>
      <c r="BC117" s="325"/>
      <c r="BD117" s="325"/>
      <c r="BE117" s="325"/>
      <c r="BF117" s="7"/>
      <c r="BG117" s="325"/>
      <c r="BH117" s="325"/>
      <c r="BI117" s="325"/>
      <c r="BJ117" s="325"/>
      <c r="BK117" s="7"/>
      <c r="BL117" s="325"/>
      <c r="BM117" s="325"/>
      <c r="BN117" s="325"/>
      <c r="BO117" s="325"/>
      <c r="BP117" s="7"/>
      <c r="BQ117" s="325"/>
      <c r="BR117" s="325"/>
      <c r="BS117" s="325"/>
      <c r="BT117" s="325"/>
      <c r="BU117" s="7"/>
      <c r="BV117" s="325"/>
      <c r="BW117" s="325"/>
      <c r="BX117" s="325"/>
      <c r="BY117" s="325"/>
      <c r="BZ117" s="7"/>
      <c r="CA117" s="325"/>
      <c r="CB117" s="325"/>
      <c r="CC117" s="325"/>
      <c r="CD117" s="325"/>
      <c r="CE117" s="7"/>
      <c r="CF117" s="325"/>
      <c r="CG117" s="325"/>
      <c r="CH117" s="325"/>
      <c r="CI117" s="325"/>
      <c r="CJ117" s="7"/>
      <c r="CK117" s="325"/>
      <c r="CL117" s="325"/>
      <c r="CM117" s="325"/>
      <c r="CN117" s="325"/>
      <c r="CO117" s="7"/>
      <c r="CP117" s="325"/>
      <c r="CQ117" s="325"/>
      <c r="CR117" s="325"/>
      <c r="CS117" s="325"/>
      <c r="CT117" s="7"/>
      <c r="CU117" s="325"/>
      <c r="CV117" s="325"/>
      <c r="CW117" s="325"/>
      <c r="CX117" s="325"/>
      <c r="CY117" s="7"/>
      <c r="CZ117" s="325"/>
      <c r="DA117" s="325"/>
      <c r="DB117" s="325"/>
      <c r="DC117" s="325"/>
      <c r="DD117" s="7"/>
      <c r="DE117" s="325"/>
      <c r="DF117" s="325"/>
      <c r="DG117" s="325"/>
      <c r="DH117" s="325"/>
      <c r="DI117" s="7"/>
      <c r="DJ117" s="325"/>
      <c r="DK117" s="325"/>
      <c r="DL117" s="325"/>
      <c r="DM117" s="325"/>
      <c r="DN117" s="7"/>
      <c r="DO117" s="325"/>
      <c r="DP117" s="325"/>
      <c r="DQ117" s="325"/>
      <c r="DR117" s="325"/>
      <c r="DS117" s="7"/>
      <c r="DT117" s="325"/>
      <c r="DU117" s="325"/>
      <c r="DV117" s="325"/>
      <c r="DW117" s="325"/>
      <c r="DX117" s="7"/>
      <c r="DY117" s="325"/>
      <c r="DZ117" s="325"/>
      <c r="EA117" s="325"/>
      <c r="EB117" s="325"/>
      <c r="EC117" s="7"/>
      <c r="ED117" s="325"/>
      <c r="EE117" s="325"/>
      <c r="EF117" s="325"/>
      <c r="EG117" s="325"/>
      <c r="EH117" s="7"/>
      <c r="EI117" s="325"/>
      <c r="EJ117" s="325"/>
      <c r="EK117" s="325"/>
      <c r="EL117" s="325"/>
      <c r="EM117" s="7"/>
      <c r="EN117" s="325"/>
      <c r="EO117" s="325"/>
      <c r="EP117" s="325"/>
      <c r="EQ117" s="325"/>
      <c r="ER117" s="7"/>
    </row>
    <row r="118" spans="2:237" ht="12.75" hidden="1" customHeight="1" outlineLevel="1">
      <c r="B118" s="21" t="s">
        <v>123</v>
      </c>
      <c r="C118" s="34">
        <v>18.283000000000001</v>
      </c>
      <c r="D118" s="522">
        <v>5.3220000000000001</v>
      </c>
      <c r="E118" s="522">
        <v>7.1210000000000004</v>
      </c>
      <c r="F118" s="522">
        <v>8.8930000000000007</v>
      </c>
      <c r="G118" s="522">
        <v>12.255000000000001</v>
      </c>
      <c r="H118" s="34">
        <f t="shared" si="180"/>
        <v>33.591000000000001</v>
      </c>
      <c r="I118" s="522">
        <v>15.877000000000001</v>
      </c>
      <c r="J118" s="522">
        <v>18.643999999999998</v>
      </c>
      <c r="K118" s="522">
        <v>19.29</v>
      </c>
      <c r="L118" s="522">
        <v>24.58</v>
      </c>
      <c r="M118" s="34">
        <f t="shared" si="181"/>
        <v>78.390999999999991</v>
      </c>
      <c r="N118" s="522">
        <v>26.146999999999998</v>
      </c>
      <c r="O118" s="522">
        <v>25.254000000000001</v>
      </c>
      <c r="P118" s="522">
        <v>24.097000000000001</v>
      </c>
      <c r="Q118" s="522">
        <v>27.831</v>
      </c>
      <c r="R118" s="34">
        <f t="shared" si="182"/>
        <v>103.32899999999999</v>
      </c>
      <c r="S118" s="522">
        <v>30.364999999999998</v>
      </c>
      <c r="T118" s="522">
        <v>31.248999999999999</v>
      </c>
      <c r="U118" s="522">
        <v>29.625</v>
      </c>
      <c r="V118" s="522">
        <v>33.932000000000002</v>
      </c>
      <c r="W118" s="34">
        <f t="shared" si="183"/>
        <v>125.17100000000001</v>
      </c>
      <c r="X118" s="522">
        <v>35.145000000000003</v>
      </c>
      <c r="Y118" s="522">
        <v>42.223999999999997</v>
      </c>
      <c r="Z118" s="522">
        <v>41.466999999999999</v>
      </c>
      <c r="AA118" s="522">
        <v>50.996000000000002</v>
      </c>
      <c r="AB118" s="34">
        <f t="shared" si="184"/>
        <v>169.83199999999999</v>
      </c>
      <c r="AC118" s="522">
        <v>55.347000000000001</v>
      </c>
      <c r="AD118" s="522">
        <v>60.131</v>
      </c>
      <c r="AE118" s="522">
        <v>59.185000000000002</v>
      </c>
      <c r="AF118" s="522">
        <v>71.588999999999999</v>
      </c>
      <c r="AG118" s="34">
        <f t="shared" si="185"/>
        <v>246.25200000000001</v>
      </c>
      <c r="AH118" s="522">
        <v>77.724000000000004</v>
      </c>
      <c r="AI118" s="522">
        <v>90.706000000000003</v>
      </c>
      <c r="AJ118" s="522">
        <v>91.347999999999999</v>
      </c>
      <c r="AK118" s="522">
        <v>96.828999999999994</v>
      </c>
      <c r="AL118" s="34">
        <f t="shared" si="186"/>
        <v>356.60700000000003</v>
      </c>
      <c r="AM118" s="522">
        <v>98.070999999999998</v>
      </c>
      <c r="AN118" s="522">
        <v>109.541</v>
      </c>
      <c r="AO118" s="522">
        <v>111.30500000000001</v>
      </c>
      <c r="AP118" s="522">
        <v>132.19800000000001</v>
      </c>
      <c r="AQ118" s="34">
        <f t="shared" si="187"/>
        <v>451.11500000000001</v>
      </c>
      <c r="AR118" s="522">
        <v>124.32</v>
      </c>
      <c r="AS118" s="522">
        <v>112.965</v>
      </c>
      <c r="AT118" s="522">
        <v>101.42100000000001</v>
      </c>
      <c r="AU118" s="522">
        <v>117.941</v>
      </c>
      <c r="AV118" s="34">
        <f t="shared" si="188"/>
        <v>456.64700000000005</v>
      </c>
      <c r="AW118" s="522">
        <v>119.631</v>
      </c>
      <c r="AX118" s="522">
        <v>129.67599999999999</v>
      </c>
      <c r="AY118" s="522">
        <v>127.102</v>
      </c>
      <c r="AZ118" s="325"/>
      <c r="BA118" s="7"/>
      <c r="BB118" s="325"/>
      <c r="BC118" s="325"/>
      <c r="BD118" s="325"/>
      <c r="BE118" s="325"/>
      <c r="BF118" s="7"/>
      <c r="BG118" s="325"/>
      <c r="BH118" s="325"/>
      <c r="BI118" s="325"/>
      <c r="BJ118" s="325"/>
      <c r="BK118" s="7"/>
      <c r="BL118" s="325"/>
      <c r="BM118" s="325"/>
      <c r="BN118" s="325"/>
      <c r="BO118" s="325"/>
      <c r="BP118" s="7"/>
      <c r="BQ118" s="325"/>
      <c r="BR118" s="325"/>
      <c r="BS118" s="325"/>
      <c r="BT118" s="325"/>
      <c r="BU118" s="7"/>
      <c r="BV118" s="325"/>
      <c r="BW118" s="325"/>
      <c r="BX118" s="325"/>
      <c r="BY118" s="325"/>
      <c r="BZ118" s="7"/>
      <c r="CA118" s="325"/>
      <c r="CB118" s="325"/>
      <c r="CC118" s="325"/>
      <c r="CD118" s="325"/>
      <c r="CE118" s="7"/>
      <c r="CF118" s="325"/>
      <c r="CG118" s="325"/>
      <c r="CH118" s="325"/>
      <c r="CI118" s="325"/>
      <c r="CJ118" s="7"/>
      <c r="CK118" s="325"/>
      <c r="CL118" s="325"/>
      <c r="CM118" s="325"/>
      <c r="CN118" s="325"/>
      <c r="CO118" s="7"/>
      <c r="CP118" s="325"/>
      <c r="CQ118" s="325"/>
      <c r="CR118" s="325"/>
      <c r="CS118" s="325"/>
      <c r="CT118" s="7"/>
      <c r="CU118" s="325"/>
      <c r="CV118" s="325"/>
      <c r="CW118" s="325"/>
      <c r="CX118" s="325"/>
      <c r="CY118" s="7"/>
      <c r="CZ118" s="325"/>
      <c r="DA118" s="325"/>
      <c r="DB118" s="325"/>
      <c r="DC118" s="325"/>
      <c r="DD118" s="7"/>
      <c r="DE118" s="325"/>
      <c r="DF118" s="325"/>
      <c r="DG118" s="325"/>
      <c r="DH118" s="325"/>
      <c r="DI118" s="7"/>
      <c r="DJ118" s="325"/>
      <c r="DK118" s="325"/>
      <c r="DL118" s="325"/>
      <c r="DM118" s="325"/>
      <c r="DN118" s="7"/>
      <c r="DO118" s="325"/>
      <c r="DP118" s="325"/>
      <c r="DQ118" s="325"/>
      <c r="DR118" s="325"/>
      <c r="DS118" s="7"/>
      <c r="DT118" s="325"/>
      <c r="DU118" s="325"/>
      <c r="DV118" s="325"/>
      <c r="DW118" s="325"/>
      <c r="DX118" s="7"/>
      <c r="DY118" s="325"/>
      <c r="DZ118" s="325"/>
      <c r="EA118" s="325"/>
      <c r="EB118" s="325"/>
      <c r="EC118" s="7"/>
      <c r="ED118" s="325"/>
      <c r="EE118" s="325"/>
      <c r="EF118" s="325"/>
      <c r="EG118" s="325"/>
      <c r="EH118" s="7"/>
      <c r="EI118" s="325"/>
      <c r="EJ118" s="325"/>
      <c r="EK118" s="325"/>
      <c r="EL118" s="325"/>
      <c r="EM118" s="7"/>
      <c r="EN118" s="325"/>
      <c r="EO118" s="325"/>
      <c r="EP118" s="325"/>
      <c r="EQ118" s="325"/>
      <c r="ER118" s="7"/>
    </row>
    <row r="119" spans="2:237" ht="12.75" hidden="1" customHeight="1" outlineLevel="1">
      <c r="B119" s="21" t="s">
        <v>124</v>
      </c>
      <c r="C119" s="34">
        <v>28.533000000000001</v>
      </c>
      <c r="D119" s="522">
        <v>8.4909999999999997</v>
      </c>
      <c r="E119" s="522">
        <v>9.3460000000000001</v>
      </c>
      <c r="F119" s="522">
        <v>11.542999999999999</v>
      </c>
      <c r="G119" s="522">
        <v>14.047000000000001</v>
      </c>
      <c r="H119" s="34">
        <f t="shared" si="180"/>
        <v>43.427</v>
      </c>
      <c r="I119" s="522">
        <v>12.218999999999999</v>
      </c>
      <c r="J119" s="522">
        <v>15.787000000000001</v>
      </c>
      <c r="K119" s="522">
        <v>16.721</v>
      </c>
      <c r="L119" s="522">
        <v>18.338999999999999</v>
      </c>
      <c r="M119" s="34">
        <f t="shared" si="181"/>
        <v>63.066000000000003</v>
      </c>
      <c r="N119" s="522">
        <v>17.47</v>
      </c>
      <c r="O119" s="522">
        <v>20.445</v>
      </c>
      <c r="P119" s="522">
        <v>23.361999999999998</v>
      </c>
      <c r="Q119" s="522">
        <v>27.05</v>
      </c>
      <c r="R119" s="34">
        <f t="shared" si="182"/>
        <v>88.326999999999998</v>
      </c>
      <c r="S119" s="522">
        <v>23.937999999999999</v>
      </c>
      <c r="T119" s="522">
        <v>29.88</v>
      </c>
      <c r="U119" s="522">
        <v>30.719000000000001</v>
      </c>
      <c r="V119" s="522">
        <v>35.722000000000001</v>
      </c>
      <c r="W119" s="34">
        <f t="shared" si="183"/>
        <v>120.25900000000001</v>
      </c>
      <c r="X119" s="522">
        <v>35.042999999999999</v>
      </c>
      <c r="Y119" s="522">
        <v>36.475000000000001</v>
      </c>
      <c r="Z119" s="522">
        <v>40.686999999999998</v>
      </c>
      <c r="AA119" s="522">
        <v>45.182000000000002</v>
      </c>
      <c r="AB119" s="34">
        <f t="shared" si="184"/>
        <v>157.387</v>
      </c>
      <c r="AC119" s="522">
        <v>49.540999999999997</v>
      </c>
      <c r="AD119" s="522">
        <v>54.536000000000001</v>
      </c>
      <c r="AE119" s="522">
        <v>57.223999999999997</v>
      </c>
      <c r="AF119" s="522">
        <v>61.765000000000001</v>
      </c>
      <c r="AG119" s="34">
        <f t="shared" si="185"/>
        <v>223.06599999999997</v>
      </c>
      <c r="AH119" s="522">
        <v>63.488999999999997</v>
      </c>
      <c r="AI119" s="522">
        <v>72.662999999999997</v>
      </c>
      <c r="AJ119" s="522">
        <v>81.028000000000006</v>
      </c>
      <c r="AK119" s="522">
        <v>80.096000000000004</v>
      </c>
      <c r="AL119" s="34">
        <f t="shared" si="186"/>
        <v>297.27600000000001</v>
      </c>
      <c r="AM119" s="522">
        <v>98.652000000000001</v>
      </c>
      <c r="AN119" s="522">
        <v>85.578000000000003</v>
      </c>
      <c r="AO119" s="522">
        <v>99.662999999999997</v>
      </c>
      <c r="AP119" s="522">
        <v>109.143</v>
      </c>
      <c r="AQ119" s="34">
        <f t="shared" si="187"/>
        <v>393.03600000000006</v>
      </c>
      <c r="AR119" s="522">
        <v>118.17</v>
      </c>
      <c r="AS119" s="522">
        <v>99.528999999999996</v>
      </c>
      <c r="AT119" s="522">
        <v>105.18600000000001</v>
      </c>
      <c r="AU119" s="522">
        <v>127.483</v>
      </c>
      <c r="AV119" s="34">
        <f t="shared" si="188"/>
        <v>450.36799999999999</v>
      </c>
      <c r="AW119" s="522">
        <v>120.861</v>
      </c>
      <c r="AX119" s="522">
        <v>122.765</v>
      </c>
      <c r="AY119" s="522">
        <v>129.97800000000001</v>
      </c>
      <c r="AZ119" s="325"/>
      <c r="BA119" s="7"/>
      <c r="BB119" s="325"/>
      <c r="BC119" s="325"/>
      <c r="BD119" s="325"/>
      <c r="BE119" s="325"/>
      <c r="BF119" s="7"/>
      <c r="BG119" s="325"/>
      <c r="BH119" s="325"/>
      <c r="BI119" s="325"/>
      <c r="BJ119" s="325"/>
      <c r="BK119" s="7"/>
      <c r="BL119" s="325"/>
      <c r="BM119" s="325"/>
      <c r="BN119" s="325"/>
      <c r="BO119" s="325"/>
      <c r="BP119" s="7"/>
      <c r="BQ119" s="325"/>
      <c r="BR119" s="325"/>
      <c r="BS119" s="325"/>
      <c r="BT119" s="325"/>
      <c r="BU119" s="7"/>
      <c r="BV119" s="325"/>
      <c r="BW119" s="325"/>
      <c r="BX119" s="325"/>
      <c r="BY119" s="325"/>
      <c r="BZ119" s="7"/>
      <c r="CA119" s="325"/>
      <c r="CB119" s="325"/>
      <c r="CC119" s="325"/>
      <c r="CD119" s="325"/>
      <c r="CE119" s="7"/>
      <c r="CF119" s="325"/>
      <c r="CG119" s="325"/>
      <c r="CH119" s="325"/>
      <c r="CI119" s="325"/>
      <c r="CJ119" s="7"/>
      <c r="CK119" s="325"/>
      <c r="CL119" s="325"/>
      <c r="CM119" s="325"/>
      <c r="CN119" s="325"/>
      <c r="CO119" s="7"/>
      <c r="CP119" s="325"/>
      <c r="CQ119" s="325"/>
      <c r="CR119" s="325"/>
      <c r="CS119" s="325"/>
      <c r="CT119" s="7"/>
      <c r="CU119" s="325"/>
      <c r="CV119" s="325"/>
      <c r="CW119" s="325"/>
      <c r="CX119" s="325"/>
      <c r="CY119" s="7"/>
      <c r="CZ119" s="325"/>
      <c r="DA119" s="325"/>
      <c r="DB119" s="325"/>
      <c r="DC119" s="325"/>
      <c r="DD119" s="7"/>
      <c r="DE119" s="325"/>
      <c r="DF119" s="325"/>
      <c r="DG119" s="325"/>
      <c r="DH119" s="325"/>
      <c r="DI119" s="7"/>
      <c r="DJ119" s="325"/>
      <c r="DK119" s="325"/>
      <c r="DL119" s="325"/>
      <c r="DM119" s="325"/>
      <c r="DN119" s="7"/>
      <c r="DO119" s="325"/>
      <c r="DP119" s="325"/>
      <c r="DQ119" s="325"/>
      <c r="DR119" s="325"/>
      <c r="DS119" s="7"/>
      <c r="DT119" s="325"/>
      <c r="DU119" s="325"/>
      <c r="DV119" s="325"/>
      <c r="DW119" s="325"/>
      <c r="DX119" s="7"/>
      <c r="DY119" s="325"/>
      <c r="DZ119" s="325"/>
      <c r="EA119" s="325"/>
      <c r="EB119" s="325"/>
      <c r="EC119" s="7"/>
      <c r="ED119" s="325"/>
      <c r="EE119" s="325"/>
      <c r="EF119" s="325"/>
      <c r="EG119" s="325"/>
      <c r="EH119" s="7"/>
      <c r="EI119" s="325"/>
      <c r="EJ119" s="325"/>
      <c r="EK119" s="325"/>
      <c r="EL119" s="325"/>
      <c r="EM119" s="7"/>
      <c r="EN119" s="325"/>
      <c r="EO119" s="325"/>
      <c r="EP119" s="325"/>
      <c r="EQ119" s="325"/>
      <c r="ER119" s="7"/>
    </row>
    <row r="120" spans="2:237" ht="12.75" hidden="1" customHeight="1" outlineLevel="1">
      <c r="B120" s="21" t="s">
        <v>125</v>
      </c>
      <c r="C120" s="34">
        <v>18.783000000000001</v>
      </c>
      <c r="D120" s="522">
        <v>5.6580000000000004</v>
      </c>
      <c r="E120" s="522">
        <v>5.8019999999999996</v>
      </c>
      <c r="F120" s="522">
        <v>4.67</v>
      </c>
      <c r="G120" s="522">
        <v>4.6879999999999997</v>
      </c>
      <c r="H120" s="34">
        <f t="shared" si="180"/>
        <v>20.818000000000001</v>
      </c>
      <c r="I120" s="522">
        <v>9.0269999999999992</v>
      </c>
      <c r="J120" s="522">
        <v>11.058</v>
      </c>
      <c r="K120" s="522">
        <v>10.491</v>
      </c>
      <c r="L120" s="522">
        <v>12.146000000000001</v>
      </c>
      <c r="M120" s="34">
        <f t="shared" si="181"/>
        <v>42.722000000000001</v>
      </c>
      <c r="N120" s="522">
        <v>16.376000000000001</v>
      </c>
      <c r="O120" s="522">
        <v>18.300999999999998</v>
      </c>
      <c r="P120" s="522">
        <v>17.725000000000001</v>
      </c>
      <c r="Q120" s="522">
        <v>19.635999999999999</v>
      </c>
      <c r="R120" s="34">
        <f t="shared" si="182"/>
        <v>72.037999999999997</v>
      </c>
      <c r="S120" s="522">
        <v>25.652000000000001</v>
      </c>
      <c r="T120" s="522">
        <v>28.341999999999999</v>
      </c>
      <c r="U120" s="522">
        <v>25.268000000000001</v>
      </c>
      <c r="V120" s="522">
        <v>27.22</v>
      </c>
      <c r="W120" s="34">
        <f t="shared" si="183"/>
        <v>106.482</v>
      </c>
      <c r="X120" s="522">
        <v>35.215000000000003</v>
      </c>
      <c r="Y120" s="522">
        <v>38.673999999999999</v>
      </c>
      <c r="Z120" s="522">
        <v>36.889000000000003</v>
      </c>
      <c r="AA120" s="522">
        <v>38.621000000000002</v>
      </c>
      <c r="AB120" s="34">
        <f t="shared" si="184"/>
        <v>149.39900000000003</v>
      </c>
      <c r="AC120" s="522">
        <v>49.488</v>
      </c>
      <c r="AD120" s="522">
        <v>52.158000000000001</v>
      </c>
      <c r="AE120" s="522">
        <v>50.585999999999999</v>
      </c>
      <c r="AF120" s="522">
        <v>54.658000000000001</v>
      </c>
      <c r="AG120" s="34">
        <f t="shared" si="185"/>
        <v>206.89</v>
      </c>
      <c r="AH120" s="522">
        <v>69.590999999999994</v>
      </c>
      <c r="AI120" s="522">
        <v>74.634</v>
      </c>
      <c r="AJ120" s="522">
        <v>64.945999999999998</v>
      </c>
      <c r="AK120" s="522">
        <v>68.27</v>
      </c>
      <c r="AL120" s="34">
        <f t="shared" si="186"/>
        <v>277.44099999999997</v>
      </c>
      <c r="AM120" s="522">
        <v>79.885999999999996</v>
      </c>
      <c r="AN120" s="522">
        <v>80.313000000000002</v>
      </c>
      <c r="AO120" s="522">
        <v>79.234999999999999</v>
      </c>
      <c r="AP120" s="522">
        <v>84.275000000000006</v>
      </c>
      <c r="AQ120" s="34">
        <f t="shared" si="187"/>
        <v>323.70900000000006</v>
      </c>
      <c r="AR120" s="522">
        <v>96.26</v>
      </c>
      <c r="AS120" s="522">
        <v>86.864000000000004</v>
      </c>
      <c r="AT120" s="522">
        <v>78.394999999999996</v>
      </c>
      <c r="AU120" s="522">
        <v>83.67</v>
      </c>
      <c r="AV120" s="34">
        <f t="shared" si="188"/>
        <v>345.18900000000002</v>
      </c>
      <c r="AW120" s="522">
        <v>101.43600000000001</v>
      </c>
      <c r="AX120" s="522">
        <v>108.14</v>
      </c>
      <c r="AY120" s="522">
        <v>93.081999999999994</v>
      </c>
      <c r="AZ120" s="325"/>
      <c r="BA120" s="7"/>
      <c r="BB120" s="325"/>
      <c r="BC120" s="325"/>
      <c r="BD120" s="325"/>
      <c r="BE120" s="325"/>
      <c r="BF120" s="7"/>
      <c r="BG120" s="325"/>
      <c r="BH120" s="325"/>
      <c r="BI120" s="325"/>
      <c r="BJ120" s="325"/>
      <c r="BK120" s="7"/>
      <c r="BL120" s="325"/>
      <c r="BM120" s="325"/>
      <c r="BN120" s="325"/>
      <c r="BO120" s="325"/>
      <c r="BP120" s="7"/>
      <c r="BQ120" s="325"/>
      <c r="BR120" s="325"/>
      <c r="BS120" s="325"/>
      <c r="BT120" s="325"/>
      <c r="BU120" s="7"/>
      <c r="BV120" s="325"/>
      <c r="BW120" s="325"/>
      <c r="BX120" s="325"/>
      <c r="BY120" s="325"/>
      <c r="BZ120" s="7"/>
      <c r="CA120" s="325"/>
      <c r="CB120" s="325"/>
      <c r="CC120" s="325"/>
      <c r="CD120" s="325"/>
      <c r="CE120" s="7"/>
      <c r="CF120" s="325"/>
      <c r="CG120" s="325"/>
      <c r="CH120" s="325"/>
      <c r="CI120" s="325"/>
      <c r="CJ120" s="7"/>
      <c r="CK120" s="325"/>
      <c r="CL120" s="325"/>
      <c r="CM120" s="325"/>
      <c r="CN120" s="325"/>
      <c r="CO120" s="7"/>
      <c r="CP120" s="325"/>
      <c r="CQ120" s="325"/>
      <c r="CR120" s="325"/>
      <c r="CS120" s="325"/>
      <c r="CT120" s="7"/>
      <c r="CU120" s="325"/>
      <c r="CV120" s="325"/>
      <c r="CW120" s="325"/>
      <c r="CX120" s="325"/>
      <c r="CY120" s="7"/>
      <c r="CZ120" s="325"/>
      <c r="DA120" s="325"/>
      <c r="DB120" s="325"/>
      <c r="DC120" s="325"/>
      <c r="DD120" s="7"/>
      <c r="DE120" s="325"/>
      <c r="DF120" s="325"/>
      <c r="DG120" s="325"/>
      <c r="DH120" s="325"/>
      <c r="DI120" s="7"/>
      <c r="DJ120" s="325"/>
      <c r="DK120" s="325"/>
      <c r="DL120" s="325"/>
      <c r="DM120" s="325"/>
      <c r="DN120" s="7"/>
      <c r="DO120" s="325"/>
      <c r="DP120" s="325"/>
      <c r="DQ120" s="325"/>
      <c r="DR120" s="325"/>
      <c r="DS120" s="7"/>
      <c r="DT120" s="325"/>
      <c r="DU120" s="325"/>
      <c r="DV120" s="325"/>
      <c r="DW120" s="325"/>
      <c r="DX120" s="7"/>
      <c r="DY120" s="325"/>
      <c r="DZ120" s="325"/>
      <c r="EA120" s="325"/>
      <c r="EB120" s="325"/>
      <c r="EC120" s="7"/>
      <c r="ED120" s="325"/>
      <c r="EE120" s="325"/>
      <c r="EF120" s="325"/>
      <c r="EG120" s="325"/>
      <c r="EH120" s="7"/>
      <c r="EI120" s="325"/>
      <c r="EJ120" s="325"/>
      <c r="EK120" s="325"/>
      <c r="EL120" s="325"/>
      <c r="EM120" s="7"/>
      <c r="EN120" s="325"/>
      <c r="EO120" s="325"/>
      <c r="EP120" s="325"/>
      <c r="EQ120" s="325"/>
      <c r="ER120" s="7"/>
    </row>
    <row r="121" spans="2:237" ht="12.75" hidden="1" customHeight="1" outlineLevel="1">
      <c r="B121" s="21" t="s">
        <v>126</v>
      </c>
      <c r="C121" s="34">
        <v>19.256</v>
      </c>
      <c r="D121" s="522">
        <v>4.585</v>
      </c>
      <c r="E121" s="522">
        <v>6.2729999999999997</v>
      </c>
      <c r="F121" s="522">
        <v>9.0990000000000002</v>
      </c>
      <c r="G121" s="522">
        <v>9.5039999999999996</v>
      </c>
      <c r="H121" s="34">
        <f t="shared" si="180"/>
        <v>29.460999999999999</v>
      </c>
      <c r="I121" s="522">
        <v>6.97</v>
      </c>
      <c r="J121" s="522">
        <v>10.848000000000001</v>
      </c>
      <c r="K121" s="522">
        <v>12.702</v>
      </c>
      <c r="L121" s="522">
        <v>12.476000000000001</v>
      </c>
      <c r="M121" s="34">
        <f t="shared" si="181"/>
        <v>42.996000000000002</v>
      </c>
      <c r="N121" s="522">
        <v>11.946999999999999</v>
      </c>
      <c r="O121" s="522">
        <v>13.875999999999999</v>
      </c>
      <c r="P121" s="522">
        <v>17.152000000000001</v>
      </c>
      <c r="Q121" s="522">
        <v>16.934999999999999</v>
      </c>
      <c r="R121" s="34">
        <f t="shared" si="182"/>
        <v>59.91</v>
      </c>
      <c r="S121" s="522">
        <v>26.401</v>
      </c>
      <c r="T121" s="522">
        <v>24.515999999999998</v>
      </c>
      <c r="U121" s="522">
        <v>24.09</v>
      </c>
      <c r="V121" s="522">
        <v>28.995999999999999</v>
      </c>
      <c r="W121" s="34">
        <f t="shared" si="183"/>
        <v>104.003</v>
      </c>
      <c r="X121" s="522">
        <v>28.914000000000001</v>
      </c>
      <c r="Y121" s="522">
        <v>32.124000000000002</v>
      </c>
      <c r="Z121" s="522">
        <v>29.803000000000001</v>
      </c>
      <c r="AA121" s="522">
        <v>35.587000000000003</v>
      </c>
      <c r="AB121" s="34">
        <f t="shared" si="184"/>
        <v>126.42800000000001</v>
      </c>
      <c r="AC121" s="522">
        <v>33.165999999999997</v>
      </c>
      <c r="AD121" s="522">
        <v>32.195999999999998</v>
      </c>
      <c r="AE121" s="522">
        <v>30.588000000000001</v>
      </c>
      <c r="AF121" s="522">
        <v>24.516999999999999</v>
      </c>
      <c r="AG121" s="34">
        <f t="shared" si="185"/>
        <v>120.46699999999998</v>
      </c>
      <c r="AH121" s="522">
        <v>39.481999999999999</v>
      </c>
      <c r="AI121" s="522">
        <v>64.102000000000004</v>
      </c>
      <c r="AJ121" s="522">
        <v>71.429000000000002</v>
      </c>
      <c r="AK121" s="522">
        <v>67.180000000000007</v>
      </c>
      <c r="AL121" s="34">
        <f t="shared" si="186"/>
        <v>242.19300000000001</v>
      </c>
      <c r="AM121" s="522">
        <v>77.207999999999998</v>
      </c>
      <c r="AN121" s="522">
        <v>59.948999999999998</v>
      </c>
      <c r="AO121" s="522">
        <v>70.091999999999999</v>
      </c>
      <c r="AP121" s="522">
        <v>85.861999999999995</v>
      </c>
      <c r="AQ121" s="34">
        <f t="shared" si="187"/>
        <v>293.11099999999999</v>
      </c>
      <c r="AR121" s="522">
        <v>70.012</v>
      </c>
      <c r="AS121" s="522">
        <v>54.994999999999997</v>
      </c>
      <c r="AT121" s="522">
        <v>70.076999999999998</v>
      </c>
      <c r="AU121" s="522">
        <v>79.906999999999996</v>
      </c>
      <c r="AV121" s="34">
        <f t="shared" si="188"/>
        <v>274.99099999999999</v>
      </c>
      <c r="AW121" s="522">
        <v>76.072999999999993</v>
      </c>
      <c r="AX121" s="522">
        <v>94.843999999999994</v>
      </c>
      <c r="AY121" s="522">
        <v>98.155000000000001</v>
      </c>
      <c r="AZ121" s="325"/>
      <c r="BA121" s="7"/>
      <c r="BB121" s="325"/>
      <c r="BC121" s="325"/>
      <c r="BD121" s="325"/>
      <c r="BE121" s="325"/>
      <c r="BF121" s="7"/>
      <c r="BG121" s="325"/>
      <c r="BH121" s="325"/>
      <c r="BI121" s="325"/>
      <c r="BJ121" s="325"/>
      <c r="BK121" s="7"/>
      <c r="BL121" s="325"/>
      <c r="BM121" s="325"/>
      <c r="BN121" s="325"/>
      <c r="BO121" s="325"/>
      <c r="BP121" s="7"/>
      <c r="BQ121" s="325"/>
      <c r="BR121" s="325"/>
      <c r="BS121" s="325"/>
      <c r="BT121" s="325"/>
      <c r="BU121" s="7"/>
      <c r="BV121" s="325"/>
      <c r="BW121" s="325"/>
      <c r="BX121" s="325"/>
      <c r="BY121" s="325"/>
      <c r="BZ121" s="7"/>
      <c r="CA121" s="325"/>
      <c r="CB121" s="325"/>
      <c r="CC121" s="325"/>
      <c r="CD121" s="325"/>
      <c r="CE121" s="7"/>
      <c r="CF121" s="325"/>
      <c r="CG121" s="325"/>
      <c r="CH121" s="325"/>
      <c r="CI121" s="325"/>
      <c r="CJ121" s="7"/>
      <c r="CK121" s="325"/>
      <c r="CL121" s="325"/>
      <c r="CM121" s="325"/>
      <c r="CN121" s="325"/>
      <c r="CO121" s="7"/>
      <c r="CP121" s="325"/>
      <c r="CQ121" s="325"/>
      <c r="CR121" s="325"/>
      <c r="CS121" s="325"/>
      <c r="CT121" s="7"/>
      <c r="CU121" s="325"/>
      <c r="CV121" s="325"/>
      <c r="CW121" s="325"/>
      <c r="CX121" s="325"/>
      <c r="CY121" s="7"/>
      <c r="CZ121" s="325"/>
      <c r="DA121" s="325"/>
      <c r="DB121" s="325"/>
      <c r="DC121" s="325"/>
      <c r="DD121" s="7"/>
      <c r="DE121" s="325"/>
      <c r="DF121" s="325"/>
      <c r="DG121" s="325"/>
      <c r="DH121" s="325"/>
      <c r="DI121" s="7"/>
      <c r="DJ121" s="325"/>
      <c r="DK121" s="325"/>
      <c r="DL121" s="325"/>
      <c r="DM121" s="325"/>
      <c r="DN121" s="7"/>
      <c r="DO121" s="325"/>
      <c r="DP121" s="325"/>
      <c r="DQ121" s="325"/>
      <c r="DR121" s="325"/>
      <c r="DS121" s="7"/>
      <c r="DT121" s="325"/>
      <c r="DU121" s="325"/>
      <c r="DV121" s="325"/>
      <c r="DW121" s="325"/>
      <c r="DX121" s="7"/>
      <c r="DY121" s="325"/>
      <c r="DZ121" s="325"/>
      <c r="EA121" s="325"/>
      <c r="EB121" s="325"/>
      <c r="EC121" s="7"/>
      <c r="ED121" s="325"/>
      <c r="EE121" s="325"/>
      <c r="EF121" s="325"/>
      <c r="EG121" s="325"/>
      <c r="EH121" s="7"/>
      <c r="EI121" s="325"/>
      <c r="EJ121" s="325"/>
      <c r="EK121" s="325"/>
      <c r="EL121" s="325"/>
      <c r="EM121" s="7"/>
      <c r="EN121" s="325"/>
      <c r="EO121" s="325"/>
      <c r="EP121" s="325"/>
      <c r="EQ121" s="325"/>
      <c r="ER121" s="7"/>
    </row>
    <row r="122" spans="2:237" ht="12.75" hidden="1" customHeight="1" outlineLevel="1">
      <c r="B122" s="21" t="s">
        <v>127</v>
      </c>
      <c r="C122" s="34">
        <v>40.499000000000002</v>
      </c>
      <c r="D122" s="522">
        <v>9.8689999999999998</v>
      </c>
      <c r="E122" s="522">
        <v>12.013999999999999</v>
      </c>
      <c r="F122" s="522">
        <v>13.018000000000001</v>
      </c>
      <c r="G122" s="522">
        <v>12.625999999999999</v>
      </c>
      <c r="H122" s="34">
        <f t="shared" si="180"/>
        <v>47.526999999999994</v>
      </c>
      <c r="I122" s="522">
        <v>15.872</v>
      </c>
      <c r="J122" s="522">
        <v>13.358000000000001</v>
      </c>
      <c r="K122" s="522">
        <v>17.783999999999999</v>
      </c>
      <c r="L122" s="522">
        <v>17.259</v>
      </c>
      <c r="M122" s="34">
        <f t="shared" si="181"/>
        <v>64.272999999999996</v>
      </c>
      <c r="N122" s="522">
        <v>23.553999999999998</v>
      </c>
      <c r="O122" s="522">
        <v>20.818000000000001</v>
      </c>
      <c r="P122" s="522">
        <v>26.923999999999999</v>
      </c>
      <c r="Q122" s="522">
        <v>33.348999999999997</v>
      </c>
      <c r="R122" s="34">
        <f t="shared" si="182"/>
        <v>104.64499999999998</v>
      </c>
      <c r="S122" s="522">
        <v>25.177</v>
      </c>
      <c r="T122" s="522">
        <v>32.543999999999997</v>
      </c>
      <c r="U122" s="522">
        <v>38.768999999999998</v>
      </c>
      <c r="V122" s="522">
        <v>47.362000000000002</v>
      </c>
      <c r="W122" s="34">
        <f t="shared" si="183"/>
        <v>143.852</v>
      </c>
      <c r="X122" s="522">
        <v>48.055</v>
      </c>
      <c r="Y122" s="522">
        <v>43.061999999999998</v>
      </c>
      <c r="Z122" s="522">
        <v>43.682000000000002</v>
      </c>
      <c r="AA122" s="522">
        <v>38.152000000000001</v>
      </c>
      <c r="AB122" s="34">
        <f t="shared" si="184"/>
        <v>172.95099999999996</v>
      </c>
      <c r="AC122" s="522">
        <v>52.978999999999999</v>
      </c>
      <c r="AD122" s="522">
        <v>50.073</v>
      </c>
      <c r="AE122" s="522">
        <v>59.274999999999999</v>
      </c>
      <c r="AF122" s="522">
        <v>51.183</v>
      </c>
      <c r="AG122" s="34">
        <f t="shared" si="185"/>
        <v>213.51</v>
      </c>
      <c r="AH122" s="522">
        <v>65.56</v>
      </c>
      <c r="AI122" s="522">
        <v>50.698</v>
      </c>
      <c r="AJ122" s="522">
        <v>98.138999999999996</v>
      </c>
      <c r="AK122" s="522">
        <v>132.32499999999999</v>
      </c>
      <c r="AL122" s="34">
        <f t="shared" si="186"/>
        <v>346.72199999999998</v>
      </c>
      <c r="AM122" s="522">
        <v>141.12299999999999</v>
      </c>
      <c r="AN122" s="522">
        <v>138.34200000000001</v>
      </c>
      <c r="AO122" s="522">
        <v>137.00399999999999</v>
      </c>
      <c r="AP122" s="522">
        <v>186.59899999999999</v>
      </c>
      <c r="AQ122" s="34">
        <f t="shared" si="187"/>
        <v>603.06799999999998</v>
      </c>
      <c r="AR122" s="522">
        <v>159.71299999999999</v>
      </c>
      <c r="AS122" s="522">
        <v>171.98099999999999</v>
      </c>
      <c r="AT122" s="522">
        <v>177.35599999999999</v>
      </c>
      <c r="AU122" s="522">
        <v>156.18700000000001</v>
      </c>
      <c r="AV122" s="34">
        <f t="shared" si="188"/>
        <v>665.23699999999997</v>
      </c>
      <c r="AW122" s="522">
        <v>156.63800000000001</v>
      </c>
      <c r="AX122" s="522">
        <v>145.29900000000001</v>
      </c>
      <c r="AY122" s="522">
        <v>128.57</v>
      </c>
      <c r="AZ122" s="325"/>
      <c r="BA122" s="7"/>
      <c r="BB122" s="325"/>
      <c r="BC122" s="325"/>
      <c r="BD122" s="325"/>
      <c r="BE122" s="325"/>
      <c r="BF122" s="7"/>
      <c r="BG122" s="325"/>
      <c r="BH122" s="325"/>
      <c r="BI122" s="325"/>
      <c r="BJ122" s="325"/>
      <c r="BK122" s="7"/>
      <c r="BL122" s="325"/>
      <c r="BM122" s="325"/>
      <c r="BN122" s="325"/>
      <c r="BO122" s="325"/>
      <c r="BP122" s="7"/>
      <c r="BQ122" s="325"/>
      <c r="BR122" s="325"/>
      <c r="BS122" s="325"/>
      <c r="BT122" s="325"/>
      <c r="BU122" s="7"/>
      <c r="BV122" s="325"/>
      <c r="BW122" s="325"/>
      <c r="BX122" s="325"/>
      <c r="BY122" s="325"/>
      <c r="BZ122" s="7"/>
      <c r="CA122" s="325"/>
      <c r="CB122" s="325"/>
      <c r="CC122" s="325"/>
      <c r="CD122" s="325"/>
      <c r="CE122" s="7"/>
      <c r="CF122" s="325"/>
      <c r="CG122" s="325"/>
      <c r="CH122" s="325"/>
      <c r="CI122" s="325"/>
      <c r="CJ122" s="7"/>
      <c r="CK122" s="325"/>
      <c r="CL122" s="325"/>
      <c r="CM122" s="325"/>
      <c r="CN122" s="325"/>
      <c r="CO122" s="7"/>
      <c r="CP122" s="325"/>
      <c r="CQ122" s="325"/>
      <c r="CR122" s="325"/>
      <c r="CS122" s="325"/>
      <c r="CT122" s="7"/>
      <c r="CU122" s="325"/>
      <c r="CV122" s="325"/>
      <c r="CW122" s="325"/>
      <c r="CX122" s="325"/>
      <c r="CY122" s="7"/>
      <c r="CZ122" s="325"/>
      <c r="DA122" s="325"/>
      <c r="DB122" s="325"/>
      <c r="DC122" s="325"/>
      <c r="DD122" s="7"/>
      <c r="DE122" s="325"/>
      <c r="DF122" s="325"/>
      <c r="DG122" s="325"/>
      <c r="DH122" s="325"/>
      <c r="DI122" s="7"/>
      <c r="DJ122" s="325"/>
      <c r="DK122" s="325"/>
      <c r="DL122" s="325"/>
      <c r="DM122" s="325"/>
      <c r="DN122" s="7"/>
      <c r="DO122" s="325"/>
      <c r="DP122" s="325"/>
      <c r="DQ122" s="325"/>
      <c r="DR122" s="325"/>
      <c r="DS122" s="7"/>
      <c r="DT122" s="325"/>
      <c r="DU122" s="325"/>
      <c r="DV122" s="325"/>
      <c r="DW122" s="325"/>
      <c r="DX122" s="7"/>
      <c r="DY122" s="325"/>
      <c r="DZ122" s="325"/>
      <c r="EA122" s="325"/>
      <c r="EB122" s="325"/>
      <c r="EC122" s="7"/>
      <c r="ED122" s="325"/>
      <c r="EE122" s="325"/>
      <c r="EF122" s="325"/>
      <c r="EG122" s="325"/>
      <c r="EH122" s="7"/>
      <c r="EI122" s="325"/>
      <c r="EJ122" s="325"/>
      <c r="EK122" s="325"/>
      <c r="EL122" s="325"/>
      <c r="EM122" s="7"/>
      <c r="EN122" s="325"/>
      <c r="EO122" s="325"/>
      <c r="EP122" s="325"/>
      <c r="EQ122" s="325"/>
      <c r="ER122" s="7"/>
    </row>
    <row r="123" spans="2:237" ht="12.75" hidden="1" customHeight="1" outlineLevel="1">
      <c r="B123" s="21" t="s">
        <v>128</v>
      </c>
      <c r="C123" s="34">
        <v>20.030999999999999</v>
      </c>
      <c r="D123" s="522">
        <v>4.2270000000000003</v>
      </c>
      <c r="E123" s="522">
        <v>4.8920000000000003</v>
      </c>
      <c r="F123" s="522">
        <v>5.0049999999999999</v>
      </c>
      <c r="G123" s="522">
        <v>4.0220000000000002</v>
      </c>
      <c r="H123" s="34">
        <f t="shared" si="180"/>
        <v>18.146000000000001</v>
      </c>
      <c r="I123" s="522">
        <v>2.9279999999999999</v>
      </c>
      <c r="J123" s="522">
        <v>7.5410000000000004</v>
      </c>
      <c r="K123" s="522">
        <v>8.0609999999999999</v>
      </c>
      <c r="L123" s="522">
        <v>8.7119999999999997</v>
      </c>
      <c r="M123" s="34">
        <f t="shared" si="181"/>
        <v>27.242000000000001</v>
      </c>
      <c r="N123" s="522">
        <v>10.026</v>
      </c>
      <c r="O123" s="522">
        <v>12.260999999999999</v>
      </c>
      <c r="P123" s="522">
        <v>15.667999999999999</v>
      </c>
      <c r="Q123" s="522">
        <v>24.891999999999999</v>
      </c>
      <c r="R123" s="34">
        <f t="shared" si="182"/>
        <v>62.846999999999994</v>
      </c>
      <c r="S123" s="522">
        <v>15.263</v>
      </c>
      <c r="T123" s="522">
        <v>33.304000000000002</v>
      </c>
      <c r="U123" s="522">
        <v>34.816000000000003</v>
      </c>
      <c r="V123" s="522">
        <v>23.443000000000001</v>
      </c>
      <c r="W123" s="34">
        <f t="shared" si="183"/>
        <v>106.82600000000001</v>
      </c>
      <c r="X123" s="522">
        <v>42.652000000000001</v>
      </c>
      <c r="Y123" s="522">
        <v>30.236999999999998</v>
      </c>
      <c r="Z123" s="522">
        <v>46.01</v>
      </c>
      <c r="AA123" s="522">
        <v>52.768999999999998</v>
      </c>
      <c r="AB123" s="34">
        <f t="shared" si="184"/>
        <v>171.66800000000001</v>
      </c>
      <c r="AC123" s="522">
        <v>50.343000000000004</v>
      </c>
      <c r="AD123" s="522">
        <v>72.757999999999996</v>
      </c>
      <c r="AE123" s="522">
        <v>63.734999999999999</v>
      </c>
      <c r="AF123" s="522">
        <v>75.225999999999999</v>
      </c>
      <c r="AG123" s="34">
        <f t="shared" si="185"/>
        <v>262.06200000000001</v>
      </c>
      <c r="AH123" s="522">
        <v>77.492000000000004</v>
      </c>
      <c r="AI123" s="522">
        <v>100.52500000000001</v>
      </c>
      <c r="AJ123" s="522">
        <v>90.852000000000004</v>
      </c>
      <c r="AK123" s="522">
        <v>100.184</v>
      </c>
      <c r="AL123" s="34">
        <f t="shared" si="186"/>
        <v>369.053</v>
      </c>
      <c r="AM123" s="522">
        <v>94.122</v>
      </c>
      <c r="AN123" s="522">
        <v>125.50700000000001</v>
      </c>
      <c r="AO123" s="522">
        <v>136.45699999999999</v>
      </c>
      <c r="AP123" s="522">
        <v>75.427999999999997</v>
      </c>
      <c r="AQ123" s="34">
        <f t="shared" si="187"/>
        <v>431.51400000000001</v>
      </c>
      <c r="AR123" s="522">
        <v>118.932</v>
      </c>
      <c r="AS123" s="522">
        <v>135.80699999999999</v>
      </c>
      <c r="AT123" s="522">
        <v>153.43100000000001</v>
      </c>
      <c r="AU123" s="522">
        <v>146.477</v>
      </c>
      <c r="AV123" s="34">
        <f t="shared" si="188"/>
        <v>554.64699999999993</v>
      </c>
      <c r="AW123" s="522">
        <v>149.19800000000001</v>
      </c>
      <c r="AX123" s="522">
        <v>166.83199999999999</v>
      </c>
      <c r="AY123" s="522">
        <v>175.06200000000001</v>
      </c>
      <c r="AZ123" s="325"/>
      <c r="BA123" s="7"/>
      <c r="BB123" s="325"/>
      <c r="BC123" s="325"/>
      <c r="BD123" s="325"/>
      <c r="BE123" s="325"/>
      <c r="BF123" s="7"/>
      <c r="BG123" s="325"/>
      <c r="BH123" s="325"/>
      <c r="BI123" s="325"/>
      <c r="BJ123" s="325"/>
      <c r="BK123" s="7"/>
      <c r="BL123" s="325"/>
      <c r="BM123" s="325"/>
      <c r="BN123" s="325"/>
      <c r="BO123" s="325"/>
      <c r="BP123" s="7"/>
      <c r="BQ123" s="325"/>
      <c r="BR123" s="325"/>
      <c r="BS123" s="325"/>
      <c r="BT123" s="325"/>
      <c r="BU123" s="7"/>
      <c r="BV123" s="325"/>
      <c r="BW123" s="325"/>
      <c r="BX123" s="325"/>
      <c r="BY123" s="325"/>
      <c r="BZ123" s="7"/>
      <c r="CA123" s="325"/>
      <c r="CB123" s="325"/>
      <c r="CC123" s="325"/>
      <c r="CD123" s="325"/>
      <c r="CE123" s="7"/>
      <c r="CF123" s="325"/>
      <c r="CG123" s="325"/>
      <c r="CH123" s="325"/>
      <c r="CI123" s="325"/>
      <c r="CJ123" s="7"/>
      <c r="CK123" s="325"/>
      <c r="CL123" s="325"/>
      <c r="CM123" s="325"/>
      <c r="CN123" s="325"/>
      <c r="CO123" s="7"/>
      <c r="CP123" s="325"/>
      <c r="CQ123" s="325"/>
      <c r="CR123" s="325"/>
      <c r="CS123" s="325"/>
      <c r="CT123" s="7"/>
      <c r="CU123" s="325"/>
      <c r="CV123" s="325"/>
      <c r="CW123" s="325"/>
      <c r="CX123" s="325"/>
      <c r="CY123" s="7"/>
      <c r="CZ123" s="325"/>
      <c r="DA123" s="325"/>
      <c r="DB123" s="325"/>
      <c r="DC123" s="325"/>
      <c r="DD123" s="7"/>
      <c r="DE123" s="325"/>
      <c r="DF123" s="325"/>
      <c r="DG123" s="325"/>
      <c r="DH123" s="325"/>
      <c r="DI123" s="7"/>
      <c r="DJ123" s="325"/>
      <c r="DK123" s="325"/>
      <c r="DL123" s="325"/>
      <c r="DM123" s="325"/>
      <c r="DN123" s="7"/>
      <c r="DO123" s="325"/>
      <c r="DP123" s="325"/>
      <c r="DQ123" s="325"/>
      <c r="DR123" s="325"/>
      <c r="DS123" s="7"/>
      <c r="DT123" s="325"/>
      <c r="DU123" s="325"/>
      <c r="DV123" s="325"/>
      <c r="DW123" s="325"/>
      <c r="DX123" s="7"/>
      <c r="DY123" s="325"/>
      <c r="DZ123" s="325"/>
      <c r="EA123" s="325"/>
      <c r="EB123" s="325"/>
      <c r="EC123" s="7"/>
      <c r="ED123" s="325"/>
      <c r="EE123" s="325"/>
      <c r="EF123" s="325"/>
      <c r="EG123" s="325"/>
      <c r="EH123" s="7"/>
      <c r="EI123" s="325"/>
      <c r="EJ123" s="325"/>
      <c r="EK123" s="325"/>
      <c r="EL123" s="325"/>
      <c r="EM123" s="7"/>
      <c r="EN123" s="325"/>
      <c r="EO123" s="325"/>
      <c r="EP123" s="325"/>
      <c r="EQ123" s="325"/>
      <c r="ER123" s="7"/>
    </row>
    <row r="124" spans="2:237" ht="12.75" hidden="1" customHeight="1" outlineLevel="1">
      <c r="B124" s="9" t="s">
        <v>77</v>
      </c>
      <c r="C124" s="35">
        <f t="shared" ref="C124:AH124" si="189">C114+C115</f>
        <v>233.76900000000001</v>
      </c>
      <c r="D124" s="523">
        <f t="shared" si="189"/>
        <v>78.415999999999997</v>
      </c>
      <c r="E124" s="523">
        <f t="shared" si="189"/>
        <v>109.363</v>
      </c>
      <c r="F124" s="523">
        <f t="shared" si="189"/>
        <v>133.98400000000001</v>
      </c>
      <c r="G124" s="523">
        <f t="shared" si="189"/>
        <v>145.02699999999999</v>
      </c>
      <c r="H124" s="35">
        <f t="shared" si="189"/>
        <v>466.78999999999996</v>
      </c>
      <c r="I124" s="523">
        <f t="shared" si="189"/>
        <v>165.10500000000002</v>
      </c>
      <c r="J124" s="523">
        <f t="shared" si="189"/>
        <v>238.87</v>
      </c>
      <c r="K124" s="523">
        <f t="shared" si="189"/>
        <v>200.37200000000001</v>
      </c>
      <c r="L124" s="523">
        <f t="shared" si="189"/>
        <v>263.517</v>
      </c>
      <c r="M124" s="35">
        <f t="shared" si="189"/>
        <v>867.86400000000003</v>
      </c>
      <c r="N124" s="523">
        <f t="shared" si="189"/>
        <v>309.12700000000001</v>
      </c>
      <c r="O124" s="523">
        <f t="shared" si="189"/>
        <v>319.72199999999998</v>
      </c>
      <c r="P124" s="523">
        <f t="shared" si="189"/>
        <v>326.18700000000001</v>
      </c>
      <c r="Q124" s="523">
        <f t="shared" si="189"/>
        <v>369.58600000000001</v>
      </c>
      <c r="R124" s="35">
        <f t="shared" si="189"/>
        <v>1324.6220000000001</v>
      </c>
      <c r="S124" s="523">
        <f t="shared" si="189"/>
        <v>430.41399999999999</v>
      </c>
      <c r="T124" s="523">
        <f t="shared" si="189"/>
        <v>495.26900000000001</v>
      </c>
      <c r="U124" s="523">
        <f t="shared" si="189"/>
        <v>493.45100000000002</v>
      </c>
      <c r="V124" s="523">
        <f t="shared" si="189"/>
        <v>609.26599999999996</v>
      </c>
      <c r="W124" s="35">
        <f t="shared" si="189"/>
        <v>2028.3999999999999</v>
      </c>
      <c r="X124" s="523">
        <f t="shared" si="189"/>
        <v>692.87799999999993</v>
      </c>
      <c r="Y124" s="523">
        <f t="shared" si="189"/>
        <v>685.30200000000002</v>
      </c>
      <c r="Z124" s="523">
        <f t="shared" si="189"/>
        <v>748.73299999999995</v>
      </c>
      <c r="AA124" s="523">
        <f t="shared" si="189"/>
        <v>899.22599999999989</v>
      </c>
      <c r="AB124" s="35">
        <f t="shared" si="189"/>
        <v>3026.1390000000001</v>
      </c>
      <c r="AC124" s="523">
        <f t="shared" si="189"/>
        <v>1028.4299999999998</v>
      </c>
      <c r="AD124" s="523">
        <f t="shared" si="189"/>
        <v>1048.0889999999999</v>
      </c>
      <c r="AE124" s="523">
        <f t="shared" si="189"/>
        <v>1058.8029999999999</v>
      </c>
      <c r="AF124" s="523">
        <f t="shared" si="189"/>
        <v>1094.723</v>
      </c>
      <c r="AG124" s="35">
        <f t="shared" si="189"/>
        <v>4230.0450000000001</v>
      </c>
      <c r="AH124" s="523">
        <f t="shared" si="189"/>
        <v>1258.152</v>
      </c>
      <c r="AI124" s="523">
        <f t="shared" ref="AI124:AY124" si="190">AI114+AI115</f>
        <v>1278.125</v>
      </c>
      <c r="AJ124" s="523">
        <f t="shared" si="190"/>
        <v>1371.268</v>
      </c>
      <c r="AK124" s="523">
        <f t="shared" si="190"/>
        <v>1428.2049999999999</v>
      </c>
      <c r="AL124" s="35">
        <f t="shared" si="190"/>
        <v>5335.75</v>
      </c>
      <c r="AM124" s="523">
        <f t="shared" si="190"/>
        <v>1530.4599999999998</v>
      </c>
      <c r="AN124" s="523">
        <f t="shared" si="190"/>
        <v>1647.1549999999997</v>
      </c>
      <c r="AO124" s="523">
        <f t="shared" si="190"/>
        <v>1801.3890000000001</v>
      </c>
      <c r="AP124" s="523">
        <f t="shared" si="190"/>
        <v>2032.3790000000001</v>
      </c>
      <c r="AQ124" s="35">
        <f t="shared" si="190"/>
        <v>7011.3830000000007</v>
      </c>
      <c r="AR124" s="523">
        <f t="shared" si="190"/>
        <v>2085.8530000000001</v>
      </c>
      <c r="AS124" s="523">
        <f t="shared" si="190"/>
        <v>1927.2240000000002</v>
      </c>
      <c r="AT124" s="523">
        <f t="shared" si="190"/>
        <v>1937.6559999999999</v>
      </c>
      <c r="AU124" s="523">
        <f t="shared" si="190"/>
        <v>1998.6869999999999</v>
      </c>
      <c r="AV124" s="35">
        <f t="shared" si="190"/>
        <v>7949.42</v>
      </c>
      <c r="AW124" s="523">
        <f t="shared" si="190"/>
        <v>1926.0940000000001</v>
      </c>
      <c r="AX124" s="523">
        <f t="shared" si="190"/>
        <v>2137.2530000000002</v>
      </c>
      <c r="AY124" s="523">
        <f t="shared" si="190"/>
        <v>2121.66</v>
      </c>
      <c r="AZ124" s="326"/>
      <c r="BA124" s="14"/>
      <c r="BB124" s="326"/>
      <c r="BC124" s="326"/>
      <c r="BD124" s="326"/>
      <c r="BE124" s="326"/>
      <c r="BF124" s="14"/>
      <c r="BG124" s="326"/>
      <c r="BH124" s="326"/>
      <c r="BI124" s="326"/>
      <c r="BJ124" s="326"/>
      <c r="BK124" s="14"/>
      <c r="BL124" s="326"/>
      <c r="BM124" s="326"/>
      <c r="BN124" s="326"/>
      <c r="BO124" s="326"/>
      <c r="BP124" s="14"/>
      <c r="BQ124" s="326"/>
      <c r="BR124" s="326"/>
      <c r="BS124" s="326"/>
      <c r="BT124" s="326"/>
      <c r="BU124" s="14"/>
      <c r="BV124" s="326"/>
      <c r="BW124" s="326"/>
      <c r="BX124" s="326"/>
      <c r="BY124" s="326"/>
      <c r="BZ124" s="14"/>
      <c r="CA124" s="326"/>
      <c r="CB124" s="326"/>
      <c r="CC124" s="326"/>
      <c r="CD124" s="326"/>
      <c r="CE124" s="14"/>
      <c r="CF124" s="326"/>
      <c r="CG124" s="326"/>
      <c r="CH124" s="326"/>
      <c r="CI124" s="326"/>
      <c r="CJ124" s="14"/>
      <c r="CK124" s="326"/>
      <c r="CL124" s="326"/>
      <c r="CM124" s="326"/>
      <c r="CN124" s="326"/>
      <c r="CO124" s="14"/>
      <c r="CP124" s="326"/>
      <c r="CQ124" s="326"/>
      <c r="CR124" s="326"/>
      <c r="CS124" s="326"/>
      <c r="CT124" s="14"/>
      <c r="CU124" s="326"/>
      <c r="CV124" s="326"/>
      <c r="CW124" s="326"/>
      <c r="CX124" s="326"/>
      <c r="CY124" s="14"/>
      <c r="CZ124" s="326"/>
      <c r="DA124" s="326"/>
      <c r="DB124" s="326"/>
      <c r="DC124" s="326"/>
      <c r="DD124" s="14"/>
      <c r="DE124" s="326"/>
      <c r="DF124" s="326"/>
      <c r="DG124" s="326"/>
      <c r="DH124" s="326"/>
      <c r="DI124" s="14"/>
      <c r="DJ124" s="326"/>
      <c r="DK124" s="326"/>
      <c r="DL124" s="326"/>
      <c r="DM124" s="326"/>
      <c r="DN124" s="14"/>
      <c r="DO124" s="326"/>
      <c r="DP124" s="326"/>
      <c r="DQ124" s="326"/>
      <c r="DR124" s="326"/>
      <c r="DS124" s="14"/>
      <c r="DT124" s="326"/>
      <c r="DU124" s="326"/>
      <c r="DV124" s="326"/>
      <c r="DW124" s="326"/>
      <c r="DX124" s="14"/>
      <c r="DY124" s="326"/>
      <c r="DZ124" s="326"/>
      <c r="EA124" s="326"/>
      <c r="EB124" s="326"/>
      <c r="EC124" s="14"/>
      <c r="ED124" s="326"/>
      <c r="EE124" s="326"/>
      <c r="EF124" s="326"/>
      <c r="EG124" s="326"/>
      <c r="EH124" s="14"/>
      <c r="EI124" s="326"/>
      <c r="EJ124" s="326"/>
      <c r="EK124" s="326"/>
      <c r="EL124" s="326"/>
      <c r="EM124" s="14"/>
      <c r="EN124" s="326"/>
      <c r="EO124" s="326"/>
      <c r="EP124" s="326"/>
      <c r="EQ124" s="326"/>
      <c r="ER124" s="14"/>
    </row>
    <row r="125" spans="2:237" ht="12.75" customHeight="1" collapsed="1">
      <c r="D125" s="327"/>
      <c r="E125" s="327"/>
      <c r="F125" s="327"/>
      <c r="G125" s="327"/>
      <c r="I125" s="327"/>
      <c r="J125" s="327"/>
      <c r="K125" s="327"/>
      <c r="L125" s="327"/>
      <c r="N125" s="327"/>
      <c r="O125" s="327"/>
      <c r="P125" s="327"/>
      <c r="Q125" s="327"/>
      <c r="S125" s="327"/>
      <c r="T125" s="327"/>
      <c r="U125" s="327"/>
      <c r="V125" s="327"/>
      <c r="X125" s="327"/>
      <c r="Y125" s="327"/>
      <c r="Z125" s="327"/>
      <c r="AA125" s="327"/>
      <c r="AC125" s="327"/>
      <c r="AD125" s="327"/>
      <c r="AE125" s="327"/>
      <c r="AF125" s="327"/>
      <c r="AH125" s="325"/>
      <c r="AI125" s="327"/>
      <c r="AJ125" s="327"/>
      <c r="AK125" s="327"/>
      <c r="AM125" s="327"/>
      <c r="AN125" s="327"/>
      <c r="AO125" s="327"/>
      <c r="AP125" s="327"/>
      <c r="AR125" s="325"/>
      <c r="AS125" s="327"/>
      <c r="AT125" s="327"/>
      <c r="AU125" s="327"/>
      <c r="AW125" s="327"/>
      <c r="AX125" s="327"/>
      <c r="AY125" s="327"/>
      <c r="AZ125" s="327"/>
      <c r="BB125" s="327"/>
      <c r="BC125" s="327"/>
      <c r="BD125" s="327"/>
      <c r="BE125" s="327"/>
      <c r="BG125" s="327"/>
      <c r="BH125" s="327"/>
      <c r="BI125" s="327"/>
      <c r="BJ125" s="327"/>
      <c r="BL125" s="327"/>
      <c r="BM125" s="327"/>
      <c r="BN125" s="327"/>
      <c r="BO125" s="327"/>
      <c r="BQ125" s="327"/>
      <c r="BR125" s="327"/>
      <c r="BS125" s="327"/>
      <c r="BT125" s="327"/>
      <c r="BV125" s="327"/>
      <c r="BW125" s="327"/>
      <c r="BX125" s="327"/>
      <c r="BY125" s="327"/>
      <c r="CA125" s="327"/>
      <c r="CB125" s="327"/>
      <c r="CC125" s="327"/>
      <c r="CD125" s="327"/>
      <c r="CF125" s="327"/>
      <c r="CG125" s="327"/>
      <c r="CH125" s="327"/>
      <c r="CI125" s="327"/>
      <c r="CK125" s="327"/>
      <c r="CL125" s="327"/>
      <c r="CM125" s="327"/>
      <c r="CN125" s="327"/>
      <c r="CP125" s="327"/>
      <c r="CQ125" s="327"/>
      <c r="CR125" s="327"/>
      <c r="CS125" s="327"/>
      <c r="CU125" s="327"/>
      <c r="CV125" s="327"/>
      <c r="CW125" s="327"/>
      <c r="CX125" s="327"/>
      <c r="CZ125" s="327"/>
      <c r="DA125" s="327"/>
      <c r="DB125" s="327"/>
      <c r="DC125" s="327"/>
      <c r="DE125" s="327"/>
      <c r="DF125" s="327"/>
      <c r="DG125" s="327"/>
      <c r="DH125" s="327"/>
      <c r="DJ125" s="327"/>
      <c r="DK125" s="327"/>
      <c r="DL125" s="327"/>
      <c r="DM125" s="327"/>
      <c r="DO125" s="327"/>
      <c r="DP125" s="327"/>
      <c r="DQ125" s="327"/>
      <c r="DR125" s="327"/>
      <c r="DT125" s="327"/>
      <c r="DU125" s="327"/>
      <c r="DV125" s="327"/>
      <c r="DW125" s="327"/>
      <c r="DY125" s="327"/>
      <c r="DZ125" s="327"/>
      <c r="EA125" s="327"/>
      <c r="EB125" s="327"/>
      <c r="ED125" s="327"/>
      <c r="EE125" s="327"/>
      <c r="EF125" s="327"/>
      <c r="EG125" s="327"/>
      <c r="EI125" s="327"/>
      <c r="EJ125" s="327"/>
      <c r="EK125" s="327"/>
      <c r="EL125" s="327"/>
      <c r="EN125" s="327"/>
      <c r="EO125" s="327"/>
      <c r="EP125" s="327"/>
      <c r="EQ125" s="327"/>
    </row>
    <row r="126" spans="2:237" s="9" customFormat="1" ht="12.75" customHeight="1">
      <c r="B126" s="9" t="s">
        <v>129</v>
      </c>
      <c r="C126" s="1"/>
      <c r="D126" s="327"/>
      <c r="E126" s="327"/>
      <c r="F126" s="327"/>
      <c r="G126" s="327"/>
      <c r="H126" s="1"/>
      <c r="I126" s="327"/>
      <c r="J126" s="327"/>
      <c r="K126" s="327"/>
      <c r="L126" s="327"/>
      <c r="M126" s="1"/>
      <c r="N126" s="327"/>
      <c r="O126" s="327"/>
      <c r="P126" s="327"/>
      <c r="Q126" s="327"/>
      <c r="R126" s="1"/>
      <c r="S126" s="327"/>
      <c r="T126" s="327"/>
      <c r="U126" s="327"/>
      <c r="V126" s="327"/>
      <c r="W126" s="1"/>
      <c r="X126" s="327"/>
      <c r="Y126" s="327"/>
      <c r="Z126" s="327"/>
      <c r="AA126" s="327"/>
      <c r="AB126" s="1"/>
      <c r="AC126" s="327"/>
      <c r="AD126" s="327"/>
      <c r="AE126" s="327"/>
      <c r="AF126" s="327"/>
      <c r="AG126" s="1"/>
      <c r="AH126" s="327"/>
      <c r="AI126" s="327"/>
      <c r="AJ126" s="327"/>
      <c r="AK126" s="327"/>
      <c r="AL126" s="1"/>
      <c r="AM126" s="327"/>
      <c r="AN126" s="327"/>
      <c r="AO126" s="327"/>
      <c r="AP126" s="327"/>
      <c r="AQ126" s="1"/>
      <c r="AR126" s="327"/>
      <c r="AS126" s="327"/>
      <c r="AT126" s="327"/>
      <c r="AU126" s="327"/>
      <c r="AV126" s="1"/>
      <c r="AW126" s="327"/>
      <c r="AX126" s="327"/>
      <c r="AY126" s="327"/>
      <c r="AZ126" s="327"/>
      <c r="BA126" s="1"/>
      <c r="BB126" s="327"/>
      <c r="BC126" s="327"/>
      <c r="BD126" s="327"/>
      <c r="BE126" s="327"/>
      <c r="BF126" s="1"/>
      <c r="BG126" s="327"/>
      <c r="BH126" s="327"/>
      <c r="BI126" s="327"/>
      <c r="BJ126" s="327"/>
      <c r="BK126" s="1"/>
      <c r="BL126" s="327"/>
      <c r="BM126" s="327"/>
      <c r="BN126" s="327"/>
      <c r="BO126" s="327"/>
      <c r="BP126" s="1"/>
      <c r="BQ126" s="327"/>
      <c r="BR126" s="327"/>
      <c r="BS126" s="327"/>
      <c r="BT126" s="327"/>
      <c r="BU126" s="1"/>
      <c r="BV126" s="327"/>
      <c r="BW126" s="327"/>
      <c r="BX126" s="327"/>
      <c r="BY126" s="327"/>
      <c r="BZ126" s="1"/>
      <c r="CA126" s="327"/>
      <c r="CB126" s="327"/>
      <c r="CC126" s="327"/>
      <c r="CD126" s="327"/>
      <c r="CE126" s="1"/>
      <c r="CF126" s="327"/>
      <c r="CG126" s="327"/>
      <c r="CH126" s="327"/>
      <c r="CI126" s="327"/>
      <c r="CJ126" s="1"/>
      <c r="CK126" s="327"/>
      <c r="CL126" s="327"/>
      <c r="CM126" s="327"/>
      <c r="CN126" s="327"/>
      <c r="CO126" s="1"/>
      <c r="CP126" s="327"/>
      <c r="CQ126" s="327"/>
      <c r="CR126" s="327"/>
      <c r="CS126" s="327"/>
      <c r="CT126" s="1"/>
      <c r="CU126" s="327"/>
      <c r="CV126" s="327"/>
      <c r="CW126" s="327"/>
      <c r="CX126" s="327"/>
      <c r="CY126" s="1"/>
      <c r="CZ126" s="327"/>
      <c r="DA126" s="327"/>
      <c r="DB126" s="327"/>
      <c r="DC126" s="327"/>
      <c r="DD126" s="1"/>
      <c r="DE126" s="327"/>
      <c r="DF126" s="327"/>
      <c r="DG126" s="327"/>
      <c r="DH126" s="327"/>
      <c r="DI126" s="1"/>
      <c r="DJ126" s="327"/>
      <c r="DK126" s="327"/>
      <c r="DL126" s="327"/>
      <c r="DM126" s="327"/>
      <c r="DN126" s="1"/>
      <c r="DO126" s="327"/>
      <c r="DP126" s="327"/>
      <c r="DQ126" s="327"/>
      <c r="DR126" s="327"/>
      <c r="DS126" s="1"/>
      <c r="DT126" s="327"/>
      <c r="DU126" s="327"/>
      <c r="DV126" s="327"/>
      <c r="DW126" s="327"/>
      <c r="DX126" s="1"/>
      <c r="DY126" s="327"/>
      <c r="DZ126" s="327"/>
      <c r="EA126" s="327"/>
      <c r="EB126" s="327"/>
      <c r="EC126" s="1"/>
      <c r="ED126" s="327"/>
      <c r="EE126" s="327"/>
      <c r="EF126" s="327"/>
      <c r="EG126" s="327"/>
      <c r="EH126" s="1"/>
      <c r="EI126" s="327"/>
      <c r="EJ126" s="327"/>
      <c r="EK126" s="327"/>
      <c r="EL126" s="327"/>
      <c r="EM126" s="1"/>
      <c r="EN126" s="327"/>
      <c r="EO126" s="327"/>
      <c r="EP126" s="327"/>
      <c r="EQ126" s="327"/>
      <c r="ER126" s="1"/>
      <c r="EU126"/>
      <c r="EV126"/>
      <c r="EW126"/>
      <c r="EX126"/>
      <c r="EY126"/>
      <c r="EZ126"/>
    </row>
    <row r="127" spans="2:237" ht="12.75" hidden="1" customHeight="1" outlineLevel="1">
      <c r="B127" s="1" t="s">
        <v>163</v>
      </c>
      <c r="C127" s="3"/>
      <c r="D127" s="324"/>
      <c r="E127" s="324"/>
      <c r="F127" s="324"/>
      <c r="G127" s="324"/>
      <c r="H127" s="3"/>
      <c r="I127" s="324"/>
      <c r="J127" s="324"/>
      <c r="K127" s="324"/>
      <c r="L127" s="324"/>
      <c r="M127" s="3"/>
      <c r="N127" s="324"/>
      <c r="O127" s="324"/>
      <c r="P127" s="324"/>
      <c r="Q127" s="324"/>
      <c r="R127" s="3"/>
      <c r="S127" s="324"/>
      <c r="T127" s="324"/>
      <c r="U127" s="324"/>
      <c r="V127" s="324"/>
      <c r="W127" s="3"/>
      <c r="X127" s="324"/>
      <c r="Y127" s="324">
        <f>8.4*2</f>
        <v>16.8</v>
      </c>
      <c r="Z127" s="324"/>
      <c r="AA127" s="324"/>
      <c r="AB127" s="3">
        <f>SUM(X127:AA127)</f>
        <v>16.8</v>
      </c>
      <c r="AC127" s="324"/>
      <c r="AD127" s="324">
        <f>(11.2+16.734)*2</f>
        <v>55.868000000000002</v>
      </c>
      <c r="AE127" s="324"/>
      <c r="AF127" s="324">
        <f>0.708*2</f>
        <v>1.4159999999999999</v>
      </c>
      <c r="AG127" s="3">
        <f>SUM(AC127:AF127)</f>
        <v>57.283999999999999</v>
      </c>
      <c r="AH127" s="325">
        <v>14.276116</v>
      </c>
      <c r="AI127" s="325">
        <v>5.5343819999999999</v>
      </c>
      <c r="AJ127" s="325">
        <v>9.41</v>
      </c>
      <c r="AK127" s="325">
        <v>29.934000000000001</v>
      </c>
      <c r="AL127" s="3">
        <f>SUM(AH127:AK127)</f>
        <v>59.154498000000004</v>
      </c>
      <c r="AM127" s="325">
        <v>10.016894000000001</v>
      </c>
      <c r="AN127" s="325">
        <v>10.635372</v>
      </c>
      <c r="AO127" s="325">
        <v>12.44</v>
      </c>
      <c r="AP127" s="325">
        <v>10.602</v>
      </c>
      <c r="AQ127" s="3">
        <f>SUM(AM127:AP127)</f>
        <v>43.694265999999999</v>
      </c>
      <c r="AR127" s="325">
        <v>6.8708340000000003</v>
      </c>
      <c r="AS127" s="325">
        <f>(23.6227+20.701083)*2</f>
        <v>88.647565999999998</v>
      </c>
      <c r="AT127" s="325">
        <v>91.583933999999999</v>
      </c>
      <c r="AU127" s="325">
        <v>32.782600000000002</v>
      </c>
      <c r="AV127" s="3">
        <f>SUM(AR127:AU127)</f>
        <v>219.88493399999999</v>
      </c>
      <c r="AW127" s="325">
        <v>28.041086</v>
      </c>
      <c r="AX127" s="325">
        <v>35.65146</v>
      </c>
      <c r="AY127" s="325">
        <v>44.8</v>
      </c>
      <c r="AZ127" s="325">
        <v>11.300736000000001</v>
      </c>
      <c r="BA127" s="3">
        <f>SUM(AW127:AZ127)</f>
        <v>119.793282</v>
      </c>
      <c r="BB127" s="325">
        <v>0.8</v>
      </c>
      <c r="BC127" s="325">
        <v>9.6</v>
      </c>
      <c r="BD127" s="325">
        <v>7</v>
      </c>
      <c r="BE127" s="325">
        <v>5.8719999999999999</v>
      </c>
      <c r="BF127" s="3">
        <f>SUM(BB127:BE127)</f>
        <v>23.271999999999998</v>
      </c>
      <c r="BG127" s="325">
        <v>2.1061000000000001</v>
      </c>
      <c r="BH127" s="325">
        <f>BG127</f>
        <v>2.1061000000000001</v>
      </c>
      <c r="BI127" s="325">
        <v>5</v>
      </c>
      <c r="BJ127" s="325">
        <f>BI127</f>
        <v>5</v>
      </c>
      <c r="BK127" s="3">
        <f>SUM(BG127:BJ127)</f>
        <v>14.212199999999999</v>
      </c>
      <c r="BL127" s="325"/>
      <c r="BM127" s="325"/>
      <c r="BN127" s="325"/>
      <c r="BO127" s="325"/>
      <c r="BP127" s="3">
        <f>CF!P87</f>
        <v>62</v>
      </c>
      <c r="BQ127" s="325"/>
      <c r="BR127" s="325"/>
      <c r="BS127" s="325"/>
      <c r="BT127" s="325"/>
      <c r="BU127" s="3">
        <f>CF!Q87</f>
        <v>99</v>
      </c>
      <c r="BV127" s="325"/>
      <c r="BW127" s="325"/>
      <c r="BX127" s="325"/>
      <c r="BY127" s="325"/>
      <c r="BZ127" s="3">
        <f>CF!R87</f>
        <v>126</v>
      </c>
      <c r="CA127" s="325"/>
      <c r="CB127" s="325"/>
      <c r="CC127" s="325"/>
      <c r="CD127" s="325"/>
      <c r="CE127" s="3">
        <f>CF!S87</f>
        <v>14</v>
      </c>
      <c r="CF127" s="325"/>
      <c r="CG127" s="325"/>
      <c r="CH127" s="325"/>
      <c r="CI127" s="325"/>
      <c r="CJ127" s="3">
        <f>CF!T87</f>
        <v>10</v>
      </c>
      <c r="CK127" s="325"/>
      <c r="CL127" s="325"/>
      <c r="CM127" s="325"/>
      <c r="CN127" s="325"/>
      <c r="CO127" s="3">
        <f>CF!U87</f>
        <v>50</v>
      </c>
      <c r="CP127" s="325"/>
      <c r="CQ127" s="325"/>
      <c r="CR127" s="325"/>
      <c r="CS127" s="325"/>
      <c r="CT127" s="3">
        <f>CF!V87</f>
        <v>75</v>
      </c>
      <c r="CU127" s="325"/>
      <c r="CV127" s="325"/>
      <c r="CW127" s="325"/>
      <c r="CX127" s="325"/>
      <c r="CY127" s="3">
        <f>CF!W87</f>
        <v>50</v>
      </c>
      <c r="CZ127" s="325"/>
      <c r="DA127" s="325"/>
      <c r="DB127" s="325"/>
      <c r="DC127" s="325"/>
      <c r="DD127" s="3">
        <f>CF!X87</f>
        <v>50</v>
      </c>
      <c r="DE127" s="325"/>
      <c r="DF127" s="325"/>
      <c r="DG127" s="325"/>
      <c r="DH127" s="325"/>
      <c r="DI127" s="3">
        <f>CF!Y87</f>
        <v>50</v>
      </c>
      <c r="DJ127" s="325"/>
      <c r="DK127" s="325"/>
      <c r="DL127" s="325"/>
      <c r="DM127" s="325"/>
      <c r="DN127" s="3">
        <f>CF!Z87</f>
        <v>10</v>
      </c>
      <c r="DO127" s="325"/>
      <c r="DP127" s="325"/>
      <c r="DQ127" s="325"/>
      <c r="DR127" s="325"/>
      <c r="DS127" s="3">
        <f>CF!AA87</f>
        <v>10</v>
      </c>
      <c r="DT127" s="325"/>
      <c r="DU127" s="325"/>
      <c r="DV127" s="325"/>
      <c r="DW127" s="325"/>
      <c r="DX127" s="3">
        <f>CF!AB87</f>
        <v>10</v>
      </c>
      <c r="DY127" s="325"/>
      <c r="DZ127" s="325"/>
      <c r="EA127" s="325"/>
      <c r="EB127" s="325"/>
      <c r="EC127" s="3">
        <f>CF!AC87</f>
        <v>10</v>
      </c>
      <c r="ED127" s="325"/>
      <c r="EE127" s="325"/>
      <c r="EF127" s="325"/>
      <c r="EG127" s="325"/>
      <c r="EH127" s="3">
        <f>CF!AD87</f>
        <v>10</v>
      </c>
      <c r="EI127" s="325"/>
      <c r="EJ127" s="325"/>
      <c r="EK127" s="325"/>
      <c r="EL127" s="325"/>
      <c r="EM127" s="3">
        <f>CF!AE87</f>
        <v>10</v>
      </c>
      <c r="EN127" s="325"/>
      <c r="EO127" s="325"/>
      <c r="EP127" s="325"/>
      <c r="EQ127" s="325"/>
      <c r="ER127" s="3">
        <f>CF!AF87</f>
        <v>10</v>
      </c>
    </row>
    <row r="128" spans="2:237" ht="12.75" hidden="1" customHeight="1" outlineLevel="1">
      <c r="B128" s="1" t="s">
        <v>130</v>
      </c>
      <c r="C128" s="16"/>
      <c r="D128" s="308"/>
      <c r="E128" s="308"/>
      <c r="F128" s="308"/>
      <c r="G128" s="308"/>
      <c r="H128" s="27"/>
      <c r="I128" s="308"/>
      <c r="J128" s="308"/>
      <c r="K128" s="308"/>
      <c r="L128" s="308"/>
      <c r="M128" s="27"/>
      <c r="N128" s="308"/>
      <c r="O128" s="308"/>
      <c r="P128" s="308"/>
      <c r="Q128" s="308"/>
      <c r="R128" s="27"/>
      <c r="S128" s="308"/>
      <c r="T128" s="308"/>
      <c r="U128" s="308"/>
      <c r="V128" s="308"/>
      <c r="W128" s="27"/>
      <c r="X128" s="308"/>
      <c r="Y128" s="308">
        <f>65.13/2</f>
        <v>32.564999999999998</v>
      </c>
      <c r="Z128" s="308"/>
      <c r="AA128" s="308"/>
      <c r="AB128" s="27">
        <f>AB129/AB127</f>
        <v>32.564999999999998</v>
      </c>
      <c r="AC128" s="308"/>
      <c r="AD128" s="308">
        <f>40.51/2</f>
        <v>20.254999999999999</v>
      </c>
      <c r="AE128" s="308"/>
      <c r="AF128" s="308">
        <f>46.28/2</f>
        <v>23.14</v>
      </c>
      <c r="AG128" s="27">
        <f>AG129/AG127</f>
        <v>20.326314154039522</v>
      </c>
      <c r="AH128" s="308">
        <f>AH129/AH127</f>
        <v>22.120862565140268</v>
      </c>
      <c r="AI128" s="308">
        <f>AI129/AI127</f>
        <v>27.103297170307364</v>
      </c>
      <c r="AJ128" s="308">
        <f>AJ129/AJ127</f>
        <v>26.567481402763018</v>
      </c>
      <c r="AK128" s="308">
        <f>50.37/2</f>
        <v>25.184999999999999</v>
      </c>
      <c r="AL128" s="27">
        <f>AL129/AL127</f>
        <v>24.84490342560256</v>
      </c>
      <c r="AM128" s="308">
        <f>AM129/AM127</f>
        <v>22.961209332952908</v>
      </c>
      <c r="AN128" s="308">
        <f>AN129/AN127</f>
        <v>22.387557294657864</v>
      </c>
      <c r="AO128" s="308">
        <f>AO129/AO127</f>
        <v>23.159163987138268</v>
      </c>
      <c r="AP128" s="308">
        <f>45.64/2</f>
        <v>22.82</v>
      </c>
      <c r="AQ128" s="27">
        <f t="shared" ref="AQ128:BA128" si="191">AQ129/AQ127</f>
        <v>22.843675643847639</v>
      </c>
      <c r="AR128" s="308">
        <f t="shared" si="191"/>
        <v>23.650695097567485</v>
      </c>
      <c r="AS128" s="308">
        <f t="shared" si="191"/>
        <v>19.071025593641227</v>
      </c>
      <c r="AT128" s="308">
        <f t="shared" si="191"/>
        <v>16.949479370475611</v>
      </c>
      <c r="AU128" s="308">
        <f t="shared" si="191"/>
        <v>18.772153520465121</v>
      </c>
      <c r="AV128" s="27">
        <f t="shared" si="191"/>
        <v>18.285927675244906</v>
      </c>
      <c r="AW128" s="308">
        <f t="shared" si="191"/>
        <v>19.560583352584846</v>
      </c>
      <c r="AX128" s="308">
        <f t="shared" si="191"/>
        <v>20.304918788739649</v>
      </c>
      <c r="AY128" s="308">
        <f t="shared" si="191"/>
        <v>19.723214285714288</v>
      </c>
      <c r="AZ128" s="308">
        <f t="shared" si="191"/>
        <v>20.016395392300112</v>
      </c>
      <c r="BA128" s="27">
        <f t="shared" si="191"/>
        <v>19.885923152184777</v>
      </c>
      <c r="BB128" s="325">
        <v>25.81</v>
      </c>
      <c r="BC128" s="325">
        <v>24.87</v>
      </c>
      <c r="BD128" s="325">
        <v>29.645</v>
      </c>
      <c r="BE128" s="308">
        <f>BE129/BE127</f>
        <v>35.364516348773847</v>
      </c>
      <c r="BF128" s="27"/>
      <c r="BG128" s="325">
        <v>39.04</v>
      </c>
      <c r="BH128" s="325">
        <v>0</v>
      </c>
      <c r="BI128" s="325">
        <v>40</v>
      </c>
      <c r="BJ128" s="325">
        <v>65</v>
      </c>
      <c r="BK128" s="27"/>
      <c r="BL128" s="325"/>
      <c r="BM128" s="325"/>
      <c r="BN128" s="325"/>
      <c r="BO128" s="325"/>
      <c r="BP128" s="27">
        <f>CF!P69</f>
        <v>88.31</v>
      </c>
      <c r="BQ128" s="325"/>
      <c r="BR128" s="325"/>
      <c r="BS128" s="325"/>
      <c r="BT128" s="325"/>
      <c r="BU128" s="27">
        <f>CF!Q69</f>
        <v>106.53</v>
      </c>
      <c r="BV128" s="325"/>
      <c r="BW128" s="325"/>
      <c r="BX128" s="325"/>
      <c r="BY128" s="325"/>
      <c r="BZ128" s="27">
        <f>CF!R69</f>
        <v>83.58</v>
      </c>
      <c r="CA128" s="325"/>
      <c r="CB128" s="325"/>
      <c r="CC128" s="325"/>
      <c r="CD128" s="325"/>
      <c r="CE128" s="27">
        <f>CF!S69</f>
        <v>70.708973964143425</v>
      </c>
      <c r="CF128" s="325"/>
      <c r="CG128" s="325"/>
      <c r="CH128" s="325"/>
      <c r="CI128" s="325"/>
      <c r="CJ128" s="27">
        <f>CF!T69</f>
        <v>77.779871360557777</v>
      </c>
      <c r="CK128" s="325"/>
      <c r="CL128" s="325"/>
      <c r="CM128" s="325"/>
      <c r="CN128" s="325"/>
      <c r="CO128" s="27">
        <f>CF!U69</f>
        <v>85.557858496613562</v>
      </c>
      <c r="CP128" s="325"/>
      <c r="CQ128" s="325"/>
      <c r="CR128" s="325"/>
      <c r="CS128" s="325"/>
      <c r="CT128" s="27">
        <f>CF!V69</f>
        <v>94.113644346274924</v>
      </c>
      <c r="CU128" s="325"/>
      <c r="CV128" s="325"/>
      <c r="CW128" s="325"/>
      <c r="CX128" s="325"/>
      <c r="CY128" s="27">
        <f>CF!W69</f>
        <v>103.52500878090243</v>
      </c>
      <c r="CZ128" s="325"/>
      <c r="DA128" s="325"/>
      <c r="DB128" s="325"/>
      <c r="DC128" s="325"/>
      <c r="DD128" s="27">
        <f>CF!X69</f>
        <v>113.87750965899268</v>
      </c>
      <c r="DE128" s="325"/>
      <c r="DF128" s="325"/>
      <c r="DG128" s="325"/>
      <c r="DH128" s="325"/>
      <c r="DI128" s="27">
        <f>CF!Y69</f>
        <v>125.26526062489195</v>
      </c>
      <c r="DJ128" s="325"/>
      <c r="DK128" s="325"/>
      <c r="DL128" s="325"/>
      <c r="DM128" s="325"/>
      <c r="DN128" s="27">
        <f>CF!Z69</f>
        <v>137.79178668738115</v>
      </c>
      <c r="DO128" s="325"/>
      <c r="DP128" s="325"/>
      <c r="DQ128" s="325"/>
      <c r="DR128" s="325"/>
      <c r="DS128" s="27">
        <f>CF!AA69</f>
        <v>151.57096535611927</v>
      </c>
      <c r="DT128" s="325"/>
      <c r="DU128" s="325"/>
      <c r="DV128" s="325"/>
      <c r="DW128" s="325"/>
      <c r="DX128" s="27">
        <f>CF!AB69</f>
        <v>166.72806189173122</v>
      </c>
      <c r="DY128" s="325"/>
      <c r="DZ128" s="325"/>
      <c r="EA128" s="325"/>
      <c r="EB128" s="325"/>
      <c r="EC128" s="27">
        <f>CF!AC69</f>
        <v>183.40086808090436</v>
      </c>
      <c r="ED128" s="325"/>
      <c r="EE128" s="325"/>
      <c r="EF128" s="325"/>
      <c r="EG128" s="325"/>
      <c r="EH128" s="27">
        <f>CF!AD69</f>
        <v>201.74095488899482</v>
      </c>
      <c r="EI128" s="325"/>
      <c r="EJ128" s="325"/>
      <c r="EK128" s="325"/>
      <c r="EL128" s="325"/>
      <c r="EM128" s="27">
        <f>CF!AE69</f>
        <v>221.91505037789432</v>
      </c>
      <c r="EN128" s="325"/>
      <c r="EO128" s="325"/>
      <c r="EP128" s="325"/>
      <c r="EQ128" s="325"/>
      <c r="ER128" s="27">
        <f>CF!AF69</f>
        <v>244.10655541568377</v>
      </c>
    </row>
    <row r="129" spans="2:156" ht="12.75" hidden="1" customHeight="1" outlineLevel="1">
      <c r="B129" s="1" t="s">
        <v>131</v>
      </c>
      <c r="C129" s="8"/>
      <c r="D129" s="573"/>
      <c r="E129" s="573"/>
      <c r="F129" s="573"/>
      <c r="G129" s="573"/>
      <c r="H129" s="8"/>
      <c r="I129" s="573"/>
      <c r="J129" s="573"/>
      <c r="K129" s="573"/>
      <c r="L129" s="573"/>
      <c r="M129" s="8"/>
      <c r="N129" s="573"/>
      <c r="O129" s="573"/>
      <c r="P129" s="573"/>
      <c r="Q129" s="573"/>
      <c r="R129" s="8"/>
      <c r="S129" s="573"/>
      <c r="T129" s="573"/>
      <c r="U129" s="573"/>
      <c r="V129" s="573"/>
      <c r="W129" s="8"/>
      <c r="X129" s="573"/>
      <c r="Y129" s="573">
        <f>Y128*Y127</f>
        <v>547.09199999999998</v>
      </c>
      <c r="Z129" s="573"/>
      <c r="AA129" s="573"/>
      <c r="AB129" s="8">
        <f>SUM(X129:AA129)</f>
        <v>547.09199999999998</v>
      </c>
      <c r="AC129" s="573"/>
      <c r="AD129" s="573">
        <f>AD128*AD127</f>
        <v>1131.60634</v>
      </c>
      <c r="AE129" s="573"/>
      <c r="AF129" s="573">
        <f>AF128*AF127</f>
        <v>32.766239999999996</v>
      </c>
      <c r="AG129" s="8">
        <f>SUM(AC129:AF129)</f>
        <v>1164.37258</v>
      </c>
      <c r="AH129" s="573">
        <v>315.8</v>
      </c>
      <c r="AI129" s="573">
        <v>150</v>
      </c>
      <c r="AJ129" s="573">
        <v>250</v>
      </c>
      <c r="AK129" s="573">
        <f>AK128*AK127</f>
        <v>753.88779</v>
      </c>
      <c r="AL129" s="8">
        <f>SUM(AH129:AK129)</f>
        <v>1469.6877899999999</v>
      </c>
      <c r="AM129" s="573">
        <v>230</v>
      </c>
      <c r="AN129" s="573">
        <v>238.1</v>
      </c>
      <c r="AO129" s="573">
        <v>288.10000000000002</v>
      </c>
      <c r="AP129" s="573">
        <f>AP128*AP127</f>
        <v>241.93764000000002</v>
      </c>
      <c r="AQ129" s="8">
        <f>SUM(AM129:AP129)</f>
        <v>998.13764000000003</v>
      </c>
      <c r="AR129" s="573">
        <v>162.5</v>
      </c>
      <c r="AS129" s="573">
        <f>837.5+853.1</f>
        <v>1690.6</v>
      </c>
      <c r="AT129" s="573">
        <v>1552.3</v>
      </c>
      <c r="AU129" s="573">
        <v>615.4</v>
      </c>
      <c r="AV129" s="8">
        <f>SUM(AR129:AU129)</f>
        <v>4020.7999999999997</v>
      </c>
      <c r="AW129" s="573">
        <v>548.5</v>
      </c>
      <c r="AX129" s="573">
        <v>723.9</v>
      </c>
      <c r="AY129" s="573">
        <v>883.6</v>
      </c>
      <c r="AZ129" s="573">
        <v>226.2</v>
      </c>
      <c r="BA129" s="8">
        <f>SUM(AW129:AZ129)</f>
        <v>2382.1999999999998</v>
      </c>
      <c r="BB129" s="573">
        <v>20.8</v>
      </c>
      <c r="BC129" s="573">
        <v>240.9</v>
      </c>
      <c r="BD129" s="573">
        <v>205.2</v>
      </c>
      <c r="BE129" s="573">
        <f>(2.156*34.09)+(2.176*35.3)+(1.54*37.24)</f>
        <v>207.66044000000002</v>
      </c>
      <c r="BF129" s="8">
        <f>SUM(BB129:BE129)</f>
        <v>674.56043999999997</v>
      </c>
      <c r="BG129" s="573">
        <f>BG127*BG128</f>
        <v>82.222144</v>
      </c>
      <c r="BH129" s="573">
        <f>BH127*BH128</f>
        <v>0</v>
      </c>
      <c r="BI129" s="573">
        <f>BI127*BI128</f>
        <v>200</v>
      </c>
      <c r="BJ129" s="573">
        <f>BJ127*BJ128</f>
        <v>325</v>
      </c>
      <c r="BK129" s="8">
        <f>SUM(BG129:BJ129)</f>
        <v>607.22214400000007</v>
      </c>
      <c r="BL129" s="573"/>
      <c r="BM129" s="573"/>
      <c r="BN129" s="573"/>
      <c r="BO129" s="573"/>
      <c r="BP129" s="8">
        <f>BP128*BP127</f>
        <v>5475.22</v>
      </c>
      <c r="BQ129" s="573"/>
      <c r="BR129" s="573"/>
      <c r="BS129" s="573"/>
      <c r="BT129" s="573"/>
      <c r="BU129" s="8">
        <f>BU128*BU127</f>
        <v>10546.47</v>
      </c>
      <c r="BV129" s="573"/>
      <c r="BW129" s="573"/>
      <c r="BX129" s="573"/>
      <c r="BY129" s="573"/>
      <c r="BZ129" s="8">
        <f>BZ128*BZ127</f>
        <v>10531.08</v>
      </c>
      <c r="CA129" s="573"/>
      <c r="CB129" s="573"/>
      <c r="CC129" s="573"/>
      <c r="CD129" s="573"/>
      <c r="CE129" s="8">
        <f>CE128*CE127</f>
        <v>989.92563549800798</v>
      </c>
      <c r="CF129" s="573"/>
      <c r="CG129" s="573"/>
      <c r="CH129" s="573"/>
      <c r="CI129" s="573"/>
      <c r="CJ129" s="8">
        <f>CJ128*CJ127</f>
        <v>777.79871360557775</v>
      </c>
      <c r="CK129" s="573"/>
      <c r="CL129" s="573"/>
      <c r="CM129" s="573"/>
      <c r="CN129" s="573"/>
      <c r="CO129" s="8">
        <f>CO128*CO127</f>
        <v>4277.8929248306777</v>
      </c>
      <c r="CP129" s="573"/>
      <c r="CQ129" s="573"/>
      <c r="CR129" s="573"/>
      <c r="CS129" s="573"/>
      <c r="CT129" s="8">
        <f>CT128*CT127</f>
        <v>7058.5233259706192</v>
      </c>
      <c r="CU129" s="573"/>
      <c r="CV129" s="573"/>
      <c r="CW129" s="573"/>
      <c r="CX129" s="573"/>
      <c r="CY129" s="8">
        <f>CY128*CY127</f>
        <v>5176.2504390451213</v>
      </c>
      <c r="CZ129" s="573"/>
      <c r="DA129" s="573"/>
      <c r="DB129" s="573"/>
      <c r="DC129" s="573"/>
      <c r="DD129" s="8">
        <f>DD128*DD127</f>
        <v>5693.8754829496338</v>
      </c>
      <c r="DE129" s="573"/>
      <c r="DF129" s="573"/>
      <c r="DG129" s="573"/>
      <c r="DH129" s="573"/>
      <c r="DI129" s="8">
        <f>DI128*DI127</f>
        <v>6263.2630312445972</v>
      </c>
      <c r="DJ129" s="573"/>
      <c r="DK129" s="573"/>
      <c r="DL129" s="573"/>
      <c r="DM129" s="573"/>
      <c r="DN129" s="8">
        <f>DN128*DN127</f>
        <v>1377.9178668738114</v>
      </c>
      <c r="DO129" s="573"/>
      <c r="DP129" s="573"/>
      <c r="DQ129" s="573"/>
      <c r="DR129" s="573"/>
      <c r="DS129" s="8">
        <f>DS128*DS127</f>
        <v>1515.7096535611927</v>
      </c>
      <c r="DT129" s="573"/>
      <c r="DU129" s="573"/>
      <c r="DV129" s="573"/>
      <c r="DW129" s="573"/>
      <c r="DX129" s="8">
        <f>DX128*DX127</f>
        <v>1667.280618917312</v>
      </c>
      <c r="DY129" s="573"/>
      <c r="DZ129" s="573"/>
      <c r="EA129" s="573"/>
      <c r="EB129" s="573"/>
      <c r="EC129" s="8">
        <f>EC128*EC127</f>
        <v>1834.0086808090437</v>
      </c>
      <c r="ED129" s="573"/>
      <c r="EE129" s="573"/>
      <c r="EF129" s="573"/>
      <c r="EG129" s="573"/>
      <c r="EH129" s="8">
        <f>EH128*EH127</f>
        <v>2017.4095488899482</v>
      </c>
      <c r="EI129" s="573"/>
      <c r="EJ129" s="573"/>
      <c r="EK129" s="573"/>
      <c r="EL129" s="573"/>
      <c r="EM129" s="8">
        <f>EM128*EM127</f>
        <v>2219.1505037789429</v>
      </c>
      <c r="EN129" s="573"/>
      <c r="EO129" s="573"/>
      <c r="EP129" s="573"/>
      <c r="EQ129" s="573"/>
      <c r="ER129" s="8">
        <f>ER128*ER127</f>
        <v>2441.0655541568376</v>
      </c>
    </row>
    <row r="130" spans="2:156" ht="12.75" hidden="1" customHeight="1" outlineLevel="1">
      <c r="B130" s="1" t="s">
        <v>132</v>
      </c>
      <c r="C130" s="3"/>
      <c r="D130" s="324"/>
      <c r="E130" s="324"/>
      <c r="F130" s="324"/>
      <c r="G130" s="324"/>
      <c r="H130" s="3"/>
      <c r="I130" s="324"/>
      <c r="J130" s="324"/>
      <c r="K130" s="324"/>
      <c r="L130" s="324"/>
      <c r="M130" s="3"/>
      <c r="N130" s="324"/>
      <c r="O130" s="324"/>
      <c r="P130" s="324"/>
      <c r="Q130" s="324"/>
      <c r="R130" s="3"/>
      <c r="S130" s="324"/>
      <c r="T130" s="324"/>
      <c r="U130" s="324"/>
      <c r="V130" s="324"/>
      <c r="W130" s="3"/>
      <c r="X130" s="324">
        <v>1000</v>
      </c>
      <c r="Y130" s="324">
        <v>544.9</v>
      </c>
      <c r="Z130" s="324"/>
      <c r="AA130" s="324"/>
      <c r="AB130" s="3"/>
      <c r="AC130" s="324">
        <v>1000</v>
      </c>
      <c r="AD130" s="324"/>
      <c r="AE130" s="324">
        <v>3000</v>
      </c>
      <c r="AF130" s="324">
        <v>2967.3440000000001</v>
      </c>
      <c r="AG130" s="3">
        <f>AF130</f>
        <v>2967.3440000000001</v>
      </c>
      <c r="AH130" s="324">
        <v>2150</v>
      </c>
      <c r="AI130" s="324">
        <v>2000</v>
      </c>
      <c r="AJ130" s="324">
        <v>1750</v>
      </c>
      <c r="AK130" s="324">
        <v>998.05700000000002</v>
      </c>
      <c r="AL130" s="3">
        <f>AK130</f>
        <v>998.05700000000002</v>
      </c>
      <c r="AM130" s="324">
        <v>768.1</v>
      </c>
      <c r="AN130" s="324">
        <v>530</v>
      </c>
      <c r="AO130" s="324">
        <v>241.9</v>
      </c>
      <c r="AP130" s="324">
        <v>0</v>
      </c>
      <c r="AQ130" s="3">
        <f>AP130</f>
        <v>0</v>
      </c>
      <c r="AR130" s="324">
        <v>837.5</v>
      </c>
      <c r="AS130" s="324">
        <v>4150</v>
      </c>
      <c r="AT130" s="324">
        <v>2590</v>
      </c>
      <c r="AU130" s="324">
        <v>1979.174</v>
      </c>
      <c r="AV130" s="3">
        <f>AU130</f>
        <v>1979.174</v>
      </c>
      <c r="AW130" s="324">
        <f>AV130-AW129+5000</f>
        <v>6430.674</v>
      </c>
      <c r="AX130" s="324">
        <f>AW130-AX129</f>
        <v>5706.7740000000003</v>
      </c>
      <c r="AY130" s="324">
        <f>AX130-AY129</f>
        <v>4823.174</v>
      </c>
      <c r="AZ130" s="324">
        <f>AY130-AZ129</f>
        <v>4596.9740000000002</v>
      </c>
      <c r="BA130" s="3">
        <f>AZ130</f>
        <v>4596.9740000000002</v>
      </c>
      <c r="BB130" s="324">
        <f>AZ130-BB129</f>
        <v>4576.174</v>
      </c>
      <c r="BC130" s="324">
        <f>BB130-BC129</f>
        <v>4335.2740000000003</v>
      </c>
      <c r="BD130" s="324">
        <f>BC130-BD129</f>
        <v>4130.0740000000005</v>
      </c>
      <c r="BE130" s="324">
        <f>BD130-BE129</f>
        <v>3922.4135600000004</v>
      </c>
      <c r="BF130" s="3"/>
      <c r="BG130" s="324">
        <f>BE130-BG129</f>
        <v>3840.1914160000006</v>
      </c>
      <c r="BH130" s="324">
        <f>BG130-BH129</f>
        <v>3840.1914160000006</v>
      </c>
      <c r="BI130" s="324">
        <f>BH130-BI129</f>
        <v>3640.1914160000006</v>
      </c>
      <c r="BJ130" s="324">
        <f>BI130-BJ129</f>
        <v>3315.1914160000006</v>
      </c>
      <c r="BK130" s="3">
        <f>BJ130</f>
        <v>3315.1914160000006</v>
      </c>
      <c r="BL130" s="324"/>
      <c r="BM130" s="324"/>
      <c r="BN130" s="324"/>
      <c r="BO130" s="324"/>
      <c r="BP130" s="3">
        <f>BK130-BP129</f>
        <v>-2160.0285839999997</v>
      </c>
      <c r="BQ130" s="324"/>
      <c r="BR130" s="324"/>
      <c r="BS130" s="324"/>
      <c r="BT130" s="324"/>
      <c r="BU130" s="3">
        <f>BP130-BU129</f>
        <v>-12706.498583999999</v>
      </c>
      <c r="BV130" s="324"/>
      <c r="BW130" s="324"/>
      <c r="BX130" s="324"/>
      <c r="BY130" s="324"/>
      <c r="BZ130" s="3">
        <f>BU130-BZ129</f>
        <v>-23237.578583999999</v>
      </c>
      <c r="CA130" s="324"/>
      <c r="CB130" s="324"/>
      <c r="CC130" s="324"/>
      <c r="CD130" s="324"/>
      <c r="CE130" s="3">
        <f>BZ130-CE129</f>
        <v>-24227.504219498005</v>
      </c>
      <c r="CF130" s="324"/>
      <c r="CG130" s="324"/>
      <c r="CH130" s="324"/>
      <c r="CI130" s="324"/>
      <c r="CJ130" s="3">
        <f>CE130-CJ129</f>
        <v>-25005.302933103583</v>
      </c>
      <c r="CK130" s="324"/>
      <c r="CL130" s="324"/>
      <c r="CM130" s="324"/>
      <c r="CN130" s="324"/>
      <c r="CO130" s="3">
        <f>CJ130-CO129</f>
        <v>-29283.195857934261</v>
      </c>
      <c r="CP130" s="324"/>
      <c r="CQ130" s="324"/>
      <c r="CR130" s="324"/>
      <c r="CS130" s="324"/>
      <c r="CT130" s="3">
        <f>CO130-CT129</f>
        <v>-36341.719183904883</v>
      </c>
      <c r="CU130" s="324"/>
      <c r="CV130" s="324"/>
      <c r="CW130" s="324"/>
      <c r="CX130" s="324"/>
      <c r="CY130" s="3">
        <f>CT130-CY129</f>
        <v>-41517.969622950004</v>
      </c>
      <c r="CZ130" s="324"/>
      <c r="DA130" s="324"/>
      <c r="DB130" s="324"/>
      <c r="DC130" s="324"/>
      <c r="DD130" s="3">
        <f>CY130-DD129</f>
        <v>-47211.845105899636</v>
      </c>
      <c r="DE130" s="324"/>
      <c r="DF130" s="324"/>
      <c r="DG130" s="324"/>
      <c r="DH130" s="324"/>
      <c r="DI130" s="3">
        <f>DD130-DI129</f>
        <v>-53475.108137144234</v>
      </c>
      <c r="DJ130" s="324"/>
      <c r="DK130" s="324"/>
      <c r="DL130" s="324"/>
      <c r="DM130" s="324"/>
      <c r="DN130" s="3">
        <f>DI130-DN129</f>
        <v>-54853.026004018044</v>
      </c>
      <c r="DO130" s="324"/>
      <c r="DP130" s="324"/>
      <c r="DQ130" s="324"/>
      <c r="DR130" s="324"/>
      <c r="DS130" s="3">
        <f>DN130-DS129</f>
        <v>-56368.735657579236</v>
      </c>
      <c r="DT130" s="324"/>
      <c r="DU130" s="324"/>
      <c r="DV130" s="324"/>
      <c r="DW130" s="324"/>
      <c r="DX130" s="3">
        <f>DS130-DX129</f>
        <v>-58036.01627649655</v>
      </c>
      <c r="DY130" s="324"/>
      <c r="DZ130" s="324"/>
      <c r="EA130" s="324"/>
      <c r="EB130" s="324"/>
      <c r="EC130" s="3">
        <f>DX130-EC129</f>
        <v>-59870.024957305592</v>
      </c>
      <c r="ED130" s="324"/>
      <c r="EE130" s="324"/>
      <c r="EF130" s="324"/>
      <c r="EG130" s="324"/>
      <c r="EH130" s="3">
        <f>EC130-EH129</f>
        <v>-61887.434506195539</v>
      </c>
      <c r="EI130" s="324"/>
      <c r="EJ130" s="324"/>
      <c r="EK130" s="324"/>
      <c r="EL130" s="324"/>
      <c r="EM130" s="3">
        <f>EH130-EM129</f>
        <v>-64106.585009974486</v>
      </c>
      <c r="EN130" s="324"/>
      <c r="EO130" s="324"/>
      <c r="EP130" s="324"/>
      <c r="EQ130" s="324"/>
      <c r="ER130" s="3">
        <f>EM130-ER129</f>
        <v>-66547.650564131327</v>
      </c>
    </row>
    <row r="131" spans="2:156" ht="12.75" hidden="1" customHeight="1" outlineLevel="1">
      <c r="B131" s="1" t="s">
        <v>826</v>
      </c>
      <c r="C131" s="3"/>
      <c r="D131" s="324"/>
      <c r="E131" s="324"/>
      <c r="F131" s="324"/>
      <c r="G131" s="324"/>
      <c r="H131" s="3"/>
      <c r="I131" s="324"/>
      <c r="J131" s="324"/>
      <c r="K131" s="324"/>
      <c r="L131" s="324"/>
      <c r="M131" s="3"/>
      <c r="N131" s="324"/>
      <c r="O131" s="324"/>
      <c r="P131" s="324"/>
      <c r="Q131" s="324"/>
      <c r="R131" s="3"/>
      <c r="S131" s="324"/>
      <c r="T131" s="324"/>
      <c r="U131" s="324"/>
      <c r="V131" s="324"/>
      <c r="W131" s="3"/>
      <c r="X131" s="324"/>
      <c r="Y131" s="324"/>
      <c r="Z131" s="324"/>
      <c r="AA131" s="324"/>
      <c r="AB131" s="3"/>
      <c r="AC131" s="324"/>
      <c r="AD131" s="324"/>
      <c r="AE131" s="324"/>
      <c r="AF131" s="324"/>
      <c r="AG131" s="3"/>
      <c r="AH131" s="324"/>
      <c r="AI131" s="324"/>
      <c r="AJ131" s="324"/>
      <c r="AK131" s="324"/>
      <c r="AL131" s="3"/>
      <c r="AM131" s="324"/>
      <c r="AN131" s="324"/>
      <c r="AO131" s="324"/>
      <c r="AP131" s="324"/>
      <c r="AQ131" s="3"/>
      <c r="AR131" s="324"/>
      <c r="AS131" s="324"/>
      <c r="AT131" s="324"/>
      <c r="AU131" s="324"/>
      <c r="AV131" s="3"/>
      <c r="AW131" s="324"/>
      <c r="AX131" s="324"/>
      <c r="AY131" s="324"/>
      <c r="AZ131" s="324"/>
      <c r="BA131" s="3"/>
      <c r="BB131" s="324"/>
      <c r="BC131" s="324"/>
      <c r="BD131" s="324"/>
      <c r="BE131" s="324"/>
      <c r="BF131" s="3"/>
      <c r="BG131" s="324"/>
      <c r="BH131" s="324"/>
      <c r="BI131" s="324"/>
      <c r="BJ131" s="324"/>
      <c r="BK131" s="3"/>
      <c r="BL131" s="324"/>
      <c r="BM131" s="324"/>
      <c r="BN131" s="324"/>
      <c r="BO131" s="324"/>
      <c r="BP131" s="3"/>
      <c r="BQ131" s="324"/>
      <c r="BR131" s="677">
        <v>0.43</v>
      </c>
      <c r="BS131" s="677">
        <v>0.43</v>
      </c>
      <c r="BT131" s="677">
        <v>0.43</v>
      </c>
      <c r="BU131" s="127">
        <f>SUM(BR131:BT131)</f>
        <v>1.29</v>
      </c>
      <c r="BV131" s="324">
        <v>0.43</v>
      </c>
      <c r="BW131" s="324">
        <f>BZ131/4</f>
        <v>0.45195139911634757</v>
      </c>
      <c r="BX131" s="324">
        <f>BZ131/4</f>
        <v>0.45195139911634757</v>
      </c>
      <c r="BY131" s="324">
        <f>BZ131/4</f>
        <v>0.45195139911634757</v>
      </c>
      <c r="BZ131" s="127">
        <f>CF!R100/IS!BZ88</f>
        <v>1.8078055964653903</v>
      </c>
      <c r="CA131" s="127">
        <f>CF!S100/IS!CA88</f>
        <v>2.0689393939393939</v>
      </c>
      <c r="CB131" s="127">
        <f>CF!T100/IS!CB88</f>
        <v>2.2810174639331819</v>
      </c>
      <c r="CC131" s="127">
        <f>CF!U100/IS!CC88</f>
        <v>2.5053146322971953</v>
      </c>
      <c r="CD131" s="127">
        <f>CF!V100/IS!CD88</f>
        <v>2.7537583333333342</v>
      </c>
      <c r="CE131" s="127">
        <f>CF!S100/IS!CE88</f>
        <v>2.0705079605761942</v>
      </c>
      <c r="CF131" s="127">
        <f>CF!X100/IS!CF88</f>
        <v>2.7764873999596786</v>
      </c>
      <c r="CG131" s="127">
        <f>CF!Y100/IS!CG88</f>
        <v>2.9427094300930752</v>
      </c>
      <c r="CH131" s="127">
        <f>CF!Z100/IS!CH88</f>
        <v>3.1533257416523135</v>
      </c>
      <c r="CI131" s="127">
        <f>CF!AA100/IS!CI88</f>
        <v>2.6225663756952637</v>
      </c>
      <c r="CJ131" s="127">
        <f>CF!T100/IS!CJ88</f>
        <v>2.2779465478403131</v>
      </c>
      <c r="CK131" s="127" t="e">
        <f>CF!AC100/IS!CK88</f>
        <v>#DIV/0!</v>
      </c>
      <c r="CL131" s="127" t="e">
        <f>CF!AD100/IS!CL88</f>
        <v>#DIV/0!</v>
      </c>
      <c r="CM131" s="127" t="e">
        <f>CF!AE100/IS!CM88</f>
        <v>#DIV/0!</v>
      </c>
      <c r="CN131" s="127" t="e">
        <f>CF!AF100/IS!CN88</f>
        <v>#DIV/0!</v>
      </c>
      <c r="CO131" s="127">
        <f>CF!U100/IS!CO88</f>
        <v>2.5509571003593616</v>
      </c>
      <c r="CP131" s="127" t="e">
        <f>CF!AH100/IS!CP88</f>
        <v>#DIV/0!</v>
      </c>
      <c r="CQ131" s="127" t="e">
        <f>CF!AI100/IS!CQ88</f>
        <v>#DIV/0!</v>
      </c>
      <c r="CR131" s="127" t="e">
        <f>CF!AJ100/IS!CR88</f>
        <v>#DIV/0!</v>
      </c>
      <c r="CS131" s="127" t="e">
        <f>CF!AK100/IS!CS88</f>
        <v>#DIV/0!</v>
      </c>
      <c r="CT131" s="127">
        <f>CF!V100/IS!CT88</f>
        <v>2.9387319019731897</v>
      </c>
      <c r="CU131" s="127" t="e">
        <f>CF!AM100/IS!CU88</f>
        <v>#DIV/0!</v>
      </c>
      <c r="CV131" s="127" t="e">
        <f>CF!AN100/IS!CV88</f>
        <v>#DIV/0!</v>
      </c>
      <c r="CW131" s="127" t="e">
        <f>CF!AO100/IS!CW88</f>
        <v>#DIV/0!</v>
      </c>
      <c r="CX131" s="127" t="e">
        <f>CF!AP100/IS!CX88</f>
        <v>#DIV/0!</v>
      </c>
      <c r="CY131" s="127">
        <f>CF!W100/IS!CY88</f>
        <v>3.0293959186780666</v>
      </c>
      <c r="CZ131" s="127" t="e">
        <f>CF!AR100/IS!CZ88</f>
        <v>#DIV/0!</v>
      </c>
      <c r="DA131" s="127" t="e">
        <f>CF!AS100/IS!DA88</f>
        <v>#DIV/0!</v>
      </c>
      <c r="DB131" s="127" t="e">
        <f>CF!AT100/IS!DB88</f>
        <v>#DIV/0!</v>
      </c>
      <c r="DC131" s="127" t="e">
        <f>CF!AU100/IS!DC88</f>
        <v>#DIV/0!</v>
      </c>
      <c r="DD131" s="127">
        <f>CF!X100/IS!DD88</f>
        <v>3.2436036287361056</v>
      </c>
      <c r="DE131" s="127" t="e">
        <f>CF!AW100/IS!DE88</f>
        <v>#DIV/0!</v>
      </c>
      <c r="DF131" s="127" t="e">
        <f>CF!AX100/IS!DF88</f>
        <v>#DIV/0!</v>
      </c>
      <c r="DG131" s="127" t="e">
        <f>CF!AY100/IS!DG88</f>
        <v>#DIV/0!</v>
      </c>
      <c r="DH131" s="127" t="e">
        <f>CF!AZ100/IS!DH88</f>
        <v>#DIV/0!</v>
      </c>
      <c r="DI131" s="127">
        <f>CF!Y100/IS!DI88</f>
        <v>3.5907443299068023</v>
      </c>
      <c r="DJ131" s="127" t="e">
        <f>CF!BB100/IS!DJ88</f>
        <v>#DIV/0!</v>
      </c>
      <c r="DK131" s="127" t="e">
        <f>CF!BC100/IS!DK88</f>
        <v>#DIV/0!</v>
      </c>
      <c r="DL131" s="127" t="e">
        <f>CF!BD100/IS!DL88</f>
        <v>#DIV/0!</v>
      </c>
      <c r="DM131" s="127" t="e">
        <f>CF!BE100/IS!DM88</f>
        <v>#DIV/0!</v>
      </c>
      <c r="DN131" s="127">
        <f>CF!Z100/IS!DN88</f>
        <v>3.9505115265992057</v>
      </c>
      <c r="DO131" s="127" t="e">
        <f>CF!BG100/IS!DO88</f>
        <v>#DIV/0!</v>
      </c>
      <c r="DP131" s="127" t="e">
        <f>CF!BH100/IS!DP88</f>
        <v>#DIV/0!</v>
      </c>
      <c r="DQ131" s="127" t="e">
        <f>CF!BI100/IS!DQ88</f>
        <v>#DIV/0!</v>
      </c>
      <c r="DR131" s="127" t="e">
        <f>CF!BJ100/IS!DR88</f>
        <v>#DIV/0!</v>
      </c>
      <c r="DS131" s="127">
        <f>CF!AA100/IS!DS88</f>
        <v>3.3111330345216583</v>
      </c>
      <c r="DT131" s="127" t="e">
        <f>CF!BL100/IS!DT88</f>
        <v>#DIV/0!</v>
      </c>
      <c r="DU131" s="127" t="e">
        <f>CF!BM100/IS!DU88</f>
        <v>#DIV/0!</v>
      </c>
      <c r="DV131" s="127" t="e">
        <f>CF!BN100/IS!DV88</f>
        <v>#DIV/0!</v>
      </c>
      <c r="DW131" s="127" t="e">
        <f>CF!BO100/IS!DW88</f>
        <v>#DIV/0!</v>
      </c>
      <c r="DX131" s="127">
        <f>CF!AB100/IS!DX88</f>
        <v>2.7437785045590424</v>
      </c>
      <c r="DY131" s="127" t="e">
        <f>CF!BQ100/IS!DY88</f>
        <v>#DIV/0!</v>
      </c>
      <c r="DZ131" s="127" t="e">
        <f>CF!BR100/IS!DZ88</f>
        <v>#DIV/0!</v>
      </c>
      <c r="EA131" s="127" t="e">
        <f>CF!BS100/IS!EA88</f>
        <v>#DIV/0!</v>
      </c>
      <c r="EB131" s="127" t="e">
        <f>CF!BT100/IS!EB88</f>
        <v>#DIV/0!</v>
      </c>
      <c r="EC131" s="127">
        <f>CF!AC100/IS!EC88</f>
        <v>2.6373561833954291</v>
      </c>
      <c r="ED131" s="127" t="e">
        <f>CF!BV100/IS!ED88</f>
        <v>#DIV/0!</v>
      </c>
      <c r="EE131" s="127" t="e">
        <f>CF!BW100/IS!EE88</f>
        <v>#DIV/0!</v>
      </c>
      <c r="EF131" s="127" t="e">
        <f>CF!BX100/IS!EF88</f>
        <v>#DIV/0!</v>
      </c>
      <c r="EG131" s="127" t="e">
        <f>CF!BY100/IS!EG88</f>
        <v>#DIV/0!</v>
      </c>
      <c r="EH131" s="127">
        <f>CF!AD100/IS!EH88</f>
        <v>2.7012236498683833</v>
      </c>
      <c r="EI131" s="127" t="e">
        <f>CF!CA100/IS!EI88</f>
        <v>#DIV/0!</v>
      </c>
      <c r="EJ131" s="127" t="e">
        <f>CF!CB100/IS!EJ88</f>
        <v>#DIV/0!</v>
      </c>
      <c r="EK131" s="127" t="e">
        <f>CF!CC100/IS!EK88</f>
        <v>#DIV/0!</v>
      </c>
      <c r="EL131" s="127" t="e">
        <f>CF!CD100/IS!EL88</f>
        <v>#DIV/0!</v>
      </c>
      <c r="EM131" s="127">
        <f>CF!AE100/IS!EM88</f>
        <v>2.8035790418804623</v>
      </c>
      <c r="EN131" s="127" t="e">
        <f>CF!CF100/IS!EN88</f>
        <v>#DIV/0!</v>
      </c>
      <c r="EO131" s="127" t="e">
        <f>CF!CG100/IS!EO88</f>
        <v>#DIV/0!</v>
      </c>
      <c r="EP131" s="127" t="e">
        <f>CF!CH100/IS!EP88</f>
        <v>#DIV/0!</v>
      </c>
      <c r="EQ131" s="127" t="e">
        <f>CF!CI100/IS!EQ88</f>
        <v>#DIV/0!</v>
      </c>
      <c r="ER131" s="127">
        <f>CF!AF100/IS!ER88</f>
        <v>3.6127368024270439</v>
      </c>
    </row>
    <row r="132" spans="2:156" ht="12.75" hidden="1" customHeight="1" outlineLevel="1">
      <c r="B132" s="1" t="s">
        <v>831</v>
      </c>
      <c r="C132" s="3"/>
      <c r="D132" s="324"/>
      <c r="E132" s="324"/>
      <c r="F132" s="324"/>
      <c r="G132" s="324"/>
      <c r="H132" s="3"/>
      <c r="I132" s="324"/>
      <c r="J132" s="324"/>
      <c r="K132" s="324"/>
      <c r="L132" s="324"/>
      <c r="M132" s="3"/>
      <c r="N132" s="324"/>
      <c r="O132" s="324"/>
      <c r="P132" s="324"/>
      <c r="Q132" s="324"/>
      <c r="R132" s="3"/>
      <c r="S132" s="324"/>
      <c r="T132" s="324"/>
      <c r="U132" s="324"/>
      <c r="V132" s="324"/>
      <c r="W132" s="3"/>
      <c r="X132" s="324"/>
      <c r="Y132" s="324"/>
      <c r="Z132" s="324"/>
      <c r="AA132" s="324"/>
      <c r="AB132" s="3"/>
      <c r="AC132" s="324"/>
      <c r="AD132" s="324"/>
      <c r="AE132" s="324"/>
      <c r="AF132" s="324"/>
      <c r="AG132" s="3"/>
      <c r="AH132" s="324"/>
      <c r="AI132" s="324"/>
      <c r="AJ132" s="324"/>
      <c r="AK132" s="324"/>
      <c r="AL132" s="3"/>
      <c r="AM132" s="324"/>
      <c r="AN132" s="324"/>
      <c r="AO132" s="324"/>
      <c r="AP132" s="324"/>
      <c r="AQ132" s="3"/>
      <c r="AR132" s="324"/>
      <c r="AS132" s="324"/>
      <c r="AT132" s="324"/>
      <c r="AU132" s="324"/>
      <c r="AV132" s="3"/>
      <c r="AW132" s="324"/>
      <c r="AX132" s="324"/>
      <c r="AY132" s="324"/>
      <c r="AZ132" s="324"/>
      <c r="BA132" s="3"/>
      <c r="BB132" s="324"/>
      <c r="BC132" s="324"/>
      <c r="BD132" s="324"/>
      <c r="BE132" s="324"/>
      <c r="BF132" s="3"/>
      <c r="BG132" s="324"/>
      <c r="BH132" s="324"/>
      <c r="BI132" s="324"/>
      <c r="BJ132" s="324"/>
      <c r="BK132" s="3"/>
      <c r="BL132" s="324"/>
      <c r="BM132" s="324"/>
      <c r="BN132" s="324"/>
      <c r="BO132" s="324"/>
      <c r="BP132" s="3"/>
      <c r="BQ132" s="324"/>
      <c r="BR132" s="677"/>
      <c r="BS132" s="677"/>
      <c r="BT132" s="676"/>
      <c r="BU132" s="17">
        <f>BU131/BU32</f>
        <v>0.10233609763730246</v>
      </c>
      <c r="BV132" s="324"/>
      <c r="BW132" s="324"/>
      <c r="BX132" s="324"/>
      <c r="BY132" s="324"/>
      <c r="BZ132" s="17">
        <f>BZ131/BZ32</f>
        <v>0.15622017181037226</v>
      </c>
      <c r="CA132" s="127"/>
      <c r="CB132" s="127"/>
      <c r="CC132" s="127"/>
      <c r="CD132" s="127"/>
      <c r="CE132" s="17">
        <f>CE131/CE32</f>
        <v>0.23434014072421486</v>
      </c>
      <c r="CF132" s="127"/>
      <c r="CG132" s="127"/>
      <c r="CH132" s="127"/>
      <c r="CI132" s="127"/>
      <c r="CJ132" s="17">
        <f>CJ131/CJ32</f>
        <v>0.36698969604236265</v>
      </c>
      <c r="CK132" s="127"/>
      <c r="CL132" s="127"/>
      <c r="CM132" s="127"/>
      <c r="CN132" s="127"/>
      <c r="CO132" s="17">
        <f>CO131/CO32</f>
        <v>0.39596742144047942</v>
      </c>
      <c r="CP132" s="127"/>
      <c r="CQ132" s="127"/>
      <c r="CR132" s="127"/>
      <c r="CS132" s="127"/>
      <c r="CT132" s="17">
        <f>CT131/CT32</f>
        <v>0.39082447662305086</v>
      </c>
      <c r="CU132" s="127"/>
      <c r="CV132" s="127"/>
      <c r="CW132" s="127"/>
      <c r="CX132" s="127"/>
      <c r="CY132" s="17">
        <f>CY131/CY32</f>
        <v>0.42662501802717501</v>
      </c>
      <c r="CZ132" s="127"/>
      <c r="DA132" s="127"/>
      <c r="DB132" s="127"/>
      <c r="DC132" s="127"/>
      <c r="DD132" s="17">
        <f>DD131/DD32</f>
        <v>0.40508289325645153</v>
      </c>
      <c r="DE132" s="127"/>
      <c r="DF132" s="127"/>
      <c r="DG132" s="127"/>
      <c r="DH132" s="127"/>
      <c r="DI132" s="17">
        <f>DI131/DI32</f>
        <v>0.40073207289573304</v>
      </c>
      <c r="DJ132" s="127"/>
      <c r="DK132" s="127"/>
      <c r="DL132" s="127"/>
      <c r="DM132" s="127"/>
      <c r="DN132" s="17">
        <f>DN131/DN32</f>
        <v>0.39927699575096454</v>
      </c>
      <c r="DO132" s="127"/>
      <c r="DP132" s="127"/>
      <c r="DQ132" s="127"/>
      <c r="DR132" s="127"/>
      <c r="DS132" s="17">
        <f>DS131/DS32</f>
        <v>0.49838697218384537</v>
      </c>
      <c r="DT132" s="127"/>
      <c r="DU132" s="127"/>
      <c r="DV132" s="127"/>
      <c r="DW132" s="127"/>
      <c r="DX132" s="17">
        <f>DX131/DX32</f>
        <v>0.48065460894578121</v>
      </c>
      <c r="DY132" s="127"/>
      <c r="DZ132" s="127"/>
      <c r="EA132" s="127"/>
      <c r="EB132" s="127"/>
      <c r="EC132" s="17">
        <f>EC131/EC32</f>
        <v>0.46813377215998764</v>
      </c>
      <c r="ED132" s="127"/>
      <c r="EE132" s="127"/>
      <c r="EF132" s="127"/>
      <c r="EG132" s="127"/>
      <c r="EH132" s="17">
        <f>EH131/EH32</f>
        <v>0.42877779487746415</v>
      </c>
      <c r="EI132" s="127"/>
      <c r="EJ132" s="127"/>
      <c r="EK132" s="127"/>
      <c r="EL132" s="127"/>
      <c r="EM132" s="17">
        <f>EM131/EM32</f>
        <v>0.33547957388523431</v>
      </c>
      <c r="EN132" s="127"/>
      <c r="EO132" s="127"/>
      <c r="EP132" s="127"/>
      <c r="EQ132" s="127"/>
      <c r="ER132" s="17">
        <f>ER131/ER32</f>
        <v>0.4176721790593303</v>
      </c>
    </row>
    <row r="133" spans="2:156" ht="12.75" customHeight="1" collapsed="1"/>
    <row r="134" spans="2:156" ht="12.75" customHeight="1">
      <c r="W134" s="26"/>
    </row>
    <row r="135" spans="2:156" ht="12.75" customHeight="1">
      <c r="B135" s="9" t="s">
        <v>684</v>
      </c>
    </row>
    <row r="136" spans="2:156" s="285" customFormat="1" ht="12.75" customHeight="1">
      <c r="B136" s="1" t="s">
        <v>685</v>
      </c>
      <c r="C136" s="285">
        <f t="shared" ref="C136:AH136" si="192">C82+C29</f>
        <v>52.400999999999954</v>
      </c>
      <c r="D136" s="285">
        <f t="shared" si="192"/>
        <v>-3.8500000000000054</v>
      </c>
      <c r="E136" s="285">
        <f t="shared" si="192"/>
        <v>19.710999999999995</v>
      </c>
      <c r="F136" s="285">
        <f t="shared" si="192"/>
        <v>20.756999999999987</v>
      </c>
      <c r="G136" s="285">
        <f t="shared" si="192"/>
        <v>35.479000000000049</v>
      </c>
      <c r="H136" s="285">
        <f t="shared" si="192"/>
        <v>72.097000000000037</v>
      </c>
      <c r="I136" s="285">
        <f t="shared" si="192"/>
        <v>-438.05399999999997</v>
      </c>
      <c r="J136" s="285">
        <f t="shared" si="192"/>
        <v>100.37200000000001</v>
      </c>
      <c r="K136" s="285">
        <f t="shared" si="192"/>
        <v>73.096000000000018</v>
      </c>
      <c r="L136" s="285">
        <f t="shared" si="192"/>
        <v>192.58299999999997</v>
      </c>
      <c r="M136" s="285">
        <f t="shared" si="192"/>
        <v>-72.002999999999872</v>
      </c>
      <c r="N136" s="285">
        <f t="shared" si="192"/>
        <v>114.42799999999994</v>
      </c>
      <c r="O136" s="285">
        <f t="shared" si="192"/>
        <v>111.45899999999997</v>
      </c>
      <c r="P136" s="285">
        <f t="shared" si="192"/>
        <v>113.24000000000002</v>
      </c>
      <c r="Q136" s="285">
        <f t="shared" si="192"/>
        <v>110.24300000000001</v>
      </c>
      <c r="R136" s="285">
        <f t="shared" si="192"/>
        <v>449.37000000000006</v>
      </c>
      <c r="S136" s="285">
        <f t="shared" si="192"/>
        <v>156.85199999999995</v>
      </c>
      <c r="T136" s="285">
        <f t="shared" si="192"/>
        <v>195.05299999999994</v>
      </c>
      <c r="U136" s="285">
        <f t="shared" si="192"/>
        <v>178.00900000000007</v>
      </c>
      <c r="V136" s="285">
        <f t="shared" si="192"/>
        <v>280.00500000000005</v>
      </c>
      <c r="W136" s="285">
        <f t="shared" si="192"/>
        <v>809.91899999999987</v>
      </c>
      <c r="X136" s="285">
        <f t="shared" si="192"/>
        <v>261.71000000000009</v>
      </c>
      <c r="Y136" s="285">
        <f t="shared" si="192"/>
        <v>263.90599999999989</v>
      </c>
      <c r="Z136" s="285">
        <f t="shared" si="192"/>
        <v>-53.804000000000102</v>
      </c>
      <c r="AA136" s="285">
        <f t="shared" si="192"/>
        <v>-1668.1990000000001</v>
      </c>
      <c r="AB136" s="285">
        <f t="shared" si="192"/>
        <v>-1196.3869999999997</v>
      </c>
      <c r="AC136" s="285">
        <f t="shared" si="192"/>
        <v>404.88100000000009</v>
      </c>
      <c r="AD136" s="285">
        <f t="shared" si="192"/>
        <v>405.52900000000011</v>
      </c>
      <c r="AE136" s="285">
        <f t="shared" si="192"/>
        <v>395.84100000000007</v>
      </c>
      <c r="AF136" s="285">
        <f t="shared" si="192"/>
        <v>399.29000000000008</v>
      </c>
      <c r="AG136" s="285">
        <f t="shared" si="192"/>
        <v>1605.5409999999997</v>
      </c>
      <c r="AH136" s="285">
        <f t="shared" si="192"/>
        <v>486.42500000000018</v>
      </c>
      <c r="AI136" s="285">
        <f t="shared" ref="AI136:BN136" si="193">AI82+AI29</f>
        <v>432.62299999999993</v>
      </c>
      <c r="AJ136" s="285">
        <f t="shared" si="193"/>
        <v>493.69300000000004</v>
      </c>
      <c r="AK136" s="285">
        <f t="shared" si="193"/>
        <v>557.59399999999982</v>
      </c>
      <c r="AL136" s="285">
        <f t="shared" si="193"/>
        <v>1970.3349999999991</v>
      </c>
      <c r="AM136" s="285">
        <f t="shared" si="193"/>
        <v>586.577</v>
      </c>
      <c r="AN136" s="285">
        <f t="shared" si="193"/>
        <v>569.14499999999987</v>
      </c>
      <c r="AO136" s="285">
        <f t="shared" si="193"/>
        <v>670.47800000000041</v>
      </c>
      <c r="AP136" s="285">
        <f t="shared" si="193"/>
        <v>799.39300000000003</v>
      </c>
      <c r="AQ136" s="285">
        <f t="shared" si="193"/>
        <v>2625.5929999999994</v>
      </c>
      <c r="AR136" s="285">
        <f t="shared" si="193"/>
        <v>852.09400000000005</v>
      </c>
      <c r="AS136" s="285">
        <f t="shared" si="193"/>
        <v>709.12700000000041</v>
      </c>
      <c r="AT136" s="285">
        <f t="shared" si="193"/>
        <v>702.1629999999999</v>
      </c>
      <c r="AU136" s="285">
        <f t="shared" si="193"/>
        <v>626.3649999999999</v>
      </c>
      <c r="AV136" s="285">
        <f t="shared" si="193"/>
        <v>2889.7490000000003</v>
      </c>
      <c r="AW136" s="285">
        <f t="shared" si="193"/>
        <v>647.30300000000034</v>
      </c>
      <c r="AX136" s="285">
        <f t="shared" si="193"/>
        <v>742.45899999999995</v>
      </c>
      <c r="AY136" s="285">
        <f t="shared" si="193"/>
        <v>737.03799999999967</v>
      </c>
      <c r="AZ136" s="285">
        <f t="shared" si="193"/>
        <v>661.7589999999999</v>
      </c>
      <c r="BA136" s="285">
        <f t="shared" si="193"/>
        <v>2788.5589999999988</v>
      </c>
      <c r="BB136" s="285">
        <f t="shared" si="193"/>
        <v>437.53099999999984</v>
      </c>
      <c r="BC136" s="285">
        <f t="shared" si="193"/>
        <v>706.07399999999961</v>
      </c>
      <c r="BD136" s="285">
        <f t="shared" si="193"/>
        <v>688.54599999999948</v>
      </c>
      <c r="BE136" s="285">
        <f t="shared" si="193"/>
        <v>798.98400000000026</v>
      </c>
      <c r="BF136" s="285">
        <f t="shared" si="193"/>
        <v>2573.599000000002</v>
      </c>
      <c r="BG136" s="285">
        <f t="shared" si="193"/>
        <v>717.71000000000026</v>
      </c>
      <c r="BH136" s="285">
        <f t="shared" si="193"/>
        <v>767.61800000000028</v>
      </c>
      <c r="BI136" s="285">
        <f t="shared" si="193"/>
        <v>785.2170000000001</v>
      </c>
      <c r="BJ136" s="285">
        <f t="shared" si="193"/>
        <v>786.74200000000019</v>
      </c>
      <c r="BK136" s="285">
        <f t="shared" si="193"/>
        <v>3057.2870000000007</v>
      </c>
      <c r="BL136" s="285">
        <f t="shared" si="193"/>
        <v>2220.7340000000022</v>
      </c>
      <c r="BM136" s="285">
        <f t="shared" si="193"/>
        <v>3650.4850000000019</v>
      </c>
      <c r="BN136" s="285">
        <f t="shared" si="193"/>
        <v>2724.2630000000004</v>
      </c>
      <c r="BO136" s="285">
        <f t="shared" ref="BO136:CT136" si="194">BO82+BO29</f>
        <v>3461.8721077385035</v>
      </c>
      <c r="BP136" s="285">
        <f t="shared" si="194"/>
        <v>12062.754107738505</v>
      </c>
      <c r="BQ136" s="285">
        <f t="shared" si="194"/>
        <v>4332</v>
      </c>
      <c r="BR136" s="285">
        <f t="shared" si="194"/>
        <v>4497</v>
      </c>
      <c r="BS136" s="285">
        <f t="shared" si="194"/>
        <v>4593</v>
      </c>
      <c r="BT136" s="285">
        <f t="shared" si="194"/>
        <v>4685</v>
      </c>
      <c r="BU136" s="285">
        <f t="shared" si="194"/>
        <v>18107</v>
      </c>
      <c r="BV136" s="285">
        <f t="shared" si="194"/>
        <v>3567</v>
      </c>
      <c r="BW136" s="285">
        <f t="shared" si="194"/>
        <v>3497</v>
      </c>
      <c r="BX136" s="285">
        <f t="shared" si="194"/>
        <v>3325</v>
      </c>
      <c r="BY136" s="285">
        <f t="shared" si="194"/>
        <v>3099</v>
      </c>
      <c r="BZ136" s="285">
        <f t="shared" si="194"/>
        <v>13488</v>
      </c>
      <c r="CA136" s="285">
        <f t="shared" si="194"/>
        <v>2699</v>
      </c>
      <c r="CB136" s="285">
        <f t="shared" si="194"/>
        <v>3069</v>
      </c>
      <c r="CC136" s="285">
        <f t="shared" si="194"/>
        <v>2712</v>
      </c>
      <c r="CD136" s="285">
        <f t="shared" si="194"/>
        <v>-3836</v>
      </c>
      <c r="CE136" s="285">
        <f t="shared" si="194"/>
        <v>4644</v>
      </c>
      <c r="CF136" s="285">
        <f t="shared" si="194"/>
        <v>1765.7218993296813</v>
      </c>
      <c r="CG136" s="285">
        <f t="shared" si="194"/>
        <v>1933.6101090655347</v>
      </c>
      <c r="CH136" s="285">
        <f t="shared" si="194"/>
        <v>2004.83377827758</v>
      </c>
      <c r="CI136" s="285">
        <f t="shared" si="194"/>
        <v>1767.7226220928519</v>
      </c>
      <c r="CJ136" s="285">
        <f t="shared" si="194"/>
        <v>7471.8884087656488</v>
      </c>
      <c r="CK136" s="285">
        <f t="shared" si="194"/>
        <v>0</v>
      </c>
      <c r="CL136" s="285">
        <f t="shared" si="194"/>
        <v>0</v>
      </c>
      <c r="CM136" s="285">
        <f t="shared" si="194"/>
        <v>0</v>
      </c>
      <c r="CN136" s="285">
        <f t="shared" si="194"/>
        <v>0</v>
      </c>
      <c r="CO136" s="285">
        <f t="shared" si="194"/>
        <v>7560.1187914066522</v>
      </c>
      <c r="CP136" s="285">
        <f t="shared" si="194"/>
        <v>0</v>
      </c>
      <c r="CQ136" s="285">
        <f t="shared" si="194"/>
        <v>0</v>
      </c>
      <c r="CR136" s="285">
        <f t="shared" si="194"/>
        <v>0</v>
      </c>
      <c r="CS136" s="285">
        <f t="shared" si="194"/>
        <v>0</v>
      </c>
      <c r="CT136" s="285">
        <f t="shared" si="194"/>
        <v>8436.9316372378798</v>
      </c>
      <c r="CU136" s="285">
        <f t="shared" ref="CU136:DZ136" si="195">CU82+CU29</f>
        <v>0</v>
      </c>
      <c r="CV136" s="285">
        <f t="shared" si="195"/>
        <v>0</v>
      </c>
      <c r="CW136" s="285">
        <f t="shared" si="195"/>
        <v>0</v>
      </c>
      <c r="CX136" s="285">
        <f t="shared" si="195"/>
        <v>0</v>
      </c>
      <c r="CY136" s="285">
        <f t="shared" si="195"/>
        <v>7405.4092785834673</v>
      </c>
      <c r="CZ136" s="285">
        <f t="shared" si="195"/>
        <v>0</v>
      </c>
      <c r="DA136" s="285">
        <f t="shared" si="195"/>
        <v>0</v>
      </c>
      <c r="DB136" s="285">
        <f t="shared" si="195"/>
        <v>0</v>
      </c>
      <c r="DC136" s="285">
        <f t="shared" si="195"/>
        <v>0</v>
      </c>
      <c r="DD136" s="285">
        <f t="shared" si="195"/>
        <v>7993.8263287557656</v>
      </c>
      <c r="DE136" s="285">
        <f t="shared" si="195"/>
        <v>0</v>
      </c>
      <c r="DF136" s="285">
        <f t="shared" si="195"/>
        <v>0</v>
      </c>
      <c r="DG136" s="285">
        <f t="shared" si="195"/>
        <v>0</v>
      </c>
      <c r="DH136" s="285">
        <f t="shared" si="195"/>
        <v>0</v>
      </c>
      <c r="DI136" s="285">
        <f t="shared" si="195"/>
        <v>8534.4654793306363</v>
      </c>
      <c r="DJ136" s="285">
        <f t="shared" si="195"/>
        <v>0</v>
      </c>
      <c r="DK136" s="285">
        <f t="shared" si="195"/>
        <v>0</v>
      </c>
      <c r="DL136" s="285">
        <f t="shared" si="195"/>
        <v>0</v>
      </c>
      <c r="DM136" s="285">
        <f t="shared" si="195"/>
        <v>0</v>
      </c>
      <c r="DN136" s="285">
        <f t="shared" si="195"/>
        <v>9150.4295821581127</v>
      </c>
      <c r="DO136" s="285">
        <f t="shared" si="195"/>
        <v>0</v>
      </c>
      <c r="DP136" s="285">
        <f t="shared" si="195"/>
        <v>0</v>
      </c>
      <c r="DQ136" s="285">
        <f t="shared" si="195"/>
        <v>0</v>
      </c>
      <c r="DR136" s="285">
        <f t="shared" si="195"/>
        <v>0</v>
      </c>
      <c r="DS136" s="285">
        <f t="shared" si="195"/>
        <v>5548.3505454377319</v>
      </c>
      <c r="DT136" s="285">
        <f t="shared" si="195"/>
        <v>0</v>
      </c>
      <c r="DU136" s="285">
        <f t="shared" si="195"/>
        <v>0</v>
      </c>
      <c r="DV136" s="285">
        <f t="shared" si="195"/>
        <v>0</v>
      </c>
      <c r="DW136" s="285">
        <f t="shared" si="195"/>
        <v>0</v>
      </c>
      <c r="DX136" s="285">
        <f t="shared" si="195"/>
        <v>4384.9076549805577</v>
      </c>
      <c r="DY136" s="285">
        <f t="shared" si="195"/>
        <v>0</v>
      </c>
      <c r="DZ136" s="285">
        <f t="shared" si="195"/>
        <v>0</v>
      </c>
      <c r="EA136" s="285">
        <f t="shared" ref="EA136:ER136" si="196">EA82+EA29</f>
        <v>0</v>
      </c>
      <c r="EB136" s="285">
        <f t="shared" si="196"/>
        <v>0</v>
      </c>
      <c r="EC136" s="285">
        <f t="shared" si="196"/>
        <v>4106.8334771323216</v>
      </c>
      <c r="ED136" s="285">
        <f t="shared" si="196"/>
        <v>0</v>
      </c>
      <c r="EE136" s="285">
        <f t="shared" si="196"/>
        <v>0</v>
      </c>
      <c r="EF136" s="285">
        <f t="shared" si="196"/>
        <v>0</v>
      </c>
      <c r="EG136" s="285">
        <f t="shared" si="196"/>
        <v>0</v>
      </c>
      <c r="EH136" s="285">
        <f t="shared" si="196"/>
        <v>4568.8011493604699</v>
      </c>
      <c r="EI136" s="285">
        <f t="shared" si="196"/>
        <v>0</v>
      </c>
      <c r="EJ136" s="285">
        <f t="shared" si="196"/>
        <v>0</v>
      </c>
      <c r="EK136" s="285">
        <f t="shared" si="196"/>
        <v>0</v>
      </c>
      <c r="EL136" s="285">
        <f t="shared" si="196"/>
        <v>0</v>
      </c>
      <c r="EM136" s="285">
        <f t="shared" si="196"/>
        <v>6407.0662351851242</v>
      </c>
      <c r="EN136" s="285">
        <f t="shared" si="196"/>
        <v>0</v>
      </c>
      <c r="EO136" s="285">
        <f t="shared" si="196"/>
        <v>0</v>
      </c>
      <c r="EP136" s="285">
        <f t="shared" si="196"/>
        <v>0</v>
      </c>
      <c r="EQ136" s="285">
        <f t="shared" si="196"/>
        <v>0</v>
      </c>
      <c r="ER136" s="285">
        <f t="shared" si="196"/>
        <v>6422.513273049979</v>
      </c>
      <c r="EU136"/>
      <c r="EV136"/>
      <c r="EW136"/>
      <c r="EX136"/>
      <c r="EY136"/>
      <c r="EZ136"/>
    </row>
    <row r="137" spans="2:156" ht="12.75" customHeight="1">
      <c r="B137" s="1" t="s">
        <v>146</v>
      </c>
      <c r="C137" s="12">
        <f>C35</f>
        <v>0</v>
      </c>
      <c r="D137" s="12">
        <f>D35</f>
        <v>0</v>
      </c>
      <c r="E137" s="12">
        <f>E35</f>
        <v>0</v>
      </c>
      <c r="F137" s="12">
        <f>F35</f>
        <v>0</v>
      </c>
      <c r="G137" s="12">
        <f>G35</f>
        <v>0</v>
      </c>
      <c r="H137" s="286">
        <f>SUM(D137:G137)</f>
        <v>0</v>
      </c>
      <c r="I137" s="12">
        <f>I35</f>
        <v>0</v>
      </c>
      <c r="J137" s="12">
        <f>J35</f>
        <v>0</v>
      </c>
      <c r="K137" s="12">
        <f>K35</f>
        <v>0</v>
      </c>
      <c r="L137" s="12">
        <f>L35</f>
        <v>0</v>
      </c>
      <c r="M137" s="286">
        <f>SUM(I137:L137)</f>
        <v>0</v>
      </c>
      <c r="N137" s="12">
        <f>N35</f>
        <v>0</v>
      </c>
      <c r="O137" s="12">
        <f>O35</f>
        <v>0</v>
      </c>
      <c r="P137" s="12">
        <f>P35</f>
        <v>0</v>
      </c>
      <c r="Q137" s="12">
        <f>Q35</f>
        <v>0</v>
      </c>
      <c r="R137" s="286">
        <f>SUM(N137:Q137)</f>
        <v>0</v>
      </c>
      <c r="S137" s="12">
        <f>S35</f>
        <v>0</v>
      </c>
      <c r="T137" s="12">
        <f>T35</f>
        <v>0</v>
      </c>
      <c r="U137" s="12">
        <f>U35</f>
        <v>0</v>
      </c>
      <c r="V137" s="12">
        <f>V35</f>
        <v>0</v>
      </c>
      <c r="W137" s="286">
        <f>SUM(S137:V137)</f>
        <v>0</v>
      </c>
      <c r="X137" s="12">
        <f>X35</f>
        <v>29.631999999999998</v>
      </c>
      <c r="Y137" s="12">
        <f>Y35</f>
        <v>36.766999999999996</v>
      </c>
      <c r="Z137" s="12">
        <f>Z35</f>
        <v>31.745000000000001</v>
      </c>
      <c r="AA137" s="12">
        <f>AA35</f>
        <v>35.682000000000002</v>
      </c>
      <c r="AB137" s="286">
        <f>SUM(X137:AA137)</f>
        <v>133.82600000000002</v>
      </c>
      <c r="AC137" s="12">
        <f>AC35</f>
        <v>57.293999999999997</v>
      </c>
      <c r="AD137" s="12">
        <f>AD35</f>
        <v>47.807000000000002</v>
      </c>
      <c r="AE137" s="12">
        <f>AE35</f>
        <v>46.060999999999993</v>
      </c>
      <c r="AF137" s="12">
        <f>AF35</f>
        <v>33.442999999999998</v>
      </c>
      <c r="AG137" s="286">
        <f>SUM(AC137:AF137)</f>
        <v>184.60499999999996</v>
      </c>
      <c r="AH137" s="12">
        <f>AH35</f>
        <v>36.135999999999996</v>
      </c>
      <c r="AI137" s="12">
        <f>AI35</f>
        <v>36.875</v>
      </c>
      <c r="AJ137" s="12">
        <f>AJ35</f>
        <v>41.593999999999994</v>
      </c>
      <c r="AK137" s="12">
        <f>AK35</f>
        <v>38.759</v>
      </c>
      <c r="AL137" s="286">
        <f>SUM(AH137:AK137)</f>
        <v>153.36399999999998</v>
      </c>
      <c r="AM137" s="12">
        <f>AM35</f>
        <v>41.045000000000002</v>
      </c>
      <c r="AN137" s="12">
        <f>AN35</f>
        <v>54.281000000000006</v>
      </c>
      <c r="AO137" s="12">
        <f>AO35</f>
        <v>48.606999999999999</v>
      </c>
      <c r="AP137" s="12">
        <f>AP35</f>
        <v>41.825000000000003</v>
      </c>
      <c r="AQ137" s="286">
        <f>SUM(AM137:AP137)</f>
        <v>185.75799999999998</v>
      </c>
      <c r="AR137" s="12">
        <f>AR35</f>
        <v>46.841000000000001</v>
      </c>
      <c r="AS137" s="12">
        <f>AS35</f>
        <v>48.046999999999997</v>
      </c>
      <c r="AT137" s="12">
        <f>AT35</f>
        <v>51.802000000000007</v>
      </c>
      <c r="AU137" s="12">
        <f>AU35</f>
        <v>53.350999999999999</v>
      </c>
      <c r="AV137" s="286">
        <f>SUM(AR137:AU137)</f>
        <v>200.041</v>
      </c>
      <c r="AW137" s="12">
        <f>AW35</f>
        <v>49.47</v>
      </c>
      <c r="AX137" s="12">
        <f>AX35</f>
        <v>50.125</v>
      </c>
      <c r="AY137" s="12">
        <f>AY35</f>
        <v>46.519999999999996</v>
      </c>
      <c r="AZ137" s="12">
        <f>AZ35</f>
        <v>46.262999999999998</v>
      </c>
      <c r="BA137" s="286">
        <f>SUM(AW137:AZ137)</f>
        <v>192.37800000000001</v>
      </c>
      <c r="BB137" s="12">
        <f>BB35</f>
        <v>242.66800000000001</v>
      </c>
      <c r="BC137" s="12">
        <f>BC35</f>
        <v>48.402999999999999</v>
      </c>
      <c r="BD137" s="12">
        <f>BD35</f>
        <v>54.463999999999999</v>
      </c>
      <c r="BE137" s="12">
        <f>BE35</f>
        <v>57.126999999999995</v>
      </c>
      <c r="BF137" s="286">
        <f>SUM(BB137:BE137)</f>
        <v>402.66200000000003</v>
      </c>
      <c r="BG137" s="12">
        <f>BG35</f>
        <v>61.767000000000003</v>
      </c>
      <c r="BH137" s="12">
        <f>BH35</f>
        <v>55.953000000000003</v>
      </c>
      <c r="BI137" s="12"/>
      <c r="BJ137" s="12"/>
      <c r="BK137" s="286">
        <f>SUM(BG137:BJ137)</f>
        <v>117.72</v>
      </c>
      <c r="BL137" s="12"/>
      <c r="BM137" s="12"/>
      <c r="BN137" s="12"/>
      <c r="BO137" s="12"/>
      <c r="BP137" s="286"/>
      <c r="BQ137" s="12"/>
      <c r="BR137" s="12"/>
      <c r="BS137" s="12"/>
      <c r="BT137" s="12"/>
      <c r="BU137" s="286"/>
      <c r="BV137" s="12"/>
      <c r="BW137" s="12"/>
      <c r="BX137" s="12"/>
      <c r="BY137" s="12"/>
      <c r="BZ137" s="286"/>
      <c r="CA137" s="12"/>
      <c r="CB137" s="12"/>
      <c r="CC137" s="12"/>
      <c r="CD137" s="12"/>
      <c r="CE137" s="286"/>
      <c r="CF137" s="12"/>
      <c r="CG137" s="12"/>
      <c r="CH137" s="12"/>
      <c r="CI137" s="12"/>
      <c r="CJ137" s="286"/>
      <c r="CK137" s="12"/>
      <c r="CL137" s="12"/>
      <c r="CM137" s="12"/>
      <c r="CN137" s="12"/>
      <c r="CO137" s="286"/>
      <c r="CP137" s="12"/>
      <c r="CQ137" s="12"/>
      <c r="CR137" s="12"/>
      <c r="CS137" s="12"/>
      <c r="CT137" s="286"/>
      <c r="CU137" s="12"/>
      <c r="CV137" s="12"/>
      <c r="CW137" s="12"/>
      <c r="CX137" s="12"/>
      <c r="CY137" s="286"/>
      <c r="CZ137" s="12"/>
      <c r="DA137" s="12"/>
      <c r="DB137" s="12"/>
      <c r="DC137" s="12"/>
      <c r="DD137" s="286"/>
      <c r="DE137" s="12"/>
      <c r="DF137" s="12"/>
      <c r="DG137" s="12"/>
      <c r="DH137" s="12"/>
      <c r="DI137" s="286"/>
      <c r="DJ137" s="12"/>
      <c r="DK137" s="12"/>
      <c r="DL137" s="12"/>
      <c r="DM137" s="12"/>
      <c r="DN137" s="286"/>
      <c r="DO137" s="12"/>
      <c r="DP137" s="12"/>
      <c r="DQ137" s="12"/>
      <c r="DR137" s="12"/>
      <c r="DS137" s="286"/>
      <c r="DT137" s="12"/>
      <c r="DU137" s="12"/>
      <c r="DV137" s="12"/>
      <c r="DW137" s="12"/>
      <c r="DX137" s="286"/>
      <c r="DY137" s="12"/>
      <c r="DZ137" s="12"/>
      <c r="EA137" s="12"/>
      <c r="EB137" s="12"/>
      <c r="EC137" s="286"/>
      <c r="ED137" s="12"/>
      <c r="EE137" s="12"/>
      <c r="EF137" s="12"/>
      <c r="EG137" s="12"/>
      <c r="EH137" s="286"/>
      <c r="EI137" s="12"/>
      <c r="EJ137" s="12"/>
      <c r="EK137" s="12"/>
      <c r="EL137" s="12"/>
      <c r="EM137" s="286"/>
      <c r="EN137" s="12"/>
      <c r="EO137" s="12"/>
      <c r="EP137" s="12"/>
      <c r="EQ137" s="12"/>
      <c r="ER137" s="286"/>
    </row>
    <row r="138" spans="2:156" ht="12.75" customHeight="1">
      <c r="B138" s="1" t="s">
        <v>147</v>
      </c>
      <c r="C138" s="12">
        <f>C37</f>
        <v>0</v>
      </c>
      <c r="D138" s="12">
        <f>D37</f>
        <v>0</v>
      </c>
      <c r="E138" s="12">
        <f>E37</f>
        <v>0</v>
      </c>
      <c r="F138" s="12">
        <f>F37</f>
        <v>0</v>
      </c>
      <c r="G138" s="12">
        <f>G37</f>
        <v>0</v>
      </c>
      <c r="H138" s="286">
        <f>SUM(D138:G138)</f>
        <v>0</v>
      </c>
      <c r="I138" s="12">
        <f>I37</f>
        <v>0</v>
      </c>
      <c r="J138" s="12">
        <f>J37</f>
        <v>0</v>
      </c>
      <c r="K138" s="12">
        <f>K37</f>
        <v>0</v>
      </c>
      <c r="L138" s="12">
        <f>L37</f>
        <v>0</v>
      </c>
      <c r="M138" s="286">
        <f>SUM(I138:L138)</f>
        <v>0</v>
      </c>
      <c r="N138" s="12">
        <f>N37</f>
        <v>0</v>
      </c>
      <c r="O138" s="12">
        <f>O37</f>
        <v>0</v>
      </c>
      <c r="P138" s="12">
        <f>P37</f>
        <v>0</v>
      </c>
      <c r="Q138" s="12">
        <f>Q37</f>
        <v>0</v>
      </c>
      <c r="R138" s="286">
        <f>SUM(N138:Q138)</f>
        <v>0</v>
      </c>
      <c r="S138" s="12">
        <f>S37</f>
        <v>0</v>
      </c>
      <c r="T138" s="12">
        <f>T37</f>
        <v>0</v>
      </c>
      <c r="U138" s="12">
        <f>U37</f>
        <v>0</v>
      </c>
      <c r="V138" s="12">
        <f>V37</f>
        <v>0</v>
      </c>
      <c r="W138" s="286">
        <f>SUM(S138:V138)</f>
        <v>0</v>
      </c>
      <c r="X138" s="12">
        <f>X37</f>
        <v>6.1289999999999996</v>
      </c>
      <c r="Y138" s="12">
        <f>Y37</f>
        <v>9.0459999999999994</v>
      </c>
      <c r="Z138" s="12">
        <f>Z37</f>
        <v>6.165</v>
      </c>
      <c r="AA138" s="12">
        <f>AA37</f>
        <v>10.778</v>
      </c>
      <c r="AB138" s="286">
        <f>SUM(X138:AA138)</f>
        <v>32.118000000000002</v>
      </c>
      <c r="AC138" s="12">
        <f>AC37</f>
        <v>17.108000000000001</v>
      </c>
      <c r="AD138" s="12">
        <f>AD37</f>
        <v>13.547000000000001</v>
      </c>
      <c r="AE138" s="12">
        <f>AE37</f>
        <v>14.284000000000001</v>
      </c>
      <c r="AF138" s="12">
        <f>AF37</f>
        <v>8.3219999999999992</v>
      </c>
      <c r="AG138" s="286">
        <f>SUM(AC138:AF138)</f>
        <v>53.260999999999996</v>
      </c>
      <c r="AH138" s="12">
        <f>AH37</f>
        <v>10.135</v>
      </c>
      <c r="AI138" s="12">
        <f>AI37</f>
        <v>10.465999999999999</v>
      </c>
      <c r="AJ138" s="12">
        <f>AJ37</f>
        <v>11.513</v>
      </c>
      <c r="AK138" s="12">
        <f>AK37</f>
        <v>8.4510000000000005</v>
      </c>
      <c r="AL138" s="286">
        <f>SUM(AH138:AK138)</f>
        <v>40.564999999999998</v>
      </c>
      <c r="AM138" s="12">
        <f>AM37</f>
        <v>10.757</v>
      </c>
      <c r="AN138" s="12">
        <f>AN37</f>
        <v>14.32</v>
      </c>
      <c r="AO138" s="12">
        <f>AO37</f>
        <v>12.388999999999999</v>
      </c>
      <c r="AP138" s="12">
        <f>AP37</f>
        <v>9.019999999999996</v>
      </c>
      <c r="AQ138" s="286">
        <f>SUM(AM138:AP138)</f>
        <v>46.48599999999999</v>
      </c>
      <c r="AR138" s="12">
        <f>AR37</f>
        <v>12.428000000000001</v>
      </c>
      <c r="AS138" s="12">
        <f>AS37</f>
        <v>13.651999999999999</v>
      </c>
      <c r="AT138" s="12">
        <f>AT37</f>
        <v>13.99</v>
      </c>
      <c r="AU138" s="12">
        <f>AU37</f>
        <v>12.261000000000003</v>
      </c>
      <c r="AV138" s="286">
        <f>SUM(AR138:AU138)</f>
        <v>52.331000000000003</v>
      </c>
      <c r="AW138" s="12">
        <f>AW37</f>
        <v>12.856</v>
      </c>
      <c r="AX138" s="12">
        <f>AX37</f>
        <v>12.21</v>
      </c>
      <c r="AY138" s="12">
        <f>AY37</f>
        <v>11.298999999999999</v>
      </c>
      <c r="AZ138" s="12">
        <f>AZ37</f>
        <v>10.96</v>
      </c>
      <c r="BA138" s="286">
        <f>SUM(AW138:AZ138)</f>
        <v>47.325000000000003</v>
      </c>
      <c r="BB138" s="12">
        <f>BB37</f>
        <v>13.063999999999993</v>
      </c>
      <c r="BC138" s="12">
        <f>BC37</f>
        <v>13.167000000000002</v>
      </c>
      <c r="BD138" s="12">
        <f>BD37</f>
        <v>15.021999999999998</v>
      </c>
      <c r="BE138" s="12">
        <f>BE37</f>
        <v>14.703999999999994</v>
      </c>
      <c r="BF138" s="286">
        <f>SUM(BB138:BE138)</f>
        <v>55.956999999999987</v>
      </c>
      <c r="BG138" s="12">
        <f>BG37</f>
        <v>16.387</v>
      </c>
      <c r="BH138" s="12">
        <f>BH37</f>
        <v>15.574000000000005</v>
      </c>
      <c r="BI138" s="12"/>
      <c r="BJ138" s="12"/>
      <c r="BK138" s="286">
        <f>SUM(BG138:BJ138)</f>
        <v>31.961000000000006</v>
      </c>
      <c r="BL138" s="12"/>
      <c r="BM138" s="12"/>
      <c r="BN138" s="12"/>
      <c r="BO138" s="12"/>
      <c r="BP138" s="286"/>
      <c r="BQ138" s="12"/>
      <c r="BR138" s="12"/>
      <c r="BS138" s="12"/>
      <c r="BT138" s="12"/>
      <c r="BU138" s="286"/>
      <c r="BV138" s="12"/>
      <c r="BW138" s="12"/>
      <c r="BX138" s="12"/>
      <c r="BY138" s="12"/>
      <c r="BZ138" s="286"/>
      <c r="CA138" s="12"/>
      <c r="CB138" s="12"/>
      <c r="CC138" s="12"/>
      <c r="CD138" s="12"/>
      <c r="CE138" s="286"/>
      <c r="CF138" s="12"/>
      <c r="CG138" s="12"/>
      <c r="CH138" s="12"/>
      <c r="CI138" s="12"/>
      <c r="CJ138" s="286"/>
      <c r="CK138" s="12"/>
      <c r="CL138" s="12"/>
      <c r="CM138" s="12"/>
      <c r="CN138" s="12"/>
      <c r="CO138" s="286"/>
      <c r="CP138" s="12"/>
      <c r="CQ138" s="12"/>
      <c r="CR138" s="12"/>
      <c r="CS138" s="12"/>
      <c r="CT138" s="286"/>
      <c r="CU138" s="12"/>
      <c r="CV138" s="12"/>
      <c r="CW138" s="12"/>
      <c r="CX138" s="12"/>
      <c r="CY138" s="286"/>
      <c r="CZ138" s="12"/>
      <c r="DA138" s="12"/>
      <c r="DB138" s="12"/>
      <c r="DC138" s="12"/>
      <c r="DD138" s="286"/>
      <c r="DE138" s="12"/>
      <c r="DF138" s="12"/>
      <c r="DG138" s="12"/>
      <c r="DH138" s="12"/>
      <c r="DI138" s="286"/>
      <c r="DJ138" s="12"/>
      <c r="DK138" s="12"/>
      <c r="DL138" s="12"/>
      <c r="DM138" s="12"/>
      <c r="DN138" s="286"/>
      <c r="DO138" s="12"/>
      <c r="DP138" s="12"/>
      <c r="DQ138" s="12"/>
      <c r="DR138" s="12"/>
      <c r="DS138" s="286"/>
      <c r="DT138" s="12"/>
      <c r="DU138" s="12"/>
      <c r="DV138" s="12"/>
      <c r="DW138" s="12"/>
      <c r="DX138" s="286"/>
      <c r="DY138" s="12"/>
      <c r="DZ138" s="12"/>
      <c r="EA138" s="12"/>
      <c r="EB138" s="12"/>
      <c r="EC138" s="286"/>
      <c r="ED138" s="12"/>
      <c r="EE138" s="12"/>
      <c r="EF138" s="12"/>
      <c r="EG138" s="12"/>
      <c r="EH138" s="286"/>
      <c r="EI138" s="12"/>
      <c r="EJ138" s="12"/>
      <c r="EK138" s="12"/>
      <c r="EL138" s="12"/>
      <c r="EM138" s="286"/>
      <c r="EN138" s="12"/>
      <c r="EO138" s="12"/>
      <c r="EP138" s="12"/>
      <c r="EQ138" s="12"/>
      <c r="ER138" s="286"/>
    </row>
    <row r="141" spans="2:156" customFormat="1" ht="12.75" customHeight="1"/>
    <row r="144" spans="2:156" ht="12.75" customHeight="1">
      <c r="BG144" s="4"/>
      <c r="BL144" s="4"/>
      <c r="BQ144" s="4"/>
      <c r="BV144" s="4"/>
      <c r="CA144" s="4"/>
      <c r="CF144" s="4"/>
      <c r="CK144" s="4"/>
      <c r="CP144" s="4"/>
    </row>
    <row r="145" spans="59:94" ht="12.75" customHeight="1">
      <c r="BG145" s="4"/>
      <c r="BL145" s="4"/>
      <c r="BQ145" s="4"/>
      <c r="BV145" s="4"/>
      <c r="CA145" s="4"/>
      <c r="CF145" s="4"/>
      <c r="CK145" s="4"/>
      <c r="CP145" s="4"/>
    </row>
    <row r="146" spans="59:94" ht="12.75" customHeight="1">
      <c r="BG146" s="4"/>
      <c r="BL146" s="4"/>
      <c r="BQ146" s="4"/>
      <c r="BV146" s="4"/>
      <c r="CA146" s="4"/>
      <c r="CF146" s="4"/>
      <c r="CK146" s="4"/>
      <c r="CP146" s="4"/>
    </row>
    <row r="147" spans="59:94" ht="12.75" customHeight="1">
      <c r="BG147" s="4"/>
      <c r="BL147" s="4"/>
      <c r="BQ147" s="4"/>
      <c r="BV147" s="4"/>
      <c r="CA147" s="4"/>
      <c r="CF147" s="4"/>
      <c r="CK147" s="4"/>
      <c r="CP147" s="4"/>
    </row>
    <row r="148" spans="59:94" ht="12.75" customHeight="1">
      <c r="BG148" s="4"/>
      <c r="BL148" s="4"/>
      <c r="BQ148" s="4"/>
      <c r="BV148" s="4"/>
      <c r="CA148" s="4"/>
      <c r="CF148" s="4"/>
      <c r="CK148" s="4"/>
      <c r="CP148" s="4"/>
    </row>
    <row r="149" spans="59:94" ht="12.75" customHeight="1">
      <c r="BG149" s="4"/>
      <c r="BL149" s="4"/>
      <c r="BQ149" s="4"/>
      <c r="BV149" s="4"/>
      <c r="CA149" s="4"/>
      <c r="CF149" s="4"/>
      <c r="CK149" s="4"/>
      <c r="CP149" s="4"/>
    </row>
    <row r="150" spans="59:94" ht="12.75" customHeight="1">
      <c r="BG150" s="4"/>
      <c r="BL150" s="4"/>
      <c r="BQ150" s="4"/>
      <c r="BV150" s="4"/>
      <c r="CA150" s="4"/>
      <c r="CF150" s="4"/>
      <c r="CK150" s="4"/>
      <c r="CP150" s="4"/>
    </row>
    <row r="151" spans="59:94" ht="12.75" customHeight="1">
      <c r="BG151" s="4"/>
      <c r="BL151" s="4"/>
      <c r="BQ151" s="4"/>
      <c r="BV151" s="4"/>
      <c r="CA151" s="4"/>
      <c r="CF151" s="4"/>
      <c r="CK151" s="4"/>
      <c r="CP151" s="4"/>
    </row>
    <row r="152" spans="59:94" ht="12.75" customHeight="1">
      <c r="BG152" s="4"/>
      <c r="BL152" s="4"/>
      <c r="BQ152" s="4"/>
      <c r="BV152" s="4"/>
      <c r="CA152" s="4"/>
      <c r="CF152" s="4"/>
      <c r="CK152" s="4"/>
      <c r="CP152" s="4"/>
    </row>
    <row r="153" spans="59:94" ht="12.75" customHeight="1">
      <c r="BG153" s="4"/>
      <c r="BL153" s="4"/>
      <c r="BQ153" s="4"/>
      <c r="BV153" s="4"/>
      <c r="CA153" s="4"/>
      <c r="CF153" s="4"/>
      <c r="CK153" s="4"/>
      <c r="CP153" s="4"/>
    </row>
    <row r="154" spans="59:94" ht="12.75" customHeight="1">
      <c r="BG154" s="4"/>
      <c r="BL154" s="4"/>
      <c r="BQ154" s="4"/>
      <c r="BV154" s="4"/>
      <c r="CA154" s="4"/>
      <c r="CF154" s="4"/>
      <c r="CK154" s="4"/>
      <c r="CP154" s="4"/>
    </row>
    <row r="155" spans="59:94" ht="12.75" customHeight="1">
      <c r="BG155" s="4"/>
      <c r="BL155" s="4"/>
      <c r="BQ155" s="4"/>
      <c r="BV155" s="4"/>
      <c r="CA155" s="4"/>
      <c r="CF155" s="4"/>
      <c r="CK155" s="4"/>
      <c r="CP155" s="4"/>
    </row>
    <row r="156" spans="59:94" ht="12.75" customHeight="1">
      <c r="BG156" s="4"/>
      <c r="BL156" s="4"/>
      <c r="BQ156" s="4"/>
      <c r="BV156" s="4"/>
      <c r="CA156" s="4"/>
      <c r="CF156" s="4"/>
      <c r="CK156" s="4"/>
      <c r="CP156" s="4"/>
    </row>
    <row r="157" spans="59:94" ht="12.75" customHeight="1">
      <c r="BG157" s="4"/>
      <c r="BL157" s="4"/>
      <c r="BQ157" s="4"/>
      <c r="BV157" s="4"/>
      <c r="CA157" s="4"/>
      <c r="CF157" s="4"/>
      <c r="CK157" s="4"/>
      <c r="CP157" s="4"/>
    </row>
    <row r="158" spans="59:94" ht="12.75" customHeight="1">
      <c r="BG158" s="4"/>
      <c r="BL158" s="4"/>
      <c r="BQ158" s="4"/>
      <c r="BV158" s="4"/>
      <c r="CA158" s="4"/>
      <c r="CF158" s="4"/>
      <c r="CK158" s="4"/>
      <c r="CP158" s="4"/>
    </row>
    <row r="159" spans="59:94" ht="12.75" customHeight="1">
      <c r="BG159" s="4"/>
      <c r="BL159" s="4"/>
      <c r="BQ159" s="4"/>
      <c r="BV159" s="4"/>
      <c r="CA159" s="4"/>
      <c r="CF159" s="4"/>
      <c r="CK159" s="4"/>
      <c r="CP159" s="4"/>
    </row>
    <row r="160" spans="59:94" ht="12.75" customHeight="1">
      <c r="BG160" s="4"/>
      <c r="BL160" s="4"/>
      <c r="BQ160" s="4"/>
      <c r="BV160" s="4"/>
      <c r="CA160" s="4"/>
      <c r="CF160" s="4"/>
      <c r="CK160" s="4"/>
      <c r="CP160" s="4"/>
    </row>
    <row r="161" spans="2:94" ht="12.75" customHeight="1">
      <c r="BG161" s="4"/>
      <c r="BL161" s="4"/>
      <c r="BQ161" s="4"/>
      <c r="BV161" s="4"/>
      <c r="CA161" s="4"/>
      <c r="CF161" s="4"/>
      <c r="CK161" s="4"/>
      <c r="CP161" s="4"/>
    </row>
    <row r="162" spans="2:94" ht="12.75" customHeight="1">
      <c r="BG162" s="4"/>
      <c r="BL162" s="4"/>
      <c r="BQ162" s="4"/>
      <c r="BV162" s="4"/>
      <c r="CA162" s="4"/>
      <c r="CF162" s="4"/>
      <c r="CK162" s="4"/>
      <c r="CP162" s="4"/>
    </row>
    <row r="163" spans="2:94" ht="12.75" customHeight="1">
      <c r="BG163" s="4"/>
      <c r="BL163" s="4"/>
      <c r="BQ163" s="4"/>
      <c r="BV163" s="4"/>
      <c r="CA163" s="4"/>
      <c r="CF163" s="4"/>
      <c r="CK163" s="4"/>
      <c r="CP163" s="4"/>
    </row>
    <row r="164" spans="2:94" ht="12.75" customHeight="1">
      <c r="B164" s="1">
        <v>30</v>
      </c>
      <c r="BG164" s="4"/>
      <c r="BL164" s="4"/>
      <c r="BQ164" s="4"/>
      <c r="BV164" s="4"/>
      <c r="CA164" s="4"/>
      <c r="CF164" s="4"/>
      <c r="CK164" s="4"/>
      <c r="CP164" s="4"/>
    </row>
    <row r="165" spans="2:94" ht="12.75" customHeight="1">
      <c r="B165" s="1">
        <v>45</v>
      </c>
      <c r="BG165" s="4"/>
      <c r="BL165" s="4"/>
      <c r="BQ165" s="4"/>
      <c r="BV165" s="4"/>
      <c r="CA165" s="4"/>
      <c r="CF165" s="4"/>
      <c r="CK165" s="4"/>
      <c r="CP165" s="4"/>
    </row>
    <row r="166" spans="2:94" ht="12.75" customHeight="1">
      <c r="B166" s="1">
        <f>B164*0.58+B165*(1-0.58)</f>
        <v>36.299999999999997</v>
      </c>
      <c r="BG166" s="4"/>
      <c r="BL166" s="4"/>
      <c r="BQ166" s="4"/>
      <c r="BV166" s="4"/>
      <c r="CA166" s="4"/>
      <c r="CF166" s="4"/>
      <c r="CK166" s="4"/>
      <c r="CP166" s="4"/>
    </row>
    <row r="167" spans="2:94" ht="12.75" customHeight="1">
      <c r="BG167" s="4"/>
      <c r="BL167" s="4"/>
      <c r="BQ167" s="4"/>
      <c r="BV167" s="4"/>
      <c r="CA167" s="4"/>
      <c r="CF167" s="4"/>
      <c r="CK167" s="4"/>
      <c r="CP167" s="4"/>
    </row>
    <row r="168" spans="2:94" ht="12.75" customHeight="1">
      <c r="BG168" s="4"/>
      <c r="BL168" s="4"/>
      <c r="BQ168" s="4"/>
      <c r="BV168" s="4"/>
      <c r="CA168" s="4"/>
      <c r="CF168" s="4"/>
      <c r="CK168" s="4"/>
      <c r="CP168" s="4"/>
    </row>
    <row r="169" spans="2:94" ht="12.75" customHeight="1">
      <c r="BG169" s="4"/>
      <c r="BL169" s="4"/>
      <c r="BQ169" s="4"/>
      <c r="BV169" s="4"/>
      <c r="CA169" s="4"/>
      <c r="CF169" s="4"/>
      <c r="CK169" s="4"/>
      <c r="CP169" s="4"/>
    </row>
    <row r="170" spans="2:94" ht="12.75" customHeight="1">
      <c r="BG170" s="4"/>
      <c r="BL170" s="4"/>
      <c r="BQ170" s="4"/>
      <c r="BV170" s="4"/>
      <c r="CA170" s="4"/>
      <c r="CF170" s="4"/>
      <c r="CK170" s="4"/>
      <c r="CP170" s="4"/>
    </row>
  </sheetData>
  <mergeCells count="29">
    <mergeCell ref="DT1:DX1"/>
    <mergeCell ref="DY1:EC1"/>
    <mergeCell ref="ED1:EH1"/>
    <mergeCell ref="EI1:EM1"/>
    <mergeCell ref="EN1:ER1"/>
    <mergeCell ref="CU1:CY1"/>
    <mergeCell ref="CZ1:DD1"/>
    <mergeCell ref="DE1:DI1"/>
    <mergeCell ref="DJ1:DN1"/>
    <mergeCell ref="DO1:DS1"/>
    <mergeCell ref="AM1:AQ1"/>
    <mergeCell ref="AR1:AV1"/>
    <mergeCell ref="AW1:BA1"/>
    <mergeCell ref="D1:H1"/>
    <mergeCell ref="I1:M1"/>
    <mergeCell ref="N1:R1"/>
    <mergeCell ref="S1:W1"/>
    <mergeCell ref="AC1:AG1"/>
    <mergeCell ref="AH1:AL1"/>
    <mergeCell ref="X1:AB1"/>
    <mergeCell ref="BB1:BF1"/>
    <mergeCell ref="BG1:BK1"/>
    <mergeCell ref="CP1:CT1"/>
    <mergeCell ref="BL1:BP1"/>
    <mergeCell ref="BQ1:BU1"/>
    <mergeCell ref="BV1:BZ1"/>
    <mergeCell ref="CA1:CE1"/>
    <mergeCell ref="CF1:CJ1"/>
    <mergeCell ref="CK1:CO1"/>
  </mergeCells>
  <phoneticPr fontId="21" type="noConversion"/>
  <pageMargins left="0" right="0" top="0" bottom="0" header="0" footer="0"/>
  <pageSetup paperSize="5" scale="45" orientation="landscape" r:id="rId1"/>
  <ignoredErrors>
    <ignoredError sqref="CE6 CC82 CE37 CE24 CH82 CE82" formula="1"/>
    <ignoredError sqref="CE86:CE87" formulaRange="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EV218"/>
  <sheetViews>
    <sheetView showGridLines="0" zoomScaleNormal="100" workbookViewId="0">
      <pane xSplit="2" ySplit="2" topLeftCell="BP108" activePane="bottomRight" state="frozen"/>
      <selection pane="topRight" activeCell="C1" sqref="C1"/>
      <selection pane="bottomLeft" activeCell="A5" sqref="A5"/>
      <selection pane="bottomRight" activeCell="B1" sqref="B1:ER146"/>
    </sheetView>
  </sheetViews>
  <sheetFormatPr defaultRowHeight="12.75" outlineLevelRow="2" outlineLevelCol="2"/>
  <cols>
    <col min="1" max="1" width="2.7109375" style="116" customWidth="1"/>
    <col min="2" max="2" width="48.140625" style="116" bestFit="1" customWidth="1"/>
    <col min="3" max="3" width="9.140625" style="116" hidden="1" customWidth="1"/>
    <col min="4" max="7" width="9.140625" style="116" hidden="1" customWidth="1" outlineLevel="1"/>
    <col min="8" max="8" width="9.140625" style="116" hidden="1" customWidth="1" collapsed="1"/>
    <col min="9" max="12" width="9.140625" style="116" hidden="1" customWidth="1" outlineLevel="1"/>
    <col min="13" max="13" width="9.140625" style="116" hidden="1" customWidth="1" collapsed="1"/>
    <col min="14" max="17" width="9.140625" style="116" hidden="1" customWidth="1" outlineLevel="1"/>
    <col min="18" max="18" width="9.140625" style="116" hidden="1" customWidth="1" collapsed="1"/>
    <col min="19" max="22" width="9.140625" style="116" hidden="1" customWidth="1" outlineLevel="1"/>
    <col min="23" max="23" width="9.140625" style="116" hidden="1" customWidth="1" collapsed="1"/>
    <col min="24" max="27" width="9.140625" style="116" hidden="1" customWidth="1" outlineLevel="1"/>
    <col min="28" max="28" width="9.140625" style="116" hidden="1" customWidth="1" collapsed="1"/>
    <col min="29" max="32" width="9.140625" style="116" hidden="1" customWidth="1" outlineLevel="1"/>
    <col min="33" max="33" width="9.140625" style="116" hidden="1" customWidth="1" collapsed="1"/>
    <col min="34" max="37" width="9.140625" style="116" hidden="1" customWidth="1" outlineLevel="1"/>
    <col min="38" max="38" width="9.140625" style="116" hidden="1" customWidth="1" collapsed="1"/>
    <col min="39" max="42" width="9.140625" style="116" hidden="1" customWidth="1" outlineLevel="1"/>
    <col min="43" max="43" width="9.140625" style="116" hidden="1" customWidth="1" collapsed="1"/>
    <col min="44" max="47" width="9.140625" style="116" hidden="1" customWidth="1" outlineLevel="1"/>
    <col min="48" max="48" width="9.140625" style="116" hidden="1" customWidth="1" collapsed="1"/>
    <col min="49" max="52" width="9.140625" style="116" hidden="1" customWidth="1" outlineLevel="1"/>
    <col min="53" max="53" width="9.140625" style="116" hidden="1" customWidth="1" collapsed="1"/>
    <col min="54" max="57" width="9.140625" style="116" hidden="1" customWidth="1" outlineLevel="2"/>
    <col min="58" max="58" width="9.140625" style="116" hidden="1" customWidth="1" outlineLevel="1" collapsed="1"/>
    <col min="59" max="62" width="9.140625" style="116" hidden="1" customWidth="1" outlineLevel="2"/>
    <col min="63" max="63" width="9.140625" style="116" hidden="1" customWidth="1" outlineLevel="1" collapsed="1"/>
    <col min="64" max="67" width="9.140625" style="116" hidden="1" customWidth="1" outlineLevel="2"/>
    <col min="68" max="68" width="9.140625" style="116" hidden="1" customWidth="1" outlineLevel="1" collapsed="1"/>
    <col min="69" max="72" width="9.140625" style="116" hidden="1" customWidth="1" outlineLevel="1"/>
    <col min="73" max="73" width="9.140625" style="116" customWidth="1" collapsed="1"/>
    <col min="74" max="77" width="9.140625" style="116" hidden="1" customWidth="1" outlineLevel="1"/>
    <col min="78" max="78" width="9.140625" style="116" customWidth="1" collapsed="1"/>
    <col min="79" max="82" width="9.140625" style="116" hidden="1" customWidth="1" outlineLevel="1"/>
    <col min="83" max="83" width="9.140625" style="116" customWidth="1" collapsed="1"/>
    <col min="84" max="87" width="9.140625" style="116" customWidth="1" outlineLevel="1"/>
    <col min="88" max="88" width="9.140625" style="116" customWidth="1"/>
    <col min="89" max="92" width="9.140625" style="116" hidden="1" customWidth="1" outlineLevel="1"/>
    <col min="93" max="93" width="9.140625" style="116" customWidth="1" collapsed="1"/>
    <col min="94" max="97" width="9.140625" style="116" hidden="1" customWidth="1" outlineLevel="1"/>
    <col min="98" max="98" width="9.140625" style="116" customWidth="1" collapsed="1"/>
    <col min="99" max="102" width="9.140625" style="116" hidden="1" customWidth="1" outlineLevel="1"/>
    <col min="103" max="103" width="9.140625" style="116" collapsed="1"/>
    <col min="104" max="104" width="9.85546875" style="116" hidden="1" customWidth="1" outlineLevel="1"/>
    <col min="105" max="107" width="9.140625" style="116" hidden="1" customWidth="1" outlineLevel="1"/>
    <col min="108" max="108" width="9.140625" style="116" collapsed="1"/>
    <col min="109" max="112" width="9.140625" style="116" hidden="1" customWidth="1" outlineLevel="1"/>
    <col min="113" max="113" width="9.140625" style="116" collapsed="1"/>
    <col min="114" max="117" width="9.140625" style="116" hidden="1" customWidth="1" outlineLevel="1"/>
    <col min="118" max="118" width="9.140625" style="116" collapsed="1"/>
    <col min="119" max="122" width="9.140625" style="116" hidden="1" customWidth="1" outlineLevel="1"/>
    <col min="123" max="123" width="9.140625" style="116" collapsed="1"/>
    <col min="124" max="127" width="9.140625" style="116" hidden="1" customWidth="1" outlineLevel="1"/>
    <col min="128" max="128" width="9.140625" style="116" collapsed="1"/>
    <col min="129" max="132" width="9.140625" style="116" hidden="1" customWidth="1" outlineLevel="1"/>
    <col min="133" max="133" width="9.140625" style="116" collapsed="1"/>
    <col min="134" max="137" width="9.140625" style="116" hidden="1" customWidth="1" outlineLevel="1"/>
    <col min="138" max="138" width="9.140625" style="116" collapsed="1"/>
    <col min="139" max="142" width="9.140625" style="116" hidden="1" customWidth="1" outlineLevel="1"/>
    <col min="143" max="143" width="9.140625" style="116" collapsed="1"/>
    <col min="144" max="147" width="9.140625" style="116" hidden="1" customWidth="1" outlineLevel="1"/>
    <col min="148" max="148" width="9.140625" style="116" collapsed="1"/>
    <col min="149" max="16384" width="9.140625" style="116"/>
  </cols>
  <sheetData>
    <row r="1" spans="2:148" ht="15.75" customHeight="1" thickBot="1">
      <c r="B1" s="228" t="s">
        <v>78</v>
      </c>
      <c r="C1" s="229" t="s">
        <v>1</v>
      </c>
      <c r="D1" s="1008" t="s">
        <v>2</v>
      </c>
      <c r="E1" s="1008"/>
      <c r="F1" s="1008"/>
      <c r="G1" s="1008"/>
      <c r="H1" s="1008"/>
      <c r="I1" s="1008" t="s">
        <v>3</v>
      </c>
      <c r="J1" s="1008"/>
      <c r="K1" s="1008"/>
      <c r="L1" s="1008"/>
      <c r="M1" s="1008"/>
      <c r="N1" s="1008" t="s">
        <v>4</v>
      </c>
      <c r="O1" s="1008"/>
      <c r="P1" s="1008"/>
      <c r="Q1" s="1008"/>
      <c r="R1" s="1008"/>
      <c r="S1" s="1008" t="s">
        <v>5</v>
      </c>
      <c r="T1" s="1008"/>
      <c r="U1" s="1008"/>
      <c r="V1" s="1008"/>
      <c r="W1" s="1008"/>
      <c r="X1" s="1008" t="s">
        <v>6</v>
      </c>
      <c r="Y1" s="1008"/>
      <c r="Z1" s="1008"/>
      <c r="AA1" s="1008"/>
      <c r="AB1" s="1008"/>
      <c r="AC1" s="1008" t="s">
        <v>7</v>
      </c>
      <c r="AD1" s="1008"/>
      <c r="AE1" s="1008"/>
      <c r="AF1" s="1008"/>
      <c r="AG1" s="1008"/>
      <c r="AH1" s="1008" t="s">
        <v>8</v>
      </c>
      <c r="AI1" s="1008"/>
      <c r="AJ1" s="1008"/>
      <c r="AK1" s="1008"/>
      <c r="AL1" s="1008"/>
      <c r="AM1" s="1008" t="s">
        <v>9</v>
      </c>
      <c r="AN1" s="1008"/>
      <c r="AO1" s="1008"/>
      <c r="AP1" s="1008"/>
      <c r="AQ1" s="1008"/>
      <c r="AR1" s="1008" t="s">
        <v>10</v>
      </c>
      <c r="AS1" s="1008"/>
      <c r="AT1" s="1008"/>
      <c r="AU1" s="1008"/>
      <c r="AV1" s="1008"/>
      <c r="AW1" s="1008" t="s">
        <v>11</v>
      </c>
      <c r="AX1" s="1008"/>
      <c r="AY1" s="1008"/>
      <c r="AZ1" s="1008"/>
      <c r="BA1" s="1008"/>
      <c r="BB1" s="1008" t="s">
        <v>12</v>
      </c>
      <c r="BC1" s="1008"/>
      <c r="BD1" s="1008"/>
      <c r="BE1" s="1008"/>
      <c r="BF1" s="1008"/>
      <c r="BG1" s="1008" t="s">
        <v>687</v>
      </c>
      <c r="BH1" s="1008"/>
      <c r="BI1" s="1008"/>
      <c r="BJ1" s="1008"/>
      <c r="BK1" s="1008"/>
      <c r="BL1" s="1008" t="s">
        <v>819</v>
      </c>
      <c r="BM1" s="1008"/>
      <c r="BN1" s="1008"/>
      <c r="BO1" s="1008"/>
      <c r="BP1" s="1008"/>
      <c r="BQ1" s="1008" t="s">
        <v>843</v>
      </c>
      <c r="BR1" s="1008"/>
      <c r="BS1" s="1008"/>
      <c r="BT1" s="1008"/>
      <c r="BU1" s="1008"/>
      <c r="BV1" s="1009" t="s">
        <v>925</v>
      </c>
      <c r="BW1" s="1009"/>
      <c r="BX1" s="1009"/>
      <c r="BY1" s="1009"/>
      <c r="BZ1" s="1009"/>
      <c r="CA1" s="1008" t="s">
        <v>1105</v>
      </c>
      <c r="CB1" s="1008"/>
      <c r="CC1" s="1008"/>
      <c r="CD1" s="1008"/>
      <c r="CE1" s="1008"/>
      <c r="CF1" s="1008" t="s">
        <v>14</v>
      </c>
      <c r="CG1" s="1008"/>
      <c r="CH1" s="1008"/>
      <c r="CI1" s="1008"/>
      <c r="CJ1" s="1008"/>
      <c r="CK1" s="1008" t="s">
        <v>15</v>
      </c>
      <c r="CL1" s="1008"/>
      <c r="CM1" s="1008"/>
      <c r="CN1" s="1008"/>
      <c r="CO1" s="1008"/>
      <c r="CP1" s="1008" t="s">
        <v>16</v>
      </c>
      <c r="CQ1" s="1008"/>
      <c r="CR1" s="1008"/>
      <c r="CS1" s="1008"/>
      <c r="CT1" s="1008"/>
      <c r="CU1" s="1008" t="s">
        <v>741</v>
      </c>
      <c r="CV1" s="1008"/>
      <c r="CW1" s="1008"/>
      <c r="CX1" s="1008"/>
      <c r="CY1" s="1008"/>
      <c r="CZ1" s="1008" t="s">
        <v>742</v>
      </c>
      <c r="DA1" s="1008"/>
      <c r="DB1" s="1008"/>
      <c r="DC1" s="1008"/>
      <c r="DD1" s="1008"/>
      <c r="DE1" s="1008" t="s">
        <v>743</v>
      </c>
      <c r="DF1" s="1008"/>
      <c r="DG1" s="1008"/>
      <c r="DH1" s="1008"/>
      <c r="DI1" s="1008"/>
      <c r="DJ1" s="1008" t="s">
        <v>744</v>
      </c>
      <c r="DK1" s="1008"/>
      <c r="DL1" s="1008"/>
      <c r="DM1" s="1008"/>
      <c r="DN1" s="1008"/>
      <c r="DO1" s="1008" t="s">
        <v>745</v>
      </c>
      <c r="DP1" s="1008"/>
      <c r="DQ1" s="1008"/>
      <c r="DR1" s="1008"/>
      <c r="DS1" s="1008"/>
      <c r="DT1" s="1008" t="s">
        <v>746</v>
      </c>
      <c r="DU1" s="1008"/>
      <c r="DV1" s="1008"/>
      <c r="DW1" s="1008"/>
      <c r="DX1" s="1008"/>
      <c r="DY1" s="1008" t="s">
        <v>747</v>
      </c>
      <c r="DZ1" s="1008"/>
      <c r="EA1" s="1008"/>
      <c r="EB1" s="1008"/>
      <c r="EC1" s="1008"/>
      <c r="ED1" s="1008" t="s">
        <v>748</v>
      </c>
      <c r="EE1" s="1008"/>
      <c r="EF1" s="1008"/>
      <c r="EG1" s="1008"/>
      <c r="EH1" s="1008"/>
      <c r="EI1" s="1008" t="s">
        <v>749</v>
      </c>
      <c r="EJ1" s="1008"/>
      <c r="EK1" s="1008"/>
      <c r="EL1" s="1008"/>
      <c r="EM1" s="1008"/>
      <c r="EN1" s="1008" t="s">
        <v>750</v>
      </c>
      <c r="EO1" s="1008"/>
      <c r="EP1" s="1008"/>
      <c r="EQ1" s="1008"/>
      <c r="ER1" s="1008"/>
    </row>
    <row r="2" spans="2:148">
      <c r="B2" s="230"/>
      <c r="D2" s="349" t="s">
        <v>17</v>
      </c>
      <c r="E2" s="349" t="s">
        <v>18</v>
      </c>
      <c r="F2" s="349" t="s">
        <v>19</v>
      </c>
      <c r="G2" s="349" t="s">
        <v>20</v>
      </c>
      <c r="I2" s="349" t="s">
        <v>21</v>
      </c>
      <c r="J2" s="349" t="s">
        <v>22</v>
      </c>
      <c r="K2" s="349" t="s">
        <v>23</v>
      </c>
      <c r="L2" s="349" t="s">
        <v>24</v>
      </c>
      <c r="N2" s="349" t="s">
        <v>25</v>
      </c>
      <c r="O2" s="349" t="s">
        <v>26</v>
      </c>
      <c r="P2" s="349" t="s">
        <v>27</v>
      </c>
      <c r="Q2" s="349" t="s">
        <v>28</v>
      </c>
      <c r="S2" s="349" t="s">
        <v>29</v>
      </c>
      <c r="T2" s="349" t="s">
        <v>30</v>
      </c>
      <c r="U2" s="349" t="s">
        <v>31</v>
      </c>
      <c r="V2" s="349" t="s">
        <v>32</v>
      </c>
      <c r="X2" s="349" t="s">
        <v>33</v>
      </c>
      <c r="Y2" s="349" t="s">
        <v>34</v>
      </c>
      <c r="Z2" s="349" t="s">
        <v>35</v>
      </c>
      <c r="AA2" s="349" t="s">
        <v>36</v>
      </c>
      <c r="AC2" s="349" t="s">
        <v>37</v>
      </c>
      <c r="AD2" s="349" t="s">
        <v>38</v>
      </c>
      <c r="AE2" s="349" t="s">
        <v>39</v>
      </c>
      <c r="AF2" s="349" t="s">
        <v>40</v>
      </c>
      <c r="AH2" s="349" t="s">
        <v>41</v>
      </c>
      <c r="AI2" s="349" t="s">
        <v>42</v>
      </c>
      <c r="AJ2" s="349" t="s">
        <v>43</v>
      </c>
      <c r="AK2" s="349" t="s">
        <v>44</v>
      </c>
      <c r="AM2" s="349" t="s">
        <v>45</v>
      </c>
      <c r="AN2" s="349" t="s">
        <v>46</v>
      </c>
      <c r="AO2" s="349" t="s">
        <v>47</v>
      </c>
      <c r="AP2" s="349" t="s">
        <v>48</v>
      </c>
      <c r="AR2" s="349" t="s">
        <v>49</v>
      </c>
      <c r="AS2" s="349" t="s">
        <v>50</v>
      </c>
      <c r="AT2" s="349" t="s">
        <v>51</v>
      </c>
      <c r="AU2" s="349" t="s">
        <v>52</v>
      </c>
      <c r="AW2" s="349" t="s">
        <v>53</v>
      </c>
      <c r="AX2" s="349" t="s">
        <v>54</v>
      </c>
      <c r="AY2" s="349" t="s">
        <v>55</v>
      </c>
      <c r="AZ2" s="349" t="s">
        <v>56</v>
      </c>
      <c r="BB2" s="350" t="s">
        <v>57</v>
      </c>
      <c r="BC2" s="350" t="s">
        <v>58</v>
      </c>
      <c r="BD2" s="350" t="s">
        <v>59</v>
      </c>
      <c r="BE2" s="350" t="s">
        <v>60</v>
      </c>
      <c r="BG2" s="351" t="s">
        <v>421</v>
      </c>
      <c r="BH2" s="351" t="s">
        <v>422</v>
      </c>
      <c r="BI2" s="351" t="s">
        <v>634</v>
      </c>
      <c r="BJ2" s="351" t="s">
        <v>676</v>
      </c>
      <c r="BL2" s="351" t="s">
        <v>715</v>
      </c>
      <c r="BM2" s="351" t="s">
        <v>716</v>
      </c>
      <c r="BN2" s="351" t="s">
        <v>718</v>
      </c>
      <c r="BO2" s="351" t="s">
        <v>717</v>
      </c>
      <c r="BQ2" s="351" t="s">
        <v>832</v>
      </c>
      <c r="BR2" s="351" t="s">
        <v>833</v>
      </c>
      <c r="BS2" s="351" t="s">
        <v>834</v>
      </c>
      <c r="BT2" s="351" t="s">
        <v>835</v>
      </c>
      <c r="BV2" s="351" t="s">
        <v>844</v>
      </c>
      <c r="BW2" s="351" t="s">
        <v>873</v>
      </c>
      <c r="BX2" s="351" t="s">
        <v>874</v>
      </c>
      <c r="BY2" s="351" t="s">
        <v>875</v>
      </c>
      <c r="CA2" s="351" t="s">
        <v>931</v>
      </c>
      <c r="CB2" s="351" t="s">
        <v>933</v>
      </c>
      <c r="CC2" s="351" t="s">
        <v>1100</v>
      </c>
      <c r="CD2" s="351" t="s">
        <v>1104</v>
      </c>
      <c r="CF2" s="351" t="s">
        <v>96</v>
      </c>
      <c r="CG2" s="351" t="s">
        <v>97</v>
      </c>
      <c r="CH2" s="351" t="s">
        <v>98</v>
      </c>
      <c r="CI2" s="351" t="s">
        <v>95</v>
      </c>
      <c r="CK2" s="351" t="s">
        <v>91</v>
      </c>
      <c r="CL2" s="351" t="s">
        <v>92</v>
      </c>
      <c r="CM2" s="351" t="s">
        <v>93</v>
      </c>
      <c r="CN2" s="351" t="s">
        <v>94</v>
      </c>
      <c r="CP2" s="351" t="s">
        <v>87</v>
      </c>
      <c r="CQ2" s="351" t="s">
        <v>88</v>
      </c>
      <c r="CR2" s="351" t="s">
        <v>89</v>
      </c>
      <c r="CS2" s="351" t="s">
        <v>90</v>
      </c>
      <c r="CU2" s="351" t="s">
        <v>751</v>
      </c>
      <c r="CV2" s="351" t="s">
        <v>752</v>
      </c>
      <c r="CW2" s="351" t="s">
        <v>753</v>
      </c>
      <c r="CX2" s="351" t="s">
        <v>754</v>
      </c>
      <c r="CZ2" s="351" t="s">
        <v>755</v>
      </c>
      <c r="DA2" s="351" t="s">
        <v>756</v>
      </c>
      <c r="DB2" s="351" t="s">
        <v>757</v>
      </c>
      <c r="DC2" s="351" t="s">
        <v>758</v>
      </c>
      <c r="DE2" s="351" t="s">
        <v>759</v>
      </c>
      <c r="DF2" s="351" t="s">
        <v>760</v>
      </c>
      <c r="DG2" s="351" t="s">
        <v>761</v>
      </c>
      <c r="DH2" s="351" t="s">
        <v>762</v>
      </c>
      <c r="DJ2" s="351" t="s">
        <v>763</v>
      </c>
      <c r="DK2" s="351" t="s">
        <v>764</v>
      </c>
      <c r="DL2" s="351" t="s">
        <v>765</v>
      </c>
      <c r="DM2" s="351" t="s">
        <v>766</v>
      </c>
      <c r="DO2" s="351" t="s">
        <v>767</v>
      </c>
      <c r="DP2" s="351" t="s">
        <v>768</v>
      </c>
      <c r="DQ2" s="351" t="s">
        <v>769</v>
      </c>
      <c r="DR2" s="351" t="s">
        <v>770</v>
      </c>
      <c r="DT2" s="351" t="s">
        <v>771</v>
      </c>
      <c r="DU2" s="351" t="s">
        <v>772</v>
      </c>
      <c r="DV2" s="351" t="s">
        <v>773</v>
      </c>
      <c r="DW2" s="351" t="s">
        <v>774</v>
      </c>
      <c r="DY2" s="351" t="s">
        <v>775</v>
      </c>
      <c r="DZ2" s="351" t="s">
        <v>776</v>
      </c>
      <c r="EA2" s="351" t="s">
        <v>777</v>
      </c>
      <c r="EB2" s="351" t="s">
        <v>778</v>
      </c>
      <c r="ED2" s="351" t="s">
        <v>779</v>
      </c>
      <c r="EE2" s="351" t="s">
        <v>780</v>
      </c>
      <c r="EF2" s="351" t="s">
        <v>781</v>
      </c>
      <c r="EG2" s="351" t="s">
        <v>782</v>
      </c>
      <c r="EI2" s="351" t="s">
        <v>783</v>
      </c>
      <c r="EJ2" s="351" t="s">
        <v>784</v>
      </c>
      <c r="EK2" s="351" t="s">
        <v>785</v>
      </c>
      <c r="EL2" s="351" t="s">
        <v>786</v>
      </c>
      <c r="EN2" s="351" t="s">
        <v>787</v>
      </c>
      <c r="EO2" s="351" t="s">
        <v>788</v>
      </c>
      <c r="EP2" s="351" t="s">
        <v>789</v>
      </c>
      <c r="EQ2" s="351" t="s">
        <v>790</v>
      </c>
    </row>
    <row r="3" spans="2:148">
      <c r="B3" s="230" t="s">
        <v>849</v>
      </c>
      <c r="D3" s="297"/>
      <c r="E3" s="297"/>
      <c r="F3" s="297"/>
      <c r="G3" s="297"/>
      <c r="I3" s="297"/>
      <c r="J3" s="297"/>
      <c r="K3" s="297"/>
      <c r="L3" s="297"/>
      <c r="N3" s="297"/>
      <c r="O3" s="297"/>
      <c r="P3" s="297"/>
      <c r="Q3" s="297"/>
      <c r="S3" s="352"/>
      <c r="T3" s="352"/>
      <c r="U3" s="352"/>
      <c r="V3" s="352"/>
      <c r="W3" s="230"/>
      <c r="X3" s="352"/>
      <c r="Y3" s="352"/>
      <c r="Z3" s="352">
        <f t="shared" ref="Z3:BE3" si="0">SUM(Z4:Z6)</f>
        <v>68.373000000000005</v>
      </c>
      <c r="AA3" s="352">
        <f t="shared" si="0"/>
        <v>137.19200000000001</v>
      </c>
      <c r="AB3" s="230">
        <f t="shared" si="0"/>
        <v>205.565</v>
      </c>
      <c r="AC3" s="352">
        <f t="shared" si="0"/>
        <v>189.81</v>
      </c>
      <c r="AD3" s="352">
        <f t="shared" si="0"/>
        <v>212.38400000000001</v>
      </c>
      <c r="AE3" s="352">
        <f t="shared" si="0"/>
        <v>241.101</v>
      </c>
      <c r="AF3" s="352">
        <f t="shared" si="0"/>
        <v>259.43700000000001</v>
      </c>
      <c r="AG3" s="230">
        <f t="shared" si="0"/>
        <v>902.73199999999997</v>
      </c>
      <c r="AH3" s="352">
        <f t="shared" si="0"/>
        <v>324.21699999999998</v>
      </c>
      <c r="AI3" s="352">
        <f t="shared" si="0"/>
        <v>355.101</v>
      </c>
      <c r="AJ3" s="352">
        <f t="shared" si="0"/>
        <v>427.62300000000005</v>
      </c>
      <c r="AK3" s="352">
        <f t="shared" si="0"/>
        <v>465.51399999999995</v>
      </c>
      <c r="AL3" s="230">
        <f t="shared" si="0"/>
        <v>1572.4549999999999</v>
      </c>
      <c r="AM3" s="352">
        <f t="shared" si="0"/>
        <v>509.88299999999998</v>
      </c>
      <c r="AN3" s="352">
        <f t="shared" si="0"/>
        <v>569.14200000000005</v>
      </c>
      <c r="AO3" s="352">
        <f t="shared" si="0"/>
        <v>605.29900000000009</v>
      </c>
      <c r="AP3" s="352">
        <f t="shared" si="0"/>
        <v>697.7890000000001</v>
      </c>
      <c r="AQ3" s="230">
        <f t="shared" si="0"/>
        <v>2382.1130000000003</v>
      </c>
      <c r="AR3" s="352">
        <f t="shared" si="0"/>
        <v>692.87200000000007</v>
      </c>
      <c r="AS3" s="352">
        <f t="shared" si="0"/>
        <v>715.80400000000009</v>
      </c>
      <c r="AT3" s="352">
        <f t="shared" si="0"/>
        <v>742.69200000000001</v>
      </c>
      <c r="AU3" s="352">
        <f t="shared" si="0"/>
        <v>775.21100000000001</v>
      </c>
      <c r="AV3" s="230">
        <f t="shared" si="0"/>
        <v>2926.5790000000002</v>
      </c>
      <c r="AW3" s="352">
        <f t="shared" si="0"/>
        <v>744.51199999999994</v>
      </c>
      <c r="AX3" s="352">
        <f t="shared" si="0"/>
        <v>821.99200000000008</v>
      </c>
      <c r="AY3" s="352">
        <f t="shared" si="0"/>
        <v>794.69900000000007</v>
      </c>
      <c r="AZ3" s="352">
        <f t="shared" si="0"/>
        <v>863.31500000000005</v>
      </c>
      <c r="BA3" s="230">
        <f t="shared" si="0"/>
        <v>3224.518</v>
      </c>
      <c r="BB3" s="353">
        <f t="shared" si="0"/>
        <v>887.596</v>
      </c>
      <c r="BC3" s="353">
        <f t="shared" si="0"/>
        <v>904.02300000000002</v>
      </c>
      <c r="BD3" s="353">
        <f t="shared" si="0"/>
        <v>865.37800000000004</v>
      </c>
      <c r="BE3" s="353">
        <f t="shared" si="0"/>
        <v>917.48599999999999</v>
      </c>
      <c r="BF3" s="230">
        <f t="shared" ref="BF3:CK3" si="1">SUM(BF4:BF6)</f>
        <v>3574.4829999999997</v>
      </c>
      <c r="BG3" s="353">
        <f t="shared" si="1"/>
        <v>877.07299999999998</v>
      </c>
      <c r="BH3" s="353">
        <f t="shared" si="1"/>
        <v>938.10800000000006</v>
      </c>
      <c r="BI3" s="353">
        <f t="shared" si="1"/>
        <v>899.66899999999998</v>
      </c>
      <c r="BJ3" s="353">
        <f t="shared" si="1"/>
        <v>933.64599999999996</v>
      </c>
      <c r="BK3" s="230">
        <f t="shared" si="1"/>
        <v>3648.4959999999996</v>
      </c>
      <c r="BL3" s="353">
        <f t="shared" si="1"/>
        <v>779.59400000000005</v>
      </c>
      <c r="BM3" s="353">
        <f t="shared" si="1"/>
        <v>870.70799999999997</v>
      </c>
      <c r="BN3" s="353">
        <f t="shared" si="1"/>
        <v>894.78699999999992</v>
      </c>
      <c r="BO3" s="353">
        <f>SUM(BO4:BO6)</f>
        <v>925</v>
      </c>
      <c r="BP3" s="230">
        <f t="shared" si="1"/>
        <v>3470.0889999999999</v>
      </c>
      <c r="BQ3" s="353">
        <f>SUM(BQ4:BQ6)</f>
        <v>734</v>
      </c>
      <c r="BR3" s="353">
        <f t="shared" si="1"/>
        <v>782</v>
      </c>
      <c r="BS3" s="353">
        <f t="shared" si="1"/>
        <v>818</v>
      </c>
      <c r="BT3" s="353">
        <f>SUM(BT4:BT6)</f>
        <v>800</v>
      </c>
      <c r="BU3" s="230">
        <f t="shared" si="1"/>
        <v>3134</v>
      </c>
      <c r="BV3" s="353">
        <f t="shared" si="1"/>
        <v>675</v>
      </c>
      <c r="BW3" s="353">
        <f t="shared" si="1"/>
        <v>673</v>
      </c>
      <c r="BX3" s="353">
        <f t="shared" si="1"/>
        <v>650</v>
      </c>
      <c r="BY3" s="353">
        <f t="shared" si="1"/>
        <v>607</v>
      </c>
      <c r="BZ3" s="230">
        <f t="shared" si="1"/>
        <v>2605</v>
      </c>
      <c r="CA3" s="353">
        <f t="shared" si="1"/>
        <v>452</v>
      </c>
      <c r="CB3" s="353">
        <f t="shared" si="1"/>
        <v>475</v>
      </c>
      <c r="CC3" s="353">
        <f t="shared" si="1"/>
        <v>439</v>
      </c>
      <c r="CD3" s="353">
        <f t="shared" si="1"/>
        <v>440</v>
      </c>
      <c r="CE3" s="230">
        <f t="shared" si="1"/>
        <v>1806</v>
      </c>
      <c r="CF3" s="353">
        <f t="shared" si="1"/>
        <v>311.587868852459</v>
      </c>
      <c r="CG3" s="353">
        <f t="shared" si="1"/>
        <v>290.17459016393445</v>
      </c>
      <c r="CH3" s="353">
        <f t="shared" si="1"/>
        <v>254.93245901639344</v>
      </c>
      <c r="CI3" s="353">
        <f t="shared" si="1"/>
        <v>247.60480633594292</v>
      </c>
      <c r="CJ3" s="230">
        <f t="shared" si="1"/>
        <v>1104.2997243687298</v>
      </c>
      <c r="CK3" s="353">
        <f t="shared" si="1"/>
        <v>199.30288045747881</v>
      </c>
      <c r="CL3" s="353">
        <f t="shared" ref="CL3:EQ3" si="2">SUM(CL4:CL6)</f>
        <v>186.27484737893303</v>
      </c>
      <c r="CM3" s="353">
        <f t="shared" si="2"/>
        <v>169.51077360580973</v>
      </c>
      <c r="CN3" s="353">
        <f t="shared" si="2"/>
        <v>165.75021232514439</v>
      </c>
      <c r="CO3" s="230">
        <f t="shared" si="2"/>
        <v>720.83871376736602</v>
      </c>
      <c r="CP3" s="353">
        <f t="shared" si="2"/>
        <v>133.79530485223827</v>
      </c>
      <c r="CQ3" s="353">
        <f t="shared" si="2"/>
        <v>125.80159754073676</v>
      </c>
      <c r="CR3" s="353">
        <f t="shared" si="2"/>
        <v>117.08922008588156</v>
      </c>
      <c r="CS3" s="353">
        <f t="shared" si="2"/>
        <v>115.42344902300698</v>
      </c>
      <c r="CT3" s="230">
        <f>SUM(CT4:CT6)</f>
        <v>492.10957150186357</v>
      </c>
      <c r="CU3" s="353">
        <f t="shared" si="2"/>
        <v>13.776153330808562</v>
      </c>
      <c r="CV3" s="353">
        <f t="shared" si="2"/>
        <v>12.987322263662362</v>
      </c>
      <c r="CW3" s="353">
        <f t="shared" si="2"/>
        <v>12.039706080530687</v>
      </c>
      <c r="CX3" s="353">
        <f t="shared" si="2"/>
        <v>11.899570794323997</v>
      </c>
      <c r="CY3" s="230">
        <f>SUM(CY4:CY6)</f>
        <v>50.702752469325603</v>
      </c>
      <c r="CZ3" s="353">
        <f t="shared" si="2"/>
        <v>1.4421679305216579</v>
      </c>
      <c r="DA3" s="353">
        <f t="shared" si="2"/>
        <v>1.367719584240255</v>
      </c>
      <c r="DB3" s="353">
        <f t="shared" si="2"/>
        <v>1.2554658135155685</v>
      </c>
      <c r="DC3" s="353">
        <f>SUM(DC4:DC6)</f>
        <v>1.2481998530981966</v>
      </c>
      <c r="DD3" s="230">
        <f>SUM(DD4:DD6)</f>
        <v>5.3135531813756787</v>
      </c>
      <c r="DE3" s="353">
        <f t="shared" si="2"/>
        <v>0.15722934614751768</v>
      </c>
      <c r="DF3" s="353">
        <f t="shared" si="2"/>
        <v>0.15099793375733667</v>
      </c>
      <c r="DG3" s="353">
        <f t="shared" si="2"/>
        <v>0.13544510525004641</v>
      </c>
      <c r="DH3" s="353">
        <f t="shared" si="2"/>
        <v>0.13635621487650554</v>
      </c>
      <c r="DI3" s="230">
        <f>SUM(DI4:DI6)</f>
        <v>0.58002860003140633</v>
      </c>
      <c r="DJ3" s="353">
        <f t="shared" si="2"/>
        <v>1.8774924621396103E-2</v>
      </c>
      <c r="DK3" s="353">
        <f t="shared" si="2"/>
        <v>1.8442486772080241E-2</v>
      </c>
      <c r="DL3" s="353">
        <f t="shared" si="2"/>
        <v>1.5775030988701644E-2</v>
      </c>
      <c r="DM3" s="353">
        <f t="shared" si="2"/>
        <v>1.6251760582356813E-2</v>
      </c>
      <c r="DN3" s="230">
        <f>SUM(DN4:DN6)</f>
        <v>6.9244202964534804E-2</v>
      </c>
      <c r="DO3" s="353">
        <f t="shared" si="2"/>
        <v>2.6547580813766907E-3</v>
      </c>
      <c r="DP3" s="353">
        <f t="shared" si="2"/>
        <v>2.6859627920934361E-3</v>
      </c>
      <c r="DQ3" s="353">
        <f t="shared" si="2"/>
        <v>2.1276814397283316E-3</v>
      </c>
      <c r="DR3" s="353">
        <f t="shared" si="2"/>
        <v>2.2637347578779274E-3</v>
      </c>
      <c r="DS3" s="230">
        <f>SUM(DS4:DS6)</f>
        <v>9.7321370710763862E-3</v>
      </c>
      <c r="DT3" s="353">
        <f t="shared" si="2"/>
        <v>4.7158436614602587E-4</v>
      </c>
      <c r="DU3" s="353">
        <f t="shared" si="2"/>
        <v>4.8791247789979164E-4</v>
      </c>
      <c r="DV3" s="353">
        <f t="shared" si="2"/>
        <v>3.5472666304215995E-4</v>
      </c>
      <c r="DW3" s="353">
        <f t="shared" si="2"/>
        <v>3.8794152905389471E-4</v>
      </c>
      <c r="DX3" s="230">
        <f>SUM(DX4:DX6)</f>
        <v>1.7021650361418721E-3</v>
      </c>
      <c r="DY3" s="353">
        <f t="shared" si="2"/>
        <v>1.0296543743597633E-4</v>
      </c>
      <c r="DZ3" s="353">
        <f t="shared" si="2"/>
        <v>1.0698870059491356E-4</v>
      </c>
      <c r="EA3" s="353">
        <f t="shared" si="2"/>
        <v>7.2951622082761429E-5</v>
      </c>
      <c r="EB3" s="353">
        <f t="shared" si="2"/>
        <v>8.0425279725268844E-5</v>
      </c>
      <c r="EC3" s="230">
        <f>SUM(EC4:EC6)</f>
        <v>3.6333103983892019E-4</v>
      </c>
      <c r="ED3" s="353">
        <f t="shared" si="2"/>
        <v>2.5601340610565842E-5</v>
      </c>
      <c r="EE3" s="353">
        <f t="shared" si="2"/>
        <v>2.6325032645246555E-5</v>
      </c>
      <c r="EF3" s="353">
        <f t="shared" si="2"/>
        <v>1.7326121490755444E-5</v>
      </c>
      <c r="EG3" s="353">
        <f t="shared" si="2"/>
        <v>1.8887026761330525E-5</v>
      </c>
      <c r="EH3" s="230">
        <f>SUM(EH4:EH6)</f>
        <v>8.8139521507898366E-5</v>
      </c>
      <c r="EI3" s="353">
        <f t="shared" si="2"/>
        <v>6.7973674091941715E-6</v>
      </c>
      <c r="EJ3" s="353">
        <f t="shared" si="2"/>
        <v>6.8672983559980364E-6</v>
      </c>
      <c r="EK3" s="353">
        <f t="shared" si="2"/>
        <v>4.4443141294566912E-6</v>
      </c>
      <c r="EL3" s="353">
        <f t="shared" si="2"/>
        <v>4.7368023444709132E-6</v>
      </c>
      <c r="EM3" s="230">
        <f>SUM(EM4:EM6)</f>
        <v>2.2845782239119811E-5</v>
      </c>
      <c r="EN3" s="353">
        <f t="shared" si="2"/>
        <v>1.8623053379527767E-6</v>
      </c>
      <c r="EO3" s="353">
        <f t="shared" si="2"/>
        <v>1.8439786106856024E-6</v>
      </c>
      <c r="EP3" s="353">
        <f t="shared" si="2"/>
        <v>1.1838290509186355E-6</v>
      </c>
      <c r="EQ3" s="353">
        <f t="shared" si="2"/>
        <v>1.2272101880362651E-6</v>
      </c>
      <c r="ER3" s="230">
        <f>SUM(ER4:ER6)</f>
        <v>6.1173231875932799E-6</v>
      </c>
    </row>
    <row r="4" spans="2:148">
      <c r="B4" s="231" t="s">
        <v>723</v>
      </c>
      <c r="D4" s="297"/>
      <c r="E4" s="297"/>
      <c r="F4" s="297"/>
      <c r="G4" s="297"/>
      <c r="I4" s="297"/>
      <c r="J4" s="297"/>
      <c r="K4" s="297"/>
      <c r="L4" s="297"/>
      <c r="N4" s="297"/>
      <c r="O4" s="297"/>
      <c r="P4" s="297"/>
      <c r="Q4" s="297"/>
      <c r="S4" s="297"/>
      <c r="T4" s="297"/>
      <c r="U4" s="297"/>
      <c r="V4" s="297"/>
      <c r="X4" s="297"/>
      <c r="Y4" s="297"/>
      <c r="Z4" s="297">
        <v>68.373000000000005</v>
      </c>
      <c r="AA4" s="297">
        <v>137.19200000000001</v>
      </c>
      <c r="AB4" s="116">
        <f>+AA4+Z4+Y4+X4</f>
        <v>205.565</v>
      </c>
      <c r="AC4" s="297">
        <v>189.81</v>
      </c>
      <c r="AD4" s="297">
        <v>211.679</v>
      </c>
      <c r="AE4" s="297">
        <v>240.21700000000001</v>
      </c>
      <c r="AF4" s="297">
        <v>258.303</v>
      </c>
      <c r="AG4" s="116">
        <f>+AF4+AE4+AD4+AC4</f>
        <v>900.00900000000001</v>
      </c>
      <c r="AH4" s="297">
        <v>306.48500000000001</v>
      </c>
      <c r="AI4" s="297">
        <v>312.392</v>
      </c>
      <c r="AJ4" s="297">
        <v>346.37700000000001</v>
      </c>
      <c r="AK4" s="297">
        <v>351.91399999999999</v>
      </c>
      <c r="AL4" s="116">
        <f>+AK4+AJ4+AI4+AH4</f>
        <v>1317.1680000000001</v>
      </c>
      <c r="AM4" s="297">
        <v>374.13200000000001</v>
      </c>
      <c r="AN4" s="297">
        <v>398.04399999999998</v>
      </c>
      <c r="AO4" s="297">
        <v>407.89600000000002</v>
      </c>
      <c r="AP4" s="297">
        <v>465.87</v>
      </c>
      <c r="AQ4" s="116">
        <f>+AP4+AO4+AN4+AM4</f>
        <v>1645.942</v>
      </c>
      <c r="AR4" s="297">
        <v>455.90100000000001</v>
      </c>
      <c r="AS4" s="297">
        <v>466.81900000000002</v>
      </c>
      <c r="AT4" s="297">
        <v>491.64499999999998</v>
      </c>
      <c r="AU4" s="297">
        <v>494.51600000000002</v>
      </c>
      <c r="AV4" s="116">
        <f>+AU4+AT4+AS4+AR4</f>
        <v>1908.8810000000001</v>
      </c>
      <c r="AW4" s="297">
        <v>462.767</v>
      </c>
      <c r="AX4" s="297">
        <v>510.23700000000002</v>
      </c>
      <c r="AY4" s="297">
        <v>501.57600000000002</v>
      </c>
      <c r="AZ4" s="297">
        <v>547.46900000000005</v>
      </c>
      <c r="BA4" s="116">
        <f>SUM(AW4:AZ4)</f>
        <v>2022.049</v>
      </c>
      <c r="BB4" s="298">
        <v>562.04399999999998</v>
      </c>
      <c r="BC4" s="298">
        <v>570.83500000000004</v>
      </c>
      <c r="BD4" s="298">
        <v>539.79700000000003</v>
      </c>
      <c r="BE4" s="298">
        <v>579.97900000000004</v>
      </c>
      <c r="BF4" s="116">
        <f>SUM(BB4:BE4)</f>
        <v>2252.6549999999997</v>
      </c>
      <c r="BG4" s="298">
        <v>553.82600000000002</v>
      </c>
      <c r="BH4" s="298">
        <v>611.33000000000004</v>
      </c>
      <c r="BI4" s="298">
        <v>575.53300000000002</v>
      </c>
      <c r="BJ4" s="299">
        <v>615.28099999999995</v>
      </c>
      <c r="BK4" s="116">
        <f>SUM(BG4:BJ4)</f>
        <v>2355.9699999999998</v>
      </c>
      <c r="BL4" s="299">
        <v>489.92899999999997</v>
      </c>
      <c r="BM4" s="299">
        <v>578.34900000000005</v>
      </c>
      <c r="BN4" s="299">
        <v>621.08799999999997</v>
      </c>
      <c r="BO4" s="299">
        <v>668</v>
      </c>
      <c r="BP4" s="116">
        <f>SUM(BL4:BO4)</f>
        <v>2357.366</v>
      </c>
      <c r="BQ4" s="299">
        <v>494</v>
      </c>
      <c r="BR4" s="299">
        <v>549</v>
      </c>
      <c r="BS4" s="299">
        <v>597</v>
      </c>
      <c r="BT4" s="299">
        <v>582</v>
      </c>
      <c r="BU4" s="116">
        <f>SUM(BQ4:BT4)</f>
        <v>2222</v>
      </c>
      <c r="BV4" s="299">
        <v>489</v>
      </c>
      <c r="BW4" s="299">
        <v>479</v>
      </c>
      <c r="BX4" s="299">
        <v>486</v>
      </c>
      <c r="BY4" s="299">
        <v>444</v>
      </c>
      <c r="BZ4" s="696">
        <f>SUM(BV4:BY4)</f>
        <v>1898</v>
      </c>
      <c r="CA4" s="299">
        <v>316</v>
      </c>
      <c r="CB4" s="299">
        <v>334</v>
      </c>
      <c r="CC4" s="299">
        <v>324</v>
      </c>
      <c r="CD4" s="996">
        <v>314</v>
      </c>
      <c r="CE4" s="116">
        <f>SUM(CA4:CD4)</f>
        <v>1288</v>
      </c>
      <c r="CF4" s="299">
        <v>250</v>
      </c>
      <c r="CG4" s="298">
        <v>235</v>
      </c>
      <c r="CH4" s="298">
        <v>220</v>
      </c>
      <c r="CI4" s="298">
        <f>CJ4-CF4-CG4-CH4</f>
        <v>216.8841630484211</v>
      </c>
      <c r="CJ4" s="116">
        <f>+'HIV Model'!AO171</f>
        <v>921.8841630484211</v>
      </c>
      <c r="CK4" s="298">
        <f>(CF4/CJ4)*CO4</f>
        <v>181.11763744612986</v>
      </c>
      <c r="CL4" s="298">
        <f>(CG4/CJ4)*CO4</f>
        <v>170.25057919936208</v>
      </c>
      <c r="CM4" s="298">
        <f>(CH4/CJ4)*CO4</f>
        <v>159.3835209525943</v>
      </c>
      <c r="CN4" s="298">
        <f>(CI4/CJ4)*CO4</f>
        <v>157.12618884324502</v>
      </c>
      <c r="CO4" s="116">
        <f>+'HIV Model'!AP171</f>
        <v>667.87792644133128</v>
      </c>
      <c r="CP4" s="298">
        <f>(CK4/CO4)*CT4</f>
        <v>131.40239440230829</v>
      </c>
      <c r="CQ4" s="298">
        <f>(CL4/CO4)*CT4</f>
        <v>123.51825073816981</v>
      </c>
      <c r="CR4" s="298">
        <f>(CM4/CO4)*CT4</f>
        <v>115.63410707403132</v>
      </c>
      <c r="CS4" s="298">
        <f>(CN4/CO4)*CT4</f>
        <v>113.99639333001269</v>
      </c>
      <c r="CT4" s="116">
        <f>+'HIV Model'!AQ171</f>
        <v>484.55114554452211</v>
      </c>
      <c r="CU4" s="298">
        <f>(CP4/CT4)*CY4</f>
        <v>13.386749916855511</v>
      </c>
      <c r="CV4" s="298">
        <f>(CQ4/CT4)*CY4</f>
        <v>12.583544921844181</v>
      </c>
      <c r="CW4" s="298">
        <f>(CR4/CT4)*CY4</f>
        <v>11.78033992683285</v>
      </c>
      <c r="CX4" s="298">
        <f>(CS4/CT4)*CY4</f>
        <v>11.613496206622916</v>
      </c>
      <c r="CY4" s="116">
        <f>+'HIV Model'!AR171</f>
        <v>49.364130972155458</v>
      </c>
      <c r="CZ4" s="298">
        <f>(CU4/CY4)*DD4</f>
        <v>1.3637256225642411</v>
      </c>
      <c r="DA4" s="298">
        <f>(CV4/CY4)*DD4</f>
        <v>1.2819020852103868</v>
      </c>
      <c r="DB4" s="298">
        <f>(CW4/CY4)*DD4</f>
        <v>1.2000785478565321</v>
      </c>
      <c r="DC4" s="298">
        <f>(CX4/CY4)*DD4</f>
        <v>1.18308196111013</v>
      </c>
      <c r="DD4" s="116">
        <f>+'HIV Model'!AS171</f>
        <v>5.0287882167412903</v>
      </c>
      <c r="DE4" s="298">
        <f>(CZ4/DD4)*DI4</f>
        <v>0.13891816909527793</v>
      </c>
      <c r="DF4" s="298">
        <f>(DA4/DD4)*DI4</f>
        <v>0.13058307894956128</v>
      </c>
      <c r="DG4" s="298">
        <f>(DB4/DD4)*DI4</f>
        <v>0.12224798880384458</v>
      </c>
      <c r="DH4" s="298">
        <f>(DC4/DD4)*DI4</f>
        <v>0.1205166033457936</v>
      </c>
      <c r="DI4" s="116">
        <f>+'HIV Model'!AT171</f>
        <v>0.51226584019447741</v>
      </c>
      <c r="DJ4" s="298">
        <f>(DE4/DI4)*DN4</f>
        <v>1.4150491310481843E-2</v>
      </c>
      <c r="DK4" s="298">
        <f>(DF4/DI4)*DN4</f>
        <v>1.3301461831852934E-2</v>
      </c>
      <c r="DL4" s="298">
        <f>(DG4/DI4)*DN4</f>
        <v>1.2452432353224021E-2</v>
      </c>
      <c r="DM4" s="298">
        <f>(DH4/DI4)*DN4</f>
        <v>1.2276069858391242E-2</v>
      </c>
      <c r="DN4" s="116">
        <f>+'HIV Model'!AU171</f>
        <v>5.2180455353950043E-2</v>
      </c>
      <c r="DO4" s="298">
        <f>(DJ4/DN4)*DS4</f>
        <v>1.4413339579864828E-3</v>
      </c>
      <c r="DP4" s="298">
        <f>(DK4/DN4)*DS4</f>
        <v>1.3548539205072941E-3</v>
      </c>
      <c r="DQ4" s="298">
        <f>(DL4/DN4)*DS4</f>
        <v>1.2683738830281048E-3</v>
      </c>
      <c r="DR4" s="298">
        <f>(DM4/DN4)*DS4</f>
        <v>1.2504100366046661E-3</v>
      </c>
      <c r="DS4" s="116">
        <f>+'HIV Model'!AV171</f>
        <v>5.3149717981265483E-3</v>
      </c>
      <c r="DT4" s="298">
        <f>(DO4/DS4)*DX4</f>
        <v>1.4680422688912172E-4</v>
      </c>
      <c r="DU4" s="298">
        <f>(DP4/DS4)*DX4</f>
        <v>1.3799597327577442E-4</v>
      </c>
      <c r="DV4" s="298">
        <f>(DQ4/DS4)*DX4</f>
        <v>1.291877196624271E-4</v>
      </c>
      <c r="DW4" s="298">
        <f>(DR4/DS4)*DX4</f>
        <v>1.2735804752327072E-4</v>
      </c>
      <c r="DX4" s="116">
        <f>+'HIV Model'!AW171</f>
        <v>5.4134596735059398E-4</v>
      </c>
      <c r="DY4" s="298">
        <f>(DT4/DX4)*EC4</f>
        <v>1.4951802439350205E-5</v>
      </c>
      <c r="DZ4" s="298">
        <f>(DU4/DX4)*EC4</f>
        <v>1.4054694292989193E-5</v>
      </c>
      <c r="EA4" s="298">
        <f>(DV4/DX4)*EC4</f>
        <v>1.3157586146628179E-5</v>
      </c>
      <c r="EB4" s="298">
        <f>(DW4/DX4)*EC4</f>
        <v>1.297123663249524E-5</v>
      </c>
      <c r="EC4" s="116">
        <f>+'HIV Model'!AX171</f>
        <v>5.5135319511462819E-5</v>
      </c>
      <c r="ED4" s="298">
        <f>(DY4/EC4)*EH4</f>
        <v>1.5227541474144139E-6</v>
      </c>
      <c r="EE4" s="298">
        <f>(DZ4/EC4)*EH4</f>
        <v>1.4313888985695491E-6</v>
      </c>
      <c r="EF4" s="298">
        <f>(EA4/EC4)*EH4</f>
        <v>1.3400236497246843E-6</v>
      </c>
      <c r="EG4" s="298">
        <f>(EB4/EC4)*EH4</f>
        <v>1.321045035161949E-6</v>
      </c>
      <c r="EH4" s="116">
        <f>+'HIV Model'!AY171</f>
        <v>5.6152117308705966E-6</v>
      </c>
      <c r="EI4" s="298">
        <f>(ED4/EH4)*EM4</f>
        <v>1.5507703288379806E-7</v>
      </c>
      <c r="EJ4" s="298">
        <f>(EE4/EH4)*EM4</f>
        <v>1.4577241091077019E-7</v>
      </c>
      <c r="EK4" s="298">
        <f>(EF4/EH4)*EM4</f>
        <v>1.3646778893774229E-7</v>
      </c>
      <c r="EL4" s="298">
        <f>(EG4/EH4)*EM4</f>
        <v>1.3453500994014009E-7</v>
      </c>
      <c r="EM4" s="116">
        <f>+'HIV Model'!AZ171</f>
        <v>5.7185224267245062E-7</v>
      </c>
      <c r="EN4" s="298">
        <f>(EI4/EM4)*ER4</f>
        <v>1.5792352240280817E-8</v>
      </c>
      <c r="EO4" s="298">
        <f>(EJ4/EM4)*ER4</f>
        <v>1.4844811105863967E-8</v>
      </c>
      <c r="EP4" s="298">
        <f>(EK4/EM4)*ER4</f>
        <v>1.3897269971447117E-8</v>
      </c>
      <c r="EQ4" s="298">
        <f>(EL4/EM4)*ER4</f>
        <v>1.3700444392796653E-8</v>
      </c>
      <c r="ER4" s="116">
        <f>+'HIV Model'!BA171</f>
        <v>5.8234877710388555E-8</v>
      </c>
    </row>
    <row r="5" spans="2:148">
      <c r="B5" s="231" t="s">
        <v>919</v>
      </c>
      <c r="D5" s="297"/>
      <c r="E5" s="297"/>
      <c r="F5" s="297"/>
      <c r="G5" s="297"/>
      <c r="I5" s="297"/>
      <c r="J5" s="297"/>
      <c r="K5" s="297"/>
      <c r="L5" s="297"/>
      <c r="N5" s="297"/>
      <c r="O5" s="297"/>
      <c r="P5" s="297"/>
      <c r="Q5" s="297"/>
      <c r="S5" s="297"/>
      <c r="T5" s="297"/>
      <c r="U5" s="297"/>
      <c r="V5" s="297"/>
      <c r="X5" s="297"/>
      <c r="Y5" s="297"/>
      <c r="Z5" s="297"/>
      <c r="AA5" s="297"/>
      <c r="AC5" s="297"/>
      <c r="AD5" s="297"/>
      <c r="AE5" s="297"/>
      <c r="AF5" s="297"/>
      <c r="AH5" s="297">
        <f>14.195</f>
        <v>14.195</v>
      </c>
      <c r="AI5" s="297">
        <v>37.503999999999998</v>
      </c>
      <c r="AJ5" s="297">
        <v>71.028000000000006</v>
      </c>
      <c r="AK5" s="297">
        <v>103.027</v>
      </c>
      <c r="AL5" s="116">
        <f>+AK5+AJ5+AI5+AH5</f>
        <v>225.75399999999999</v>
      </c>
      <c r="AM5" s="297">
        <v>124.779</v>
      </c>
      <c r="AN5" s="297">
        <v>154.83500000000001</v>
      </c>
      <c r="AO5" s="297">
        <v>182.22200000000001</v>
      </c>
      <c r="AP5" s="297">
        <v>215.72300000000001</v>
      </c>
      <c r="AQ5" s="116">
        <f>+AP5+AO5+AN5+AM5</f>
        <v>677.55900000000008</v>
      </c>
      <c r="AR5" s="297">
        <v>217.548</v>
      </c>
      <c r="AS5" s="297">
        <v>221.149</v>
      </c>
      <c r="AT5" s="297">
        <v>222.727</v>
      </c>
      <c r="AU5" s="297">
        <v>248.762</v>
      </c>
      <c r="AV5" s="116">
        <f>+AU5+AT5+AS5+AR5</f>
        <v>910.18600000000004</v>
      </c>
      <c r="AW5" s="297">
        <v>253.05699999999999</v>
      </c>
      <c r="AX5" s="297">
        <v>267.15300000000002</v>
      </c>
      <c r="AY5" s="297">
        <v>254.95699999999999</v>
      </c>
      <c r="AZ5" s="297">
        <v>267.50099999999998</v>
      </c>
      <c r="BA5" s="116">
        <f>SUM(AW5:AZ5)</f>
        <v>1042.6680000000001</v>
      </c>
      <c r="BB5" s="298">
        <v>270.69600000000003</v>
      </c>
      <c r="BC5" s="298">
        <v>280.125</v>
      </c>
      <c r="BD5" s="298">
        <v>270.27300000000002</v>
      </c>
      <c r="BE5" s="298">
        <v>281.476</v>
      </c>
      <c r="BF5" s="116">
        <f>SUM(BB5:BE5)</f>
        <v>1102.5700000000002</v>
      </c>
      <c r="BG5" s="298">
        <v>278.21499999999997</v>
      </c>
      <c r="BH5" s="298">
        <v>270.77999999999997</v>
      </c>
      <c r="BI5" s="298">
        <v>256.85300000000001</v>
      </c>
      <c r="BJ5" s="299">
        <v>255.89099999999999</v>
      </c>
      <c r="BK5" s="116">
        <f>SUM(BG5:BJ5)</f>
        <v>1061.739</v>
      </c>
      <c r="BL5" s="299">
        <v>236.50800000000001</v>
      </c>
      <c r="BM5" s="299">
        <v>234.328</v>
      </c>
      <c r="BN5" s="299">
        <v>222.72300000000001</v>
      </c>
      <c r="BO5" s="299">
        <v>194</v>
      </c>
      <c r="BP5" s="116">
        <f>SUM(BL5:BO5)</f>
        <v>887.55899999999997</v>
      </c>
      <c r="BQ5" s="299">
        <v>194</v>
      </c>
      <c r="BR5" s="299">
        <v>178</v>
      </c>
      <c r="BS5" s="299">
        <v>161</v>
      </c>
      <c r="BT5" s="299">
        <v>161</v>
      </c>
      <c r="BU5" s="116">
        <f>SUM(BQ5:BT5)</f>
        <v>694</v>
      </c>
      <c r="BV5" s="299">
        <v>143</v>
      </c>
      <c r="BW5" s="299">
        <v>140</v>
      </c>
      <c r="BX5" s="299">
        <v>129</v>
      </c>
      <c r="BY5" s="299">
        <v>108</v>
      </c>
      <c r="BZ5" s="696">
        <f>SUM(BV5:BY5)</f>
        <v>520</v>
      </c>
      <c r="CA5" s="299">
        <v>94</v>
      </c>
      <c r="CB5" s="299">
        <v>86</v>
      </c>
      <c r="CC5" s="299">
        <v>79</v>
      </c>
      <c r="CD5" s="996">
        <v>76</v>
      </c>
      <c r="CE5" s="116">
        <f t="shared" ref="CE5:CE6" si="3">SUM(CA5:CD5)</f>
        <v>335</v>
      </c>
      <c r="CF5" s="298">
        <v>50</v>
      </c>
      <c r="CG5" s="298">
        <v>40</v>
      </c>
      <c r="CH5" s="298">
        <v>25</v>
      </c>
      <c r="CI5" s="298">
        <f>CJ5-CF5-CG5-CH5</f>
        <v>16.925561320308702</v>
      </c>
      <c r="CJ5" s="116">
        <f>+'HIV Model'!AO381</f>
        <v>131.9255613203087</v>
      </c>
      <c r="CK5" s="298">
        <f>(CF5/CJ5)*CO5</f>
        <v>15.288275798234187</v>
      </c>
      <c r="CL5" s="298">
        <f>(CG5/CJ5)*CO5</f>
        <v>12.23062063858735</v>
      </c>
      <c r="CM5" s="298">
        <f>(CH5/CJ5)*CO5</f>
        <v>7.6441378991170934</v>
      </c>
      <c r="CN5" s="298">
        <f>(CI5/CJ5)*CO5</f>
        <v>5.1752529900960837</v>
      </c>
      <c r="CO5" s="116">
        <f>+'HIV Model'!AP381</f>
        <v>40.338287326034717</v>
      </c>
      <c r="CP5" s="298">
        <f>(CK5/CO5)*CT5</f>
        <v>1.6686686466513094</v>
      </c>
      <c r="CQ5" s="298">
        <f>(CL5/CO5)*CT5</f>
        <v>1.3349349173210476</v>
      </c>
      <c r="CR5" s="298">
        <f>(CM5/CO5)*CT5</f>
        <v>0.83433432332565471</v>
      </c>
      <c r="CS5" s="298">
        <f>(CN5/CO5)*CT5</f>
        <v>0.56486307004346548</v>
      </c>
      <c r="CT5" s="116">
        <f>+'HIV Model'!AQ381</f>
        <v>4.4028009573414773</v>
      </c>
      <c r="CU5" s="298">
        <f>(CP5/CT5)*CY5</f>
        <v>0.20834296313338008</v>
      </c>
      <c r="CV5" s="298">
        <f>(CQ5/CT5)*CY5</f>
        <v>0.16667437050670406</v>
      </c>
      <c r="CW5" s="298">
        <f>(CR5/CT5)*CY5</f>
        <v>0.10417148156669004</v>
      </c>
      <c r="CX5" s="298">
        <f>(CS5/CT5)*CY5</f>
        <v>7.0526431963376796E-2</v>
      </c>
      <c r="CY5" s="116">
        <f>+'HIV Model'!AR381</f>
        <v>0.54971524717015097</v>
      </c>
      <c r="CZ5" s="298">
        <f>(CU5/CY5)*DD5</f>
        <v>3.3177195252498959E-2</v>
      </c>
      <c r="DA5" s="298">
        <f>(CV5/CY5)*DD5</f>
        <v>2.6541756201999167E-2</v>
      </c>
      <c r="DB5" s="298">
        <f>(CW5/CY5)*DD5</f>
        <v>1.6588597626249479E-2</v>
      </c>
      <c r="DC5" s="298">
        <f>(CX5/CY5)*DD5</f>
        <v>1.1230853053640518E-2</v>
      </c>
      <c r="DD5" s="116">
        <f>+'HIV Model'!AS381</f>
        <v>8.7538402134388127E-2</v>
      </c>
      <c r="DE5" s="298">
        <f>(CZ5/DD5)*DI5</f>
        <v>6.9948988760102308E-3</v>
      </c>
      <c r="DF5" s="298">
        <f>(DA5/DD5)*DI5</f>
        <v>5.5959191008081843E-3</v>
      </c>
      <c r="DG5" s="298">
        <f>(DB5/DD5)*DI5</f>
        <v>3.4974494380051154E-3</v>
      </c>
      <c r="DH5" s="298">
        <f>(DC5/DD5)*DI5</f>
        <v>2.3678517971053915E-3</v>
      </c>
      <c r="DI5" s="116">
        <f>+'HIV Model'!AT381</f>
        <v>1.8456119211928922E-2</v>
      </c>
      <c r="DJ5" s="298">
        <f>(DE5/DI5)*DN5</f>
        <v>1.79536376685688E-3</v>
      </c>
      <c r="DK5" s="298">
        <f>(DF5/DI5)*DN5</f>
        <v>1.4362910134855039E-3</v>
      </c>
      <c r="DL5" s="298">
        <f>(DG5/DI5)*DN5</f>
        <v>8.9768188342843999E-4</v>
      </c>
      <c r="DM5" s="298">
        <f>(DH5/DI5)*DN5</f>
        <v>6.0775079056393073E-4</v>
      </c>
      <c r="DN5" s="116">
        <f>+'HIV Model'!AU381</f>
        <v>4.7370874543347548E-3</v>
      </c>
      <c r="DO5" s="298">
        <f>(DJ5/DN5)*DS5</f>
        <v>5.0615673737586329E-4</v>
      </c>
      <c r="DP5" s="298">
        <f>(DK5/DN5)*DS5</f>
        <v>4.0492538990069066E-4</v>
      </c>
      <c r="DQ5" s="298">
        <f>(DL5/DN5)*DS5</f>
        <v>2.5307836868793164E-4</v>
      </c>
      <c r="DR5" s="298">
        <f>(DM5/DN5)*DS5</f>
        <v>1.7133973792285125E-4</v>
      </c>
      <c r="DS5" s="116">
        <f>+'HIV Model'!AV381</f>
        <v>1.3355002338873369E-3</v>
      </c>
      <c r="DT5" s="298">
        <f>(DO5/DS5)*DX5</f>
        <v>1.4796329275331807E-4</v>
      </c>
      <c r="DU5" s="298">
        <f>(DP5/DS5)*DX5</f>
        <v>1.1837063420265446E-4</v>
      </c>
      <c r="DV5" s="298">
        <f>(DQ5/DS5)*DX5</f>
        <v>7.3981646376659034E-5</v>
      </c>
      <c r="DW5" s="298">
        <f>(DR5/DS5)*DX5</f>
        <v>5.0087235693021466E-5</v>
      </c>
      <c r="DX5" s="116">
        <f>+'HIV Model'!AW381</f>
        <v>3.9040280902565304E-4</v>
      </c>
      <c r="DY5" s="298">
        <f>(DT5/DX5)*EC5</f>
        <v>4.3809423370729594E-5</v>
      </c>
      <c r="DZ5" s="298">
        <f>(DU5/DX5)*EC5</f>
        <v>3.5047538696583677E-5</v>
      </c>
      <c r="EA5" s="298">
        <f>(DV5/DX5)*EC5</f>
        <v>2.1904711685364797E-5</v>
      </c>
      <c r="EB5" s="298">
        <f>(DW5/DX5)*EC5</f>
        <v>1.4829981633372977E-5</v>
      </c>
      <c r="EC5" s="116">
        <f>+'HIV Model'!AX381</f>
        <v>1.1559165538605105E-4</v>
      </c>
      <c r="ED5" s="298">
        <f>(DY5/EC5)*EH5</f>
        <v>1.3027533556677296E-5</v>
      </c>
      <c r="EE5" s="298">
        <f>(DZ5/EC5)*EH5</f>
        <v>1.0422026845341836E-5</v>
      </c>
      <c r="EF5" s="298">
        <f>(EA5/EC5)*EH5</f>
        <v>6.5137667783386478E-6</v>
      </c>
      <c r="EG5" s="298">
        <f>(EB5/EC5)*EH5</f>
        <v>4.4099663613184179E-6</v>
      </c>
      <c r="EH5" s="116">
        <f>+'HIV Model'!AY381</f>
        <v>3.43732935416762E-5</v>
      </c>
      <c r="EI5" s="298">
        <f>(ED5/EH5)*EM5</f>
        <v>3.8795271496918413E-6</v>
      </c>
      <c r="EJ5" s="298">
        <f>(EE5/EH5)*EM5</f>
        <v>3.103621719753473E-6</v>
      </c>
      <c r="EK5" s="298">
        <f>(EF5/EH5)*EM5</f>
        <v>1.9397635748459206E-6</v>
      </c>
      <c r="EL5" s="298">
        <f>(EG5/EH5)*EM5</f>
        <v>1.3132634933182339E-6</v>
      </c>
      <c r="EM5" s="116">
        <f>+'HIV Model'!AZ381</f>
        <v>1.0236175937609469E-5</v>
      </c>
      <c r="EN5" s="298">
        <f>(EI5/EM5)*ER5</f>
        <v>1.1558221790578628E-6</v>
      </c>
      <c r="EO5" s="298">
        <f>(EJ5/EM5)*ER5</f>
        <v>9.2465774324629022E-7</v>
      </c>
      <c r="EP5" s="298">
        <f>(EK5/EM5)*ER5</f>
        <v>5.7791108952893142E-7</v>
      </c>
      <c r="EQ5" s="298">
        <f>(EL5/EM5)*ER5</f>
        <v>3.9125878334033361E-7</v>
      </c>
      <c r="ER5" s="116">
        <f>+'HIV Model'!BA381</f>
        <v>3.049649795173418E-6</v>
      </c>
    </row>
    <row r="6" spans="2:148">
      <c r="B6" s="231" t="s">
        <v>81</v>
      </c>
      <c r="D6" s="297"/>
      <c r="E6" s="297"/>
      <c r="F6" s="297"/>
      <c r="G6" s="297"/>
      <c r="I6" s="297"/>
      <c r="J6" s="297"/>
      <c r="K6" s="297"/>
      <c r="L6" s="297"/>
      <c r="N6" s="297"/>
      <c r="O6" s="297"/>
      <c r="P6" s="297"/>
      <c r="Q6" s="297"/>
      <c r="S6" s="297"/>
      <c r="T6" s="297"/>
      <c r="U6" s="297"/>
      <c r="V6" s="297"/>
      <c r="X6" s="297"/>
      <c r="Y6" s="297"/>
      <c r="Z6" s="297"/>
      <c r="AA6" s="297"/>
      <c r="AC6" s="297"/>
      <c r="AD6" s="297">
        <v>0.70499999999999996</v>
      </c>
      <c r="AE6" s="297">
        <v>0.88400000000000001</v>
      </c>
      <c r="AF6" s="297">
        <f>1.134</f>
        <v>1.1339999999999999</v>
      </c>
      <c r="AG6" s="116">
        <f>+AF6+AE6+AD6+AC6</f>
        <v>2.7229999999999999</v>
      </c>
      <c r="AH6" s="297">
        <v>3.5369999999999999</v>
      </c>
      <c r="AI6" s="297">
        <v>5.2050000000000001</v>
      </c>
      <c r="AJ6" s="297">
        <v>10.218</v>
      </c>
      <c r="AK6" s="297">
        <v>10.573</v>
      </c>
      <c r="AL6" s="116">
        <f>+AK6+AJ6+AI6+AH6</f>
        <v>29.533000000000001</v>
      </c>
      <c r="AM6" s="297">
        <v>10.972</v>
      </c>
      <c r="AN6" s="297">
        <v>16.263000000000002</v>
      </c>
      <c r="AO6" s="297">
        <v>15.180999999999999</v>
      </c>
      <c r="AP6" s="297">
        <v>16.196000000000002</v>
      </c>
      <c r="AQ6" s="116">
        <f>+AP6+AO6+AN6+AM6</f>
        <v>58.612000000000002</v>
      </c>
      <c r="AR6" s="297">
        <v>19.422999999999998</v>
      </c>
      <c r="AS6" s="297">
        <v>27.835999999999999</v>
      </c>
      <c r="AT6" s="297">
        <v>28.32</v>
      </c>
      <c r="AU6" s="297">
        <v>31.933</v>
      </c>
      <c r="AV6" s="116">
        <f>+AU6+AT6+AS6+AR6</f>
        <v>107.512</v>
      </c>
      <c r="AW6" s="297">
        <v>28.687999999999999</v>
      </c>
      <c r="AX6" s="297">
        <v>44.601999999999997</v>
      </c>
      <c r="AY6" s="297">
        <v>38.165999999999997</v>
      </c>
      <c r="AZ6" s="297">
        <v>48.344999999999999</v>
      </c>
      <c r="BA6" s="116">
        <f>SUM(AW6:AZ6)</f>
        <v>159.80099999999999</v>
      </c>
      <c r="BB6" s="298">
        <v>54.856000000000002</v>
      </c>
      <c r="BC6" s="298">
        <v>53.063000000000002</v>
      </c>
      <c r="BD6" s="298">
        <v>55.308</v>
      </c>
      <c r="BE6" s="298">
        <v>56.030999999999999</v>
      </c>
      <c r="BF6" s="116">
        <f>SUM(BB6:BE6)</f>
        <v>219.25800000000001</v>
      </c>
      <c r="BG6" s="298">
        <v>45.031999999999996</v>
      </c>
      <c r="BH6" s="298">
        <v>55.997999999999998</v>
      </c>
      <c r="BI6" s="298">
        <v>67.283000000000001</v>
      </c>
      <c r="BJ6" s="299">
        <v>62.473999999999997</v>
      </c>
      <c r="BK6" s="116">
        <f>SUM(BG6:BJ6)</f>
        <v>230.78699999999998</v>
      </c>
      <c r="BL6" s="299">
        <v>53.156999999999996</v>
      </c>
      <c r="BM6" s="299">
        <v>58.030999999999999</v>
      </c>
      <c r="BN6" s="299">
        <v>50.975999999999999</v>
      </c>
      <c r="BO6" s="299">
        <v>63</v>
      </c>
      <c r="BP6" s="116">
        <f>SUM(BL6:BO6)</f>
        <v>225.16399999999999</v>
      </c>
      <c r="BQ6" s="299">
        <v>46</v>
      </c>
      <c r="BR6" s="299">
        <v>55</v>
      </c>
      <c r="BS6" s="299">
        <v>60</v>
      </c>
      <c r="BT6" s="299">
        <v>57</v>
      </c>
      <c r="BU6" s="116">
        <f>SUM(BQ6:BT6)</f>
        <v>218</v>
      </c>
      <c r="BV6" s="299">
        <v>43</v>
      </c>
      <c r="BW6" s="299">
        <v>54</v>
      </c>
      <c r="BX6" s="299">
        <v>35</v>
      </c>
      <c r="BY6" s="299">
        <v>55</v>
      </c>
      <c r="BZ6" s="696">
        <f>SUM(BV6:BY6)</f>
        <v>187</v>
      </c>
      <c r="CA6" s="299">
        <v>42</v>
      </c>
      <c r="CB6" s="299">
        <v>55</v>
      </c>
      <c r="CC6" s="299">
        <v>36</v>
      </c>
      <c r="CD6" s="996">
        <v>50</v>
      </c>
      <c r="CE6" s="116">
        <f t="shared" si="3"/>
        <v>183</v>
      </c>
      <c r="CF6" s="298">
        <f>(CA6/CE6)*CJ6</f>
        <v>11.587868852459019</v>
      </c>
      <c r="CG6" s="298">
        <f>(CB6/CE6)*CJ6</f>
        <v>15.174590163934429</v>
      </c>
      <c r="CH6" s="298">
        <f>(CC6/CE6)*CJ6</f>
        <v>9.9324590163934445</v>
      </c>
      <c r="CI6" s="298">
        <f>(CD6/CE6)*CJ6</f>
        <v>13.795081967213118</v>
      </c>
      <c r="CJ6" s="116">
        <f>+'HIV Model'!AO439</f>
        <v>50.490000000000009</v>
      </c>
      <c r="CK6" s="298">
        <f>(CF6/CJ6)*CO6</f>
        <v>2.8969672131147548</v>
      </c>
      <c r="CL6" s="298">
        <f>(CG6/CJ6)*CO6</f>
        <v>3.7936475409836072</v>
      </c>
      <c r="CM6" s="298">
        <f>(CH6/CJ6)*CO6</f>
        <v>2.4831147540983611</v>
      </c>
      <c r="CN6" s="298">
        <f>(CI6/CJ6)*CO6</f>
        <v>3.4487704918032795</v>
      </c>
      <c r="CO6" s="116">
        <f>+'HIV Model'!AP439</f>
        <v>12.622500000000002</v>
      </c>
      <c r="CP6" s="298">
        <f>(CK6/CO6)*CT6</f>
        <v>0.7242418032786887</v>
      </c>
      <c r="CQ6" s="298">
        <f>(CL6/CO6)*CT6</f>
        <v>0.94841188524590181</v>
      </c>
      <c r="CR6" s="298">
        <f>(CM6/CO6)*CT6</f>
        <v>0.62077868852459028</v>
      </c>
      <c r="CS6" s="298">
        <f>(CN6/CO6)*CT6</f>
        <v>0.86219262295081989</v>
      </c>
      <c r="CT6" s="116">
        <f>+'HIV Model'!AQ439</f>
        <v>3.1556250000000006</v>
      </c>
      <c r="CU6" s="298">
        <f>(CP6/CT6)*CY6</f>
        <v>0.18106045081967218</v>
      </c>
      <c r="CV6" s="298">
        <f>(CQ6/CT6)*CY6</f>
        <v>0.23710297131147545</v>
      </c>
      <c r="CW6" s="298">
        <f>(CR6/CT6)*CY6</f>
        <v>0.15519467213114757</v>
      </c>
      <c r="CX6" s="298">
        <f>(CS6/CT6)*CY6</f>
        <v>0.21554815573770497</v>
      </c>
      <c r="CY6" s="116">
        <f>+'HIV Model'!AR439</f>
        <v>0.78890625000000014</v>
      </c>
      <c r="CZ6" s="298">
        <f>(CU6/CY6)*DD6</f>
        <v>4.5265112704918044E-2</v>
      </c>
      <c r="DA6" s="298">
        <f>(CV6/CY6)*DD6</f>
        <v>5.9275742827868863E-2</v>
      </c>
      <c r="DB6" s="298">
        <f>(CW6/CY6)*DD6</f>
        <v>3.8798668032786893E-2</v>
      </c>
      <c r="DC6" s="298">
        <f>(CX6/CY6)*DD6</f>
        <v>5.3887038934426243E-2</v>
      </c>
      <c r="DD6" s="116">
        <f>+'HIV Model'!AS439</f>
        <v>0.19722656250000004</v>
      </c>
      <c r="DE6" s="298">
        <f>(CZ6/DD6)*DI6</f>
        <v>1.1316278176229511E-2</v>
      </c>
      <c r="DF6" s="298">
        <f>(DA6/DD6)*DI6</f>
        <v>1.4818935706967216E-2</v>
      </c>
      <c r="DG6" s="298">
        <f>(DB6/DD6)*DI6</f>
        <v>9.6996670081967232E-3</v>
      </c>
      <c r="DH6" s="298">
        <f>(DC6/DD6)*DI6</f>
        <v>1.3471759733606561E-2</v>
      </c>
      <c r="DI6" s="116">
        <f>+'HIV Model'!AT439</f>
        <v>4.9306640625000009E-2</v>
      </c>
      <c r="DJ6" s="298">
        <f>(DE6/DI6)*DN6</f>
        <v>2.8290695440573777E-3</v>
      </c>
      <c r="DK6" s="298">
        <f>(DF6/DI6)*DN6</f>
        <v>3.7047339267418039E-3</v>
      </c>
      <c r="DL6" s="298">
        <f>(DG6/DI6)*DN6</f>
        <v>2.4249167520491808E-3</v>
      </c>
      <c r="DM6" s="298">
        <f>(DH6/DI6)*DN6</f>
        <v>3.3679399334016402E-3</v>
      </c>
      <c r="DN6" s="116">
        <f>+'HIV Model'!AU439</f>
        <v>1.2326660156250002E-2</v>
      </c>
      <c r="DO6" s="298">
        <f>(DJ6/DN6)*DS6</f>
        <v>7.0726738601434443E-4</v>
      </c>
      <c r="DP6" s="298">
        <f>(DK6/DN6)*DS6</f>
        <v>9.2618348168545099E-4</v>
      </c>
      <c r="DQ6" s="298">
        <f>(DL6/DN6)*DS6</f>
        <v>6.062291880122952E-4</v>
      </c>
      <c r="DR6" s="298">
        <f>(DM6/DN6)*DS6</f>
        <v>8.4198498335041005E-4</v>
      </c>
      <c r="DS6" s="116">
        <f>+'HIV Model'!AV439</f>
        <v>3.0816650390625006E-3</v>
      </c>
      <c r="DT6" s="298">
        <f>(DO6/DS6)*DX6</f>
        <v>1.7681684650358611E-4</v>
      </c>
      <c r="DU6" s="298">
        <f>(DP6/DS6)*DX6</f>
        <v>2.3154587042136275E-4</v>
      </c>
      <c r="DV6" s="298">
        <f>(DQ6/DS6)*DX6</f>
        <v>1.515572970030738E-4</v>
      </c>
      <c r="DW6" s="298">
        <f>(DR6/DS6)*DX6</f>
        <v>2.1049624583760251E-4</v>
      </c>
      <c r="DX6" s="116">
        <f>+'HIV Model'!AW439</f>
        <v>7.7041625976562514E-4</v>
      </c>
      <c r="DY6" s="298">
        <f>(DT6/DX6)*EC6</f>
        <v>4.4204211625896527E-5</v>
      </c>
      <c r="DZ6" s="298">
        <f>(DU6/DX6)*EC6</f>
        <v>5.7886467605340687E-5</v>
      </c>
      <c r="EA6" s="298">
        <f>(DV6/DX6)*EC6</f>
        <v>3.788932425076845E-5</v>
      </c>
      <c r="EB6" s="298">
        <f>(DW6/DX6)*EC6</f>
        <v>5.2624061459400628E-5</v>
      </c>
      <c r="EC6" s="116">
        <f>+'HIV Model'!AX439</f>
        <v>1.9260406494140628E-4</v>
      </c>
      <c r="ED6" s="298">
        <f>(DY6/EC6)*EH6</f>
        <v>1.1051052906474132E-5</v>
      </c>
      <c r="EE6" s="298">
        <f>(DZ6/EC6)*EH6</f>
        <v>1.4471616901335172E-5</v>
      </c>
      <c r="EF6" s="298">
        <f>(EA6/EC6)*EH6</f>
        <v>9.4723310626921125E-6</v>
      </c>
      <c r="EG6" s="298">
        <f>(EB6/EC6)*EH6</f>
        <v>1.3156015364850157E-5</v>
      </c>
      <c r="EH6" s="116">
        <f>+'HIV Model'!AY439</f>
        <v>4.8151016235351571E-5</v>
      </c>
      <c r="EI6" s="298">
        <f>(ED6/EH6)*EM6</f>
        <v>2.7627632266185329E-6</v>
      </c>
      <c r="EJ6" s="298">
        <f>(EE6/EH6)*EM6</f>
        <v>3.6179042253337929E-6</v>
      </c>
      <c r="EK6" s="298">
        <f>(EF6/EH6)*EM6</f>
        <v>2.3680827656730281E-6</v>
      </c>
      <c r="EL6" s="298">
        <f>(EG6/EH6)*EM6</f>
        <v>3.2890038412125392E-6</v>
      </c>
      <c r="EM6" s="116">
        <f>+'HIV Model'!AZ439</f>
        <v>1.2037754058837893E-5</v>
      </c>
      <c r="EN6" s="298">
        <f>(EI6/EM6)*ER6</f>
        <v>6.9069080665463324E-7</v>
      </c>
      <c r="EO6" s="298">
        <f>(EJ6/EM6)*ER6</f>
        <v>9.0447605633344823E-7</v>
      </c>
      <c r="EP6" s="298">
        <f>(EK6/EM6)*ER6</f>
        <v>5.9202069141825703E-7</v>
      </c>
      <c r="EQ6" s="298">
        <f>(EL6/EM6)*ER6</f>
        <v>8.2225096030313481E-7</v>
      </c>
      <c r="ER6" s="116">
        <f>+'HIV Model'!BA439</f>
        <v>3.0094385147094732E-6</v>
      </c>
    </row>
    <row r="7" spans="2:148">
      <c r="B7" s="231"/>
      <c r="D7" s="297"/>
      <c r="E7" s="297"/>
      <c r="F7" s="297"/>
      <c r="G7" s="297"/>
      <c r="I7" s="297"/>
      <c r="J7" s="297"/>
      <c r="K7" s="297"/>
      <c r="L7" s="297"/>
      <c r="N7" s="297"/>
      <c r="O7" s="297"/>
      <c r="P7" s="297"/>
      <c r="Q7" s="297"/>
      <c r="S7" s="297"/>
      <c r="T7" s="297"/>
      <c r="U7" s="297"/>
      <c r="V7" s="297"/>
      <c r="X7" s="297"/>
      <c r="Y7" s="297"/>
      <c r="Z7" s="297"/>
      <c r="AA7" s="297"/>
      <c r="AC7" s="297"/>
      <c r="AD7" s="297"/>
      <c r="AE7" s="297"/>
      <c r="AF7" s="297"/>
      <c r="AH7" s="297"/>
      <c r="AI7" s="297"/>
      <c r="AJ7" s="297"/>
      <c r="AK7" s="297"/>
      <c r="AM7" s="297"/>
      <c r="AN7" s="297"/>
      <c r="AO7" s="297"/>
      <c r="AP7" s="297"/>
      <c r="AR7" s="297"/>
      <c r="AS7" s="297"/>
      <c r="AT7" s="297"/>
      <c r="AU7" s="297"/>
      <c r="AW7" s="297"/>
      <c r="AX7" s="297"/>
      <c r="AY7" s="297"/>
      <c r="AZ7" s="297"/>
      <c r="BB7" s="298"/>
      <c r="BC7" s="298"/>
      <c r="BD7" s="298"/>
      <c r="BE7" s="298"/>
      <c r="BG7" s="298"/>
      <c r="BH7" s="298"/>
      <c r="BI7" s="298"/>
      <c r="BJ7" s="298"/>
      <c r="BL7" s="298"/>
      <c r="BM7" s="298"/>
      <c r="BN7" s="298"/>
      <c r="BO7" s="298"/>
      <c r="BQ7" s="298"/>
      <c r="BR7" s="298"/>
      <c r="BS7" s="298"/>
      <c r="BT7" s="298"/>
      <c r="BV7" s="298"/>
      <c r="BW7" s="298"/>
      <c r="BX7" s="298"/>
      <c r="BY7" s="298"/>
      <c r="CA7" s="298"/>
      <c r="CB7" s="298"/>
      <c r="CC7" s="298"/>
      <c r="CD7" s="298"/>
      <c r="CF7" s="298"/>
      <c r="CG7" s="298"/>
      <c r="CH7" s="298"/>
      <c r="CI7" s="298"/>
      <c r="CK7" s="298"/>
      <c r="CL7" s="298"/>
      <c r="CM7" s="298"/>
      <c r="CN7" s="298"/>
      <c r="CP7" s="298"/>
      <c r="CQ7" s="298"/>
      <c r="CR7" s="298"/>
      <c r="CS7" s="298"/>
      <c r="CU7" s="298"/>
      <c r="CV7" s="298"/>
      <c r="CW7" s="298"/>
      <c r="CX7" s="298"/>
      <c r="CZ7" s="298"/>
      <c r="DA7" s="298"/>
      <c r="DB7" s="298"/>
      <c r="DC7" s="298"/>
      <c r="DE7" s="298"/>
      <c r="DF7" s="298"/>
      <c r="DG7" s="298"/>
      <c r="DH7" s="298"/>
      <c r="DJ7" s="298"/>
      <c r="DK7" s="298"/>
      <c r="DL7" s="298"/>
      <c r="DM7" s="298"/>
      <c r="DO7" s="298"/>
      <c r="DP7" s="298"/>
      <c r="DQ7" s="298"/>
      <c r="DR7" s="298"/>
      <c r="DT7" s="298"/>
      <c r="DU7" s="298"/>
      <c r="DV7" s="298"/>
      <c r="DW7" s="298"/>
      <c r="DY7" s="298"/>
      <c r="DZ7" s="298"/>
      <c r="EA7" s="298"/>
      <c r="EB7" s="298"/>
      <c r="ED7" s="298"/>
      <c r="EE7" s="298"/>
      <c r="EF7" s="298"/>
      <c r="EG7" s="298"/>
      <c r="EI7" s="298"/>
      <c r="EJ7" s="298"/>
      <c r="EK7" s="298"/>
      <c r="EL7" s="298"/>
      <c r="EN7" s="298"/>
      <c r="EO7" s="298"/>
      <c r="EP7" s="298"/>
      <c r="EQ7" s="298"/>
    </row>
    <row r="8" spans="2:148">
      <c r="B8" s="230" t="s">
        <v>848</v>
      </c>
      <c r="C8" s="230"/>
      <c r="D8" s="297"/>
      <c r="E8" s="297"/>
      <c r="F8" s="297"/>
      <c r="G8" s="297"/>
      <c r="I8" s="297"/>
      <c r="J8" s="297"/>
      <c r="K8" s="297"/>
      <c r="L8" s="297"/>
      <c r="N8" s="352"/>
      <c r="O8" s="352"/>
      <c r="P8" s="352">
        <f>+SUM(P9:P11)</f>
        <v>18.207000000000001</v>
      </c>
      <c r="Q8" s="352">
        <f>+SUM(Q9:Q11)</f>
        <v>49.657000000000004</v>
      </c>
      <c r="R8" s="230">
        <f>+SUM(R9:R11)</f>
        <v>67.864000000000004</v>
      </c>
      <c r="S8" s="352">
        <f t="shared" ref="S8:AZ8" si="4">SUM(S9:S11)</f>
        <v>91.167000000000002</v>
      </c>
      <c r="T8" s="352">
        <f t="shared" si="4"/>
        <v>123.11</v>
      </c>
      <c r="U8" s="352">
        <f t="shared" si="4"/>
        <v>162.40299999999999</v>
      </c>
      <c r="V8" s="352">
        <f t="shared" si="4"/>
        <v>191.149</v>
      </c>
      <c r="W8" s="230">
        <f t="shared" si="4"/>
        <v>567.82900000000006</v>
      </c>
      <c r="X8" s="352">
        <f t="shared" si="4"/>
        <v>248.946</v>
      </c>
      <c r="Y8" s="352">
        <f t="shared" si="4"/>
        <v>299.255</v>
      </c>
      <c r="Z8" s="352">
        <f t="shared" si="4"/>
        <v>309.03300000000002</v>
      </c>
      <c r="AA8" s="352">
        <f t="shared" si="4"/>
        <v>337.05699999999996</v>
      </c>
      <c r="AB8" s="230">
        <f t="shared" si="4"/>
        <v>1194.2909999999999</v>
      </c>
      <c r="AC8" s="352">
        <f t="shared" si="4"/>
        <v>345.93799999999999</v>
      </c>
      <c r="AD8" s="352">
        <f t="shared" si="4"/>
        <v>385.36</v>
      </c>
      <c r="AE8" s="352">
        <f t="shared" si="4"/>
        <v>409.084</v>
      </c>
      <c r="AF8" s="352">
        <f t="shared" si="4"/>
        <v>448.84700000000004</v>
      </c>
      <c r="AG8" s="230">
        <f t="shared" si="4"/>
        <v>1589.2290000000003</v>
      </c>
      <c r="AH8" s="352">
        <f t="shared" si="4"/>
        <v>479.38499999999999</v>
      </c>
      <c r="AI8" s="352">
        <f t="shared" si="4"/>
        <v>516.149</v>
      </c>
      <c r="AJ8" s="352">
        <f t="shared" si="4"/>
        <v>549.101</v>
      </c>
      <c r="AK8" s="352">
        <f t="shared" si="4"/>
        <v>562.05199999999991</v>
      </c>
      <c r="AL8" s="230">
        <f t="shared" si="4"/>
        <v>2106.6869999999999</v>
      </c>
      <c r="AM8" s="352">
        <f t="shared" si="4"/>
        <v>590.35300000000007</v>
      </c>
      <c r="AN8" s="352">
        <f t="shared" si="4"/>
        <v>608.07899999999995</v>
      </c>
      <c r="AO8" s="352">
        <f t="shared" si="4"/>
        <v>620.56400000000008</v>
      </c>
      <c r="AP8" s="352">
        <f t="shared" si="4"/>
        <v>670.68600000000004</v>
      </c>
      <c r="AQ8" s="230">
        <f t="shared" si="4"/>
        <v>2489.6820000000002</v>
      </c>
      <c r="AR8" s="352">
        <f t="shared" si="4"/>
        <v>657.79899999999998</v>
      </c>
      <c r="AS8" s="352">
        <f t="shared" si="4"/>
        <v>641.68200000000002</v>
      </c>
      <c r="AT8" s="352">
        <f t="shared" si="4"/>
        <v>668.7410000000001</v>
      </c>
      <c r="AU8" s="352">
        <f t="shared" si="4"/>
        <v>681.68600000000004</v>
      </c>
      <c r="AV8" s="230">
        <f t="shared" si="4"/>
        <v>2649.9080000000004</v>
      </c>
      <c r="AW8" s="352">
        <f t="shared" si="4"/>
        <v>673.11099999999999</v>
      </c>
      <c r="AX8" s="352">
        <f t="shared" si="4"/>
        <v>711.30100000000004</v>
      </c>
      <c r="AY8" s="352">
        <f t="shared" si="4"/>
        <v>744.72699999999998</v>
      </c>
      <c r="AZ8" s="352">
        <f t="shared" si="4"/>
        <v>746.00200000000007</v>
      </c>
      <c r="BA8" s="230">
        <f t="shared" ref="BA8:DL8" si="5">BA10+BA9+BA11</f>
        <v>2875.1410000000001</v>
      </c>
      <c r="BB8" s="353">
        <f t="shared" si="5"/>
        <v>758.26300000000003</v>
      </c>
      <c r="BC8" s="353">
        <f t="shared" si="5"/>
        <v>785.93299999999999</v>
      </c>
      <c r="BD8" s="353">
        <f t="shared" si="5"/>
        <v>804.18999999999994</v>
      </c>
      <c r="BE8" s="353">
        <f t="shared" si="5"/>
        <v>832.72399999999993</v>
      </c>
      <c r="BF8" s="230">
        <f t="shared" si="5"/>
        <v>3181.1099999999997</v>
      </c>
      <c r="BG8" s="353">
        <f t="shared" si="5"/>
        <v>700.24199999999996</v>
      </c>
      <c r="BH8" s="353">
        <f t="shared" si="5"/>
        <v>807.779</v>
      </c>
      <c r="BI8" s="353">
        <f t="shared" si="5"/>
        <v>813.65199999999993</v>
      </c>
      <c r="BJ8" s="353">
        <f t="shared" si="5"/>
        <v>814.09799999999996</v>
      </c>
      <c r="BK8" s="230">
        <f t="shared" si="5"/>
        <v>3135.7710000000002</v>
      </c>
      <c r="BL8" s="353">
        <f t="shared" si="5"/>
        <v>759.69999999999993</v>
      </c>
      <c r="BM8" s="353">
        <f>BM10+BM9+BM11</f>
        <v>806.6099999999999</v>
      </c>
      <c r="BN8" s="353">
        <f t="shared" si="5"/>
        <v>875.45400000000006</v>
      </c>
      <c r="BO8" s="353">
        <f t="shared" si="5"/>
        <v>897</v>
      </c>
      <c r="BP8" s="230">
        <f>BP10+BP9+BP11</f>
        <v>3339.5639999999999</v>
      </c>
      <c r="BQ8" s="353">
        <f t="shared" si="5"/>
        <v>771</v>
      </c>
      <c r="BR8" s="353">
        <f t="shared" si="5"/>
        <v>849</v>
      </c>
      <c r="BS8" s="353">
        <f t="shared" si="5"/>
        <v>903</v>
      </c>
      <c r="BT8" s="353">
        <f t="shared" si="5"/>
        <v>936</v>
      </c>
      <c r="BU8" s="230">
        <f t="shared" si="5"/>
        <v>3459</v>
      </c>
      <c r="BV8" s="353">
        <f t="shared" si="5"/>
        <v>898</v>
      </c>
      <c r="BW8" s="353">
        <f t="shared" si="5"/>
        <v>942</v>
      </c>
      <c r="BX8" s="353">
        <f t="shared" si="5"/>
        <v>858</v>
      </c>
      <c r="BY8" s="353">
        <f t="shared" si="5"/>
        <v>868</v>
      </c>
      <c r="BZ8" s="230">
        <f t="shared" si="5"/>
        <v>3566</v>
      </c>
      <c r="CA8" s="353">
        <f t="shared" si="5"/>
        <v>714</v>
      </c>
      <c r="CB8" s="353">
        <f t="shared" si="5"/>
        <v>812</v>
      </c>
      <c r="CC8" s="353">
        <f t="shared" si="5"/>
        <v>811</v>
      </c>
      <c r="CD8" s="353">
        <f t="shared" si="5"/>
        <v>797</v>
      </c>
      <c r="CE8" s="230">
        <f t="shared" si="5"/>
        <v>3134</v>
      </c>
      <c r="CF8" s="353">
        <f t="shared" si="5"/>
        <v>684.69269523390346</v>
      </c>
      <c r="CG8" s="353">
        <f t="shared" si="5"/>
        <v>703.73299344828968</v>
      </c>
      <c r="CH8" s="353">
        <f t="shared" si="5"/>
        <v>714.57905952770909</v>
      </c>
      <c r="CI8" s="353">
        <f t="shared" si="5"/>
        <v>659.6684890435813</v>
      </c>
      <c r="CJ8" s="230">
        <f t="shared" si="5"/>
        <v>2762.6732372534834</v>
      </c>
      <c r="CK8" s="353">
        <f t="shared" si="5"/>
        <v>618.26824470121369</v>
      </c>
      <c r="CL8" s="353">
        <f t="shared" si="5"/>
        <v>654.75185216523903</v>
      </c>
      <c r="CM8" s="353">
        <f t="shared" si="5"/>
        <v>685.29939902482533</v>
      </c>
      <c r="CN8" s="353">
        <f t="shared" si="5"/>
        <v>640.7955498628686</v>
      </c>
      <c r="CO8" s="230">
        <f t="shared" si="5"/>
        <v>2599.1150457541471</v>
      </c>
      <c r="CP8" s="353">
        <f t="shared" si="5"/>
        <v>538.6431762889431</v>
      </c>
      <c r="CQ8" s="353">
        <f t="shared" si="5"/>
        <v>578.12352396466008</v>
      </c>
      <c r="CR8" s="353">
        <f t="shared" si="5"/>
        <v>613.12461547493251</v>
      </c>
      <c r="CS8" s="353">
        <f t="shared" si="5"/>
        <v>576.35831227058986</v>
      </c>
      <c r="CT8" s="230">
        <f t="shared" si="5"/>
        <v>2306.2496279991256</v>
      </c>
      <c r="CU8" s="353">
        <f t="shared" si="5"/>
        <v>57.08109635982099</v>
      </c>
      <c r="CV8" s="353">
        <f t="shared" si="5"/>
        <v>60.963172060114438</v>
      </c>
      <c r="CW8" s="353">
        <f t="shared" si="5"/>
        <v>63.944657090307821</v>
      </c>
      <c r="CX8" s="353">
        <f t="shared" si="5"/>
        <v>60.044556347718277</v>
      </c>
      <c r="CY8" s="230">
        <f t="shared" si="5"/>
        <v>242.03348185796156</v>
      </c>
      <c r="CZ8" s="353">
        <f t="shared" si="5"/>
        <v>2.4466641950722217</v>
      </c>
      <c r="DA8" s="353">
        <f t="shared" si="5"/>
        <v>2.4383279432408393</v>
      </c>
      <c r="DB8" s="353">
        <f t="shared" si="5"/>
        <v>2.1443195561532522</v>
      </c>
      <c r="DC8" s="353">
        <f t="shared" si="5"/>
        <v>1.9749698657565828</v>
      </c>
      <c r="DD8" s="230">
        <f t="shared" si="5"/>
        <v>9.0042815602228963</v>
      </c>
      <c r="DE8" s="353">
        <f t="shared" si="5"/>
        <v>1.1224199114194675</v>
      </c>
      <c r="DF8" s="353">
        <f t="shared" si="5"/>
        <v>1.118247909748088</v>
      </c>
      <c r="DG8" s="353">
        <f t="shared" si="5"/>
        <v>0.97175998313918655</v>
      </c>
      <c r="DH8" s="353">
        <f t="shared" si="5"/>
        <v>0.89608469510086264</v>
      </c>
      <c r="DI8" s="230">
        <f t="shared" si="5"/>
        <v>4.1085124994076052</v>
      </c>
      <c r="DJ8" s="353">
        <f t="shared" si="5"/>
        <v>0.54894380659701547</v>
      </c>
      <c r="DK8" s="353">
        <f t="shared" si="5"/>
        <v>0.54752645551668777</v>
      </c>
      <c r="DL8" s="353">
        <f t="shared" si="5"/>
        <v>0.47500402114224782</v>
      </c>
      <c r="DM8" s="353">
        <f t="shared" ref="DM8:ER8" si="6">DM10+DM9+DM11</f>
        <v>0.43844794738640691</v>
      </c>
      <c r="DN8" s="230">
        <f t="shared" si="6"/>
        <v>2.0099222306423581</v>
      </c>
      <c r="DO8" s="353">
        <f t="shared" si="6"/>
        <v>0.27262391831974786</v>
      </c>
      <c r="DP8" s="353">
        <f t="shared" si="6"/>
        <v>0.27218356083230555</v>
      </c>
      <c r="DQ8" s="353">
        <f t="shared" si="6"/>
        <v>0.23619603728597796</v>
      </c>
      <c r="DR8" s="353">
        <f t="shared" si="6"/>
        <v>0.21815807514515842</v>
      </c>
      <c r="DS8" s="230">
        <f t="shared" si="6"/>
        <v>0.99916159158318996</v>
      </c>
      <c r="DT8" s="353">
        <f t="shared" si="6"/>
        <v>0.13594467339742078</v>
      </c>
      <c r="DU8" s="353">
        <f t="shared" si="6"/>
        <v>0.1358115807976753</v>
      </c>
      <c r="DV8" s="353">
        <f t="shared" si="6"/>
        <v>0.11790545161376235</v>
      </c>
      <c r="DW8" s="353">
        <f t="shared" si="6"/>
        <v>0.10894365243544625</v>
      </c>
      <c r="DX8" s="230">
        <f t="shared" si="6"/>
        <v>0.49860535824430474</v>
      </c>
      <c r="DY8" s="353">
        <f t="shared" si="6"/>
        <v>6.7881490902173436E-2</v>
      </c>
      <c r="DZ8" s="353">
        <f t="shared" si="6"/>
        <v>6.7841634034049705E-2</v>
      </c>
      <c r="EA8" s="353">
        <f t="shared" si="6"/>
        <v>5.8915314419092972E-2</v>
      </c>
      <c r="EB8" s="353">
        <f t="shared" si="6"/>
        <v>5.4450002468195438E-2</v>
      </c>
      <c r="EC8" s="230">
        <f t="shared" si="6"/>
        <v>0.24908844182351156</v>
      </c>
      <c r="ED8" s="353">
        <f t="shared" si="6"/>
        <v>3.3915558859020159E-2</v>
      </c>
      <c r="EE8" s="353">
        <f t="shared" si="6"/>
        <v>3.3903660800977467E-2</v>
      </c>
      <c r="EF8" s="353">
        <f t="shared" si="6"/>
        <v>2.9448537015337412E-2</v>
      </c>
      <c r="EG8" s="353">
        <f t="shared" si="6"/>
        <v>2.7220379560104098E-2</v>
      </c>
      <c r="EH8" s="230">
        <f t="shared" si="6"/>
        <v>0.12448813623543915</v>
      </c>
      <c r="EI8" s="353">
        <f t="shared" si="6"/>
        <v>1.6950464492191283E-2</v>
      </c>
      <c r="EJ8" s="353">
        <f t="shared" si="6"/>
        <v>1.6946916661686542E-2</v>
      </c>
      <c r="EK8" s="353">
        <f t="shared" si="6"/>
        <v>1.4721756541218029E-2</v>
      </c>
      <c r="EL8" s="353">
        <f t="shared" si="6"/>
        <v>1.360900365109694E-2</v>
      </c>
      <c r="EM8" s="230">
        <f t="shared" si="6"/>
        <v>6.2228141346192797E-2</v>
      </c>
      <c r="EN8" s="353">
        <f t="shared" si="6"/>
        <v>8.4730715994218078E-3</v>
      </c>
      <c r="EO8" s="353">
        <f t="shared" si="6"/>
        <v>8.4720141276809057E-3</v>
      </c>
      <c r="EP8" s="353">
        <f t="shared" si="6"/>
        <v>7.3601505692794085E-3</v>
      </c>
      <c r="EQ8" s="353">
        <f t="shared" si="6"/>
        <v>6.8041677594465602E-3</v>
      </c>
      <c r="ER8" s="230">
        <f t="shared" si="6"/>
        <v>3.1109404055828686E-2</v>
      </c>
    </row>
    <row r="9" spans="2:148">
      <c r="B9" s="231" t="s">
        <v>723</v>
      </c>
      <c r="D9" s="297"/>
      <c r="E9" s="297"/>
      <c r="F9" s="297"/>
      <c r="G9" s="297"/>
      <c r="I9" s="297"/>
      <c r="J9" s="297"/>
      <c r="K9" s="297"/>
      <c r="L9" s="297"/>
      <c r="N9" s="297"/>
      <c r="O9" s="297"/>
      <c r="P9" s="297">
        <v>18.167999999999999</v>
      </c>
      <c r="Q9" s="297">
        <v>49.618000000000002</v>
      </c>
      <c r="R9" s="116">
        <f>+Q9+P9+O9+N9</f>
        <v>67.786000000000001</v>
      </c>
      <c r="S9" s="297">
        <v>88.707999999999998</v>
      </c>
      <c r="T9" s="297">
        <v>111.73099999999999</v>
      </c>
      <c r="U9" s="297">
        <v>140.00399999999999</v>
      </c>
      <c r="V9" s="297">
        <v>149.35900000000001</v>
      </c>
      <c r="W9" s="116">
        <f>+V9+U9+T9+S9</f>
        <v>489.80200000000002</v>
      </c>
      <c r="X9" s="297">
        <v>179.79</v>
      </c>
      <c r="Y9" s="297">
        <v>207.738</v>
      </c>
      <c r="Z9" s="297">
        <v>201.482</v>
      </c>
      <c r="AA9" s="297">
        <v>196.291</v>
      </c>
      <c r="AB9" s="116">
        <f>+AA9+Z9+Y9+X9</f>
        <v>785.30099999999993</v>
      </c>
      <c r="AC9" s="297">
        <v>186.78800000000001</v>
      </c>
      <c r="AD9" s="297">
        <v>186.256</v>
      </c>
      <c r="AE9" s="297">
        <v>206.68100000000001</v>
      </c>
      <c r="AF9" s="297">
        <v>209.98400000000001</v>
      </c>
      <c r="AG9" s="116">
        <f>+AF9+AE9+AD9+AC9</f>
        <v>789.70900000000006</v>
      </c>
      <c r="AH9" s="297">
        <v>238.53200000000001</v>
      </c>
      <c r="AI9" s="297">
        <v>236.40199999999999</v>
      </c>
      <c r="AJ9" s="297">
        <v>262.065</v>
      </c>
      <c r="AK9" s="297">
        <v>255.101</v>
      </c>
      <c r="AL9" s="116">
        <f>+AK9+AJ9+AI9+AH9</f>
        <v>992.1</v>
      </c>
      <c r="AM9" s="297">
        <v>280.99700000000001</v>
      </c>
      <c r="AN9" s="297">
        <v>285.68799999999999</v>
      </c>
      <c r="AO9" s="297">
        <v>292.91800000000001</v>
      </c>
      <c r="AP9" s="297">
        <v>318.14600000000002</v>
      </c>
      <c r="AQ9" s="116">
        <f>+AP9+AO9+AN9+AM9</f>
        <v>1177.749</v>
      </c>
      <c r="AR9" s="297">
        <v>326.81700000000001</v>
      </c>
      <c r="AS9" s="297">
        <v>317.52199999999999</v>
      </c>
      <c r="AT9" s="297">
        <v>325.54500000000002</v>
      </c>
      <c r="AU9" s="297">
        <v>339.04700000000003</v>
      </c>
      <c r="AV9" s="116">
        <f>+AU9+AT9+AS9+AR9</f>
        <v>1308.931</v>
      </c>
      <c r="AW9" s="297">
        <v>320.113</v>
      </c>
      <c r="AX9" s="297">
        <v>334.06400000000002</v>
      </c>
      <c r="AY9" s="297">
        <v>357.66</v>
      </c>
      <c r="AZ9" s="297">
        <v>373.57400000000001</v>
      </c>
      <c r="BA9" s="116">
        <f>SUM(AW9:AZ9)</f>
        <v>1385.4110000000001</v>
      </c>
      <c r="BB9" s="298">
        <v>373.32600000000002</v>
      </c>
      <c r="BC9" s="298">
        <v>393.01299999999998</v>
      </c>
      <c r="BD9" s="298">
        <v>414.452</v>
      </c>
      <c r="BE9" s="298">
        <v>431.71499999999997</v>
      </c>
      <c r="BF9" s="116">
        <f>SUM(BB9:BE9)</f>
        <v>1612.5059999999999</v>
      </c>
      <c r="BG9" s="298">
        <v>307.86099999999999</v>
      </c>
      <c r="BH9" s="298">
        <v>415.541</v>
      </c>
      <c r="BI9" s="298">
        <v>430.173</v>
      </c>
      <c r="BJ9" s="299">
        <v>416.50200000000001</v>
      </c>
      <c r="BK9" s="116">
        <f>SUM(BG9:BJ9)</f>
        <v>1570.077</v>
      </c>
      <c r="BL9" s="299">
        <v>367.78199999999998</v>
      </c>
      <c r="BM9" s="299">
        <v>399.57</v>
      </c>
      <c r="BN9" s="299">
        <v>471.16199999999998</v>
      </c>
      <c r="BO9" s="299">
        <v>548</v>
      </c>
      <c r="BP9" s="116">
        <f>SUM(BL9:BO9)</f>
        <v>1786.5139999999999</v>
      </c>
      <c r="BQ9" s="299">
        <v>409</v>
      </c>
      <c r="BR9" s="299">
        <v>500</v>
      </c>
      <c r="BS9" s="299">
        <v>561</v>
      </c>
      <c r="BT9" s="299">
        <v>587</v>
      </c>
      <c r="BU9" s="116">
        <f>SUM(BQ9:BT9)</f>
        <v>2057</v>
      </c>
      <c r="BV9" s="299">
        <v>576</v>
      </c>
      <c r="BW9" s="299">
        <v>631</v>
      </c>
      <c r="BX9" s="299">
        <v>573</v>
      </c>
      <c r="BY9" s="299">
        <v>604</v>
      </c>
      <c r="BZ9" s="696">
        <f>SUM(BV9:BY9)</f>
        <v>2384</v>
      </c>
      <c r="CA9" s="299">
        <v>464</v>
      </c>
      <c r="CB9" s="299">
        <v>567</v>
      </c>
      <c r="CC9" s="299">
        <v>604</v>
      </c>
      <c r="CD9" s="996">
        <v>631</v>
      </c>
      <c r="CE9" s="116">
        <f>SUM(CA9:CD9)</f>
        <v>2266</v>
      </c>
      <c r="CF9" s="299">
        <v>575</v>
      </c>
      <c r="CG9" s="298">
        <f>(CB9/CE9)*CJ9</f>
        <v>619.04029821438621</v>
      </c>
      <c r="CH9" s="298">
        <f>(CC9/CE9)*CJ9</f>
        <v>659.43622596382579</v>
      </c>
      <c r="CI9" s="298">
        <f>CJ9-CF9-CG9-CH9</f>
        <v>620.50110501720064</v>
      </c>
      <c r="CJ9" s="116">
        <f>'HIV Model'!AO160</f>
        <v>2473.9776291954126</v>
      </c>
      <c r="CK9" s="298">
        <f>(CF9/CJ9)*CO9</f>
        <v>577.64424272177928</v>
      </c>
      <c r="CL9" s="298">
        <f>(CG9/CJ9)*CO9</f>
        <v>621.88706830663227</v>
      </c>
      <c r="CM9" s="298">
        <f>(CH9/CJ9)*CO9</f>
        <v>662.4687641220562</v>
      </c>
      <c r="CN9" s="298">
        <f>(CI9/CJ9)*CO9</f>
        <v>623.354592896849</v>
      </c>
      <c r="CO9" s="116">
        <f>'HIV Model'!AP160</f>
        <v>2485.3546680473169</v>
      </c>
      <c r="CP9" s="298">
        <f>(CK9/CO9)*CT9</f>
        <v>527.2597005566189</v>
      </c>
      <c r="CQ9" s="298">
        <f>(CL9/CO9)*CT9</f>
        <v>567.64348220695194</v>
      </c>
      <c r="CR9" s="298">
        <f>(CM9/CO9)*CT9</f>
        <v>604.68547310934559</v>
      </c>
      <c r="CS9" s="298">
        <f>(CN9/CO9)*CT9</f>
        <v>568.98300317638325</v>
      </c>
      <c r="CT9" s="116">
        <f>'HIV Model'!AQ160</f>
        <v>2268.5716590492998</v>
      </c>
      <c r="CU9" s="298">
        <f>(CP9/CT9)*CY9</f>
        <v>52.359750362985068</v>
      </c>
      <c r="CV9" s="298">
        <f>(CQ9/CT9)*CY9</f>
        <v>56.370079094144515</v>
      </c>
      <c r="CW9" s="298">
        <f>(CR9/CT9)*CY9</f>
        <v>60.04854986395641</v>
      </c>
      <c r="CX9" s="298">
        <f>(CS9/CT9)*CY9</f>
        <v>56.503100797664366</v>
      </c>
      <c r="CY9" s="116">
        <f>'HIV Model'!AR160</f>
        <v>225.28148011875038</v>
      </c>
      <c r="CZ9" s="298">
        <f>(CU9/CY9)*DD9</f>
        <v>0.20602296423796951</v>
      </c>
      <c r="DA9" s="298">
        <f>(CV9/CY9)*DD9</f>
        <v>0.22180263864501651</v>
      </c>
      <c r="DB9" s="298">
        <f>(CW9/CY9)*DD9</f>
        <v>0.23627653217211633</v>
      </c>
      <c r="DC9" s="298">
        <f>(CX9/CY9)*DD9</f>
        <v>0.22232604690187707</v>
      </c>
      <c r="DD9" s="116">
        <f>'HIV Model'!AS160</f>
        <v>0.88642818195697948</v>
      </c>
      <c r="DE9" s="298">
        <f>(CZ9/DD9)*DI9</f>
        <v>2.0944620376881783E-2</v>
      </c>
      <c r="DF9" s="298">
        <f>(DA9/DD9)*DI9</f>
        <v>2.25488070332035E-2</v>
      </c>
      <c r="DG9" s="298">
        <f>(DB9/DD9)*DI9</f>
        <v>2.4020245940132121E-2</v>
      </c>
      <c r="DH9" s="298">
        <f>(DC9/DD9)*DI9</f>
        <v>2.260201754438422E-2</v>
      </c>
      <c r="DI9" s="116">
        <f>'HIV Model'!AT160</f>
        <v>9.0115690894601627E-2</v>
      </c>
      <c r="DJ9" s="298">
        <f>(DE9/DI9)*DN9</f>
        <v>2.12916129197032E-3</v>
      </c>
      <c r="DK9" s="298">
        <f>(DF9/DI9)*DN9</f>
        <v>2.292237636744061E-3</v>
      </c>
      <c r="DL9" s="298">
        <f>(DG9/DI9)*DN9</f>
        <v>2.4418192814698635E-3</v>
      </c>
      <c r="DM9" s="298">
        <f>(DH9/DI9)*DN9</f>
        <v>2.2976468424824948E-3</v>
      </c>
      <c r="DN9" s="116">
        <f>'HIV Model'!AU160</f>
        <v>9.1608650526667397E-3</v>
      </c>
      <c r="DO9" s="298">
        <f>(DJ9/DN9)*DS9</f>
        <v>2.1643328336915188E-4</v>
      </c>
      <c r="DP9" s="298">
        <f>(DK9/DN9)*DS9</f>
        <v>2.3301030309627577E-4</v>
      </c>
      <c r="DQ9" s="298">
        <f>(DL9/DN9)*DS9</f>
        <v>2.4821556097028317E-4</v>
      </c>
      <c r="DR9" s="298">
        <f>(DM9/DN9)*DS9</f>
        <v>2.3356015911836468E-4</v>
      </c>
      <c r="DS9" s="116">
        <f>'HIV Model'!AV160</f>
        <v>9.3121930655407558E-4</v>
      </c>
      <c r="DT9" s="298">
        <f>(DO9/DS9)*DX9</f>
        <v>2.1999821457129668E-5</v>
      </c>
      <c r="DU9" s="298">
        <f>(DP9/DS9)*DX9</f>
        <v>2.3684827887799662E-5</v>
      </c>
      <c r="DV9" s="298">
        <f>(DQ9/DS9)*DX9</f>
        <v>2.5230398667074065E-5</v>
      </c>
      <c r="DW9" s="298">
        <f>(DR9/DS9)*DX9</f>
        <v>2.3740719172747972E-5</v>
      </c>
      <c r="DX9" s="116">
        <f>'HIV Model'!AW160</f>
        <v>9.4655767184751376E-5</v>
      </c>
      <c r="DY9" s="298">
        <f>(DT9/DX9)*EC9</f>
        <v>2.2361147657441351E-6</v>
      </c>
      <c r="DZ9" s="298">
        <f>(DU9/DX9)*EC9</f>
        <v>2.4073828720484212E-6</v>
      </c>
      <c r="EA9" s="298">
        <f>(DV9/DX9)*EC9</f>
        <v>2.5644784033813866E-6</v>
      </c>
      <c r="EB9" s="298">
        <f>(DW9/DX9)*EC9</f>
        <v>2.4130637966774173E-6</v>
      </c>
      <c r="EC9" s="116">
        <f>'HIV Model'!AX160</f>
        <v>9.6210398378513607E-6</v>
      </c>
      <c r="ED9" s="298">
        <f>(DY9/EC9)*EH9</f>
        <v>2.2727362867978383E-7</v>
      </c>
      <c r="EE9" s="298">
        <f>(DZ9/EC9)*EH9</f>
        <v>2.4468093021599841E-7</v>
      </c>
      <c r="EF9" s="298">
        <f>(EA9/EC9)*EH9</f>
        <v>2.606477634046967E-7</v>
      </c>
      <c r="EG9" s="298">
        <f>(EB9/EC9)*EH9</f>
        <v>2.4525832649926062E-7</v>
      </c>
      <c r="EH9" s="116">
        <f>'HIV Model'!AY160</f>
        <v>9.7786064879973967E-7</v>
      </c>
      <c r="EI9" s="298">
        <f>(ED9/EH9)*EM9</f>
        <v>2.309852357647867E-8</v>
      </c>
      <c r="EJ9" s="298">
        <f>(EE9/EH9)*EM9</f>
        <v>2.4867681605383287E-8</v>
      </c>
      <c r="EK9" s="298">
        <f>(EF9/EH9)*EM9</f>
        <v>2.6490440369755738E-8</v>
      </c>
      <c r="EL9" s="298">
        <f>(EG9/EH9)*EM9</f>
        <v>2.4926364179949355E-8</v>
      </c>
      <c r="EM9" s="116">
        <f>'HIV Model'!AZ160</f>
        <v>9.938300973156706E-8</v>
      </c>
      <c r="EN9" s="298">
        <f>(EI9/EM9)*ER9</f>
        <v>2.3474686832891942E-9</v>
      </c>
      <c r="EO9" s="298">
        <f>(EJ9/EM9)*ER9</f>
        <v>2.5272655891343928E-9</v>
      </c>
      <c r="EP9" s="298">
        <f>(EK9/EM9)*ER9</f>
        <v>2.6921841549156492E-9</v>
      </c>
      <c r="EQ9" s="298">
        <f>(EL9/EM9)*ER9</f>
        <v>2.5332294121290756E-9</v>
      </c>
      <c r="ER9" s="116">
        <f>'HIV Model'!BA160</f>
        <v>1.0100147839468313E-8</v>
      </c>
    </row>
    <row r="10" spans="2:148">
      <c r="B10" s="231" t="s">
        <v>919</v>
      </c>
      <c r="D10" s="297"/>
      <c r="E10" s="297"/>
      <c r="F10" s="297"/>
      <c r="G10" s="297"/>
      <c r="I10" s="297"/>
      <c r="J10" s="297"/>
      <c r="K10" s="297"/>
      <c r="L10" s="297"/>
      <c r="N10" s="297"/>
      <c r="O10" s="297"/>
      <c r="P10" s="297">
        <v>3.9E-2</v>
      </c>
      <c r="Q10" s="297">
        <v>3.9E-2</v>
      </c>
      <c r="R10" s="116">
        <f>+Q10+P10+O10+N10</f>
        <v>7.8E-2</v>
      </c>
      <c r="S10" s="297">
        <v>2.4590000000000001</v>
      </c>
      <c r="T10" s="297">
        <v>11.379</v>
      </c>
      <c r="U10" s="297">
        <v>22.399000000000001</v>
      </c>
      <c r="V10" s="297">
        <v>41.79</v>
      </c>
      <c r="W10" s="116">
        <f>+V10+U10+T10+S10</f>
        <v>78.027000000000001</v>
      </c>
      <c r="X10" s="297">
        <v>65.298000000000002</v>
      </c>
      <c r="Y10" s="297">
        <v>87.79</v>
      </c>
      <c r="Z10" s="297">
        <v>100.544</v>
      </c>
      <c r="AA10" s="297">
        <v>127.066</v>
      </c>
      <c r="AB10" s="116">
        <f>+AA10+Z10+Y10+X10</f>
        <v>380.69800000000004</v>
      </c>
      <c r="AC10" s="297">
        <f>145.207</f>
        <v>145.20699999999999</v>
      </c>
      <c r="AD10" s="297">
        <v>172.77600000000001</v>
      </c>
      <c r="AE10" s="297">
        <v>183.01599999999999</v>
      </c>
      <c r="AF10" s="297">
        <v>210.65</v>
      </c>
      <c r="AG10" s="116">
        <f>+AF10+AE10+AD10+AC10</f>
        <v>711.649</v>
      </c>
      <c r="AH10" s="297">
        <v>218.36699999999999</v>
      </c>
      <c r="AI10" s="297">
        <v>240.911</v>
      </c>
      <c r="AJ10" s="297">
        <v>257.315</v>
      </c>
      <c r="AK10" s="297">
        <v>270.05500000000001</v>
      </c>
      <c r="AL10" s="116">
        <f>+AK10+AJ10+AI10+AH10</f>
        <v>986.64799999999991</v>
      </c>
      <c r="AM10" s="297">
        <v>278.44</v>
      </c>
      <c r="AN10" s="297">
        <v>287.77699999999999</v>
      </c>
      <c r="AO10" s="297">
        <v>292.81900000000002</v>
      </c>
      <c r="AP10" s="297">
        <v>310.55500000000001</v>
      </c>
      <c r="AQ10" s="116">
        <f>+AP10+AO10+AN10+AM10</f>
        <v>1169.5910000000001</v>
      </c>
      <c r="AR10" s="297">
        <v>297.52800000000002</v>
      </c>
      <c r="AS10" s="297">
        <v>278.37299999999999</v>
      </c>
      <c r="AT10" s="297">
        <v>292.02800000000002</v>
      </c>
      <c r="AU10" s="297">
        <v>303.42200000000003</v>
      </c>
      <c r="AV10" s="116">
        <f>+AU10+AT10+AS10+AR10</f>
        <v>1171.3510000000001</v>
      </c>
      <c r="AW10" s="297">
        <v>299.15600000000001</v>
      </c>
      <c r="AX10" s="297">
        <v>322.00700000000001</v>
      </c>
      <c r="AY10" s="297">
        <v>319.149</v>
      </c>
      <c r="AZ10" s="297">
        <v>316.95299999999997</v>
      </c>
      <c r="BA10" s="116">
        <f>SUM(AW10:AZ10)</f>
        <v>1257.2649999999999</v>
      </c>
      <c r="BB10" s="298">
        <v>321.87599999999998</v>
      </c>
      <c r="BC10" s="298">
        <v>328.81400000000002</v>
      </c>
      <c r="BD10" s="298">
        <v>329.93599999999998</v>
      </c>
      <c r="BE10" s="298">
        <v>334.90699999999998</v>
      </c>
      <c r="BF10" s="116">
        <f>SUM(BB10:BE10)</f>
        <v>1315.5329999999999</v>
      </c>
      <c r="BG10" s="298">
        <v>332.02699999999999</v>
      </c>
      <c r="BH10" s="298">
        <v>324.99200000000002</v>
      </c>
      <c r="BI10" s="298">
        <v>313.96300000000002</v>
      </c>
      <c r="BJ10" s="299">
        <v>324.59399999999999</v>
      </c>
      <c r="BK10" s="116">
        <f>SUM(BG10:BJ10)</f>
        <v>1295.576</v>
      </c>
      <c r="BL10" s="299">
        <v>323.18599999999998</v>
      </c>
      <c r="BM10" s="299">
        <v>337.98099999999999</v>
      </c>
      <c r="BN10" s="299">
        <v>326.34500000000003</v>
      </c>
      <c r="BO10" s="299">
        <v>287</v>
      </c>
      <c r="BP10" s="116">
        <f>SUM(BL10:BO10)+0.4</f>
        <v>1274.912</v>
      </c>
      <c r="BQ10" s="299">
        <v>301</v>
      </c>
      <c r="BR10" s="299">
        <v>277</v>
      </c>
      <c r="BS10" s="299">
        <v>268</v>
      </c>
      <c r="BT10" s="299">
        <v>272</v>
      </c>
      <c r="BU10" s="116">
        <f>SUM(BQ10:BT10)</f>
        <v>1118</v>
      </c>
      <c r="BV10" s="299">
        <v>251</v>
      </c>
      <c r="BW10" s="299">
        <v>245</v>
      </c>
      <c r="BX10" s="299">
        <v>217</v>
      </c>
      <c r="BY10" s="299">
        <v>200</v>
      </c>
      <c r="BZ10" s="696">
        <f>SUM(BV10:BY10)</f>
        <v>913</v>
      </c>
      <c r="CA10" s="299">
        <v>189</v>
      </c>
      <c r="CB10" s="299">
        <v>184</v>
      </c>
      <c r="CC10" s="299">
        <v>154</v>
      </c>
      <c r="CD10" s="996">
        <v>117</v>
      </c>
      <c r="CE10" s="116">
        <f t="shared" ref="CE10:CE11" si="7">SUM(CA10:CD10)</f>
        <v>644</v>
      </c>
      <c r="CF10" s="298">
        <v>75</v>
      </c>
      <c r="CG10" s="298">
        <v>50</v>
      </c>
      <c r="CH10" s="298">
        <v>25</v>
      </c>
      <c r="CI10" s="298">
        <f>CJ10-CF10-CG10-CH10</f>
        <v>11.299481297507469</v>
      </c>
      <c r="CJ10" s="116">
        <f>'HIV Model'!AO373</f>
        <v>161.29948129750747</v>
      </c>
      <c r="CK10" s="298">
        <f>(CF10/CJ10)*CO10</f>
        <v>23.277654362482686</v>
      </c>
      <c r="CL10" s="298">
        <f>(CG10/CJ10)*CO10</f>
        <v>15.518436241655124</v>
      </c>
      <c r="CM10" s="298">
        <f>(CH10/CJ10)*CO10</f>
        <v>7.7592181208275619</v>
      </c>
      <c r="CN10" s="298">
        <f>(CI10/CJ10)*CO10</f>
        <v>3.5070056015828834</v>
      </c>
      <c r="CO10" s="116">
        <f>'HIV Model'!AP373</f>
        <v>50.062314326548254</v>
      </c>
      <c r="CP10" s="298">
        <f>(CK10/CO10)*CT10</f>
        <v>2.7103019238482871</v>
      </c>
      <c r="CQ10" s="298">
        <f>(CL10/CO10)*CT10</f>
        <v>1.8068679492321915</v>
      </c>
      <c r="CR10" s="298">
        <f>(CM10/CO10)*CT10</f>
        <v>0.90343397461609576</v>
      </c>
      <c r="CS10" s="298">
        <f>(CN10/CO10)*CT10</f>
        <v>0.40833341198829648</v>
      </c>
      <c r="CT10" s="116">
        <f>'HIV Model'!AQ373</f>
        <v>5.8289372596848708</v>
      </c>
      <c r="CU10" s="298">
        <f>(CP10/CT10)*CY10</f>
        <v>0.3847590925979969</v>
      </c>
      <c r="CV10" s="298">
        <f>(CQ10/CT10)*CY10</f>
        <v>0.25650606173199791</v>
      </c>
      <c r="CW10" s="298">
        <f>(CR10/CT10)*CY10</f>
        <v>0.12825303086599896</v>
      </c>
      <c r="CX10" s="298">
        <f>(CS10/CT10)*CY10</f>
        <v>5.7967708944760138E-2</v>
      </c>
      <c r="CY10" s="116">
        <f>'HIV Model'!AR373</f>
        <v>0.82748589414075391</v>
      </c>
      <c r="CZ10" s="298">
        <f>(CU10/CY10)*DD10</f>
        <v>7.2347778715288913E-2</v>
      </c>
      <c r="DA10" s="298">
        <f>(CV10/CY10)*DD10</f>
        <v>4.823185247685928E-2</v>
      </c>
      <c r="DB10" s="298">
        <f>(CW10/CY10)*DD10</f>
        <v>2.411592623842964E-2</v>
      </c>
      <c r="DC10" s="298">
        <f>(CX10/CY10)*DD10</f>
        <v>1.0899898300128214E-2</v>
      </c>
      <c r="DD10" s="116">
        <f>'HIV Model'!AS373</f>
        <v>0.15559545573070604</v>
      </c>
      <c r="DE10" s="298">
        <f>(CZ10/DD10)*DI10</f>
        <v>1.7328564983104127E-2</v>
      </c>
      <c r="DF10" s="298">
        <f>(DA10/DD10)*DI10</f>
        <v>1.1552376655402751E-2</v>
      </c>
      <c r="DG10" s="298">
        <f>(DB10/DD10)*DI10</f>
        <v>5.7761883277013754E-3</v>
      </c>
      <c r="DH10" s="298">
        <f>(DC10/DD10)*DI10</f>
        <v>2.6107172791897055E-3</v>
      </c>
      <c r="DI10" s="116">
        <f>'HIV Model'!AT373</f>
        <v>3.7267847245397959E-2</v>
      </c>
      <c r="DJ10" s="298">
        <f>(DE10/DI10)*DN10</f>
        <v>4.7412822753042814E-3</v>
      </c>
      <c r="DK10" s="298">
        <f>(DF10/DI10)*DN10</f>
        <v>3.1608548502028541E-3</v>
      </c>
      <c r="DL10" s="298">
        <f>(DG10/DI10)*DN10</f>
        <v>1.5804274251014271E-3</v>
      </c>
      <c r="DM10" s="298">
        <f>(DH10/DI10)*DN10</f>
        <v>7.143204052800586E-4</v>
      </c>
      <c r="DN10" s="116">
        <f>'HIV Model'!AU373</f>
        <v>1.0196884955888622E-2</v>
      </c>
      <c r="DO10" s="298">
        <f>(DJ10/DN10)*DS10</f>
        <v>1.3708035215082947E-3</v>
      </c>
      <c r="DP10" s="298">
        <f>(DK10/DN10)*DS10</f>
        <v>9.138690143388632E-4</v>
      </c>
      <c r="DQ10" s="298">
        <f>(DL10/DN10)*DS10</f>
        <v>4.569345071694316E-4</v>
      </c>
      <c r="DR10" s="298">
        <f>(DM10/DN10)*DS10</f>
        <v>2.065249167178714E-4</v>
      </c>
      <c r="DS10" s="116">
        <f>'HIV Model'!AV373</f>
        <v>2.9481319597344608E-3</v>
      </c>
      <c r="DT10" s="298">
        <f>(DO10/DS10)*DX10</f>
        <v>4.0433281852844335E-4</v>
      </c>
      <c r="DU10" s="298">
        <f>(DP10/DS10)*DX10</f>
        <v>2.6955521235229557E-4</v>
      </c>
      <c r="DV10" s="298">
        <f>(DQ10/DS10)*DX10</f>
        <v>1.3477760617614778E-4</v>
      </c>
      <c r="DW10" s="298">
        <f>(DR10/DS10)*DX10</f>
        <v>6.0916681612408365E-5</v>
      </c>
      <c r="DX10" s="116">
        <f>'HIV Model'!AW373</f>
        <v>8.6958231866929509E-4</v>
      </c>
      <c r="DY10" s="298">
        <f>(DT10/DX10)*EC10</f>
        <v>1.2008440869008224E-4</v>
      </c>
      <c r="DZ10" s="298">
        <f>(DU10/DX10)*EC10</f>
        <v>8.0056272460054823E-5</v>
      </c>
      <c r="EA10" s="298">
        <f>(DV10/DX10)*EC10</f>
        <v>4.0028136230027412E-5</v>
      </c>
      <c r="EB10" s="298">
        <f>(DW10/DX10)*EC10</f>
        <v>1.8091887068211038E-5</v>
      </c>
      <c r="EC10" s="116">
        <f>'HIV Model'!AX373</f>
        <v>2.5826070444837551E-4</v>
      </c>
      <c r="ED10" s="298">
        <f>(DY10/EC10)*EH10</f>
        <v>3.5746396032675058E-5</v>
      </c>
      <c r="EE10" s="298">
        <f>(DZ10/EC10)*EH10</f>
        <v>2.3830930688450041E-5</v>
      </c>
      <c r="EF10" s="298">
        <f>(EA10/EC10)*EH10</f>
        <v>1.191546534422502E-5</v>
      </c>
      <c r="EG10" s="298">
        <f>(EB10/EC10)*EH10</f>
        <v>5.3855431123267608E-6</v>
      </c>
      <c r="EH10" s="116">
        <f>'HIV Model'!AY373</f>
        <v>7.6878335177676878E-5</v>
      </c>
      <c r="EI10" s="298">
        <f>(ED10/EH10)*EM10</f>
        <v>1.064879898830354E-5</v>
      </c>
      <c r="EJ10" s="298">
        <f>(EE10/EH10)*EM10</f>
        <v>7.0991993255356938E-6</v>
      </c>
      <c r="EK10" s="298">
        <f>(EF10/EH10)*EM10</f>
        <v>3.5495996627678469E-6</v>
      </c>
      <c r="EL10" s="298">
        <f>(EG10/EH10)*EM10</f>
        <v>1.6043454001233644E-6</v>
      </c>
      <c r="EM10" s="116">
        <f>'HIV Model'!AZ373</f>
        <v>2.2901943376730445E-5</v>
      </c>
      <c r="EN10" s="298">
        <f>(EI10/EM10)*ER10</f>
        <v>3.1729546134237743E-6</v>
      </c>
      <c r="EO10" s="298">
        <f>(EJ10/EM10)*ER10</f>
        <v>2.1153030756158498E-6</v>
      </c>
      <c r="EP10" s="298">
        <f>(EK10/EM10)*ER10</f>
        <v>1.0576515378079249E-6</v>
      </c>
      <c r="EQ10" s="298">
        <f>(EL10/EM10)*ER10</f>
        <v>4.7803655082962646E-7</v>
      </c>
      <c r="ER10" s="116">
        <f>'HIV Model'!BA373</f>
        <v>6.8239457776771761E-6</v>
      </c>
    </row>
    <row r="11" spans="2:148">
      <c r="B11" s="231" t="s">
        <v>81</v>
      </c>
      <c r="D11" s="297"/>
      <c r="E11" s="297"/>
      <c r="F11" s="297"/>
      <c r="G11" s="297"/>
      <c r="I11" s="297"/>
      <c r="J11" s="297"/>
      <c r="K11" s="297"/>
      <c r="L11" s="297"/>
      <c r="N11" s="297"/>
      <c r="O11" s="297"/>
      <c r="P11" s="297"/>
      <c r="Q11" s="297"/>
      <c r="S11" s="297"/>
      <c r="T11" s="297"/>
      <c r="U11" s="297"/>
      <c r="V11" s="297"/>
      <c r="X11" s="297">
        <v>3.8580000000000001</v>
      </c>
      <c r="Y11" s="297">
        <v>3.7269999999999999</v>
      </c>
      <c r="Z11" s="297">
        <v>7.0069999999999997</v>
      </c>
      <c r="AA11" s="297">
        <v>13.7</v>
      </c>
      <c r="AB11" s="116">
        <f>+AA11+Z11+Y11+X11</f>
        <v>28.292000000000002</v>
      </c>
      <c r="AC11" s="297">
        <v>13.943</v>
      </c>
      <c r="AD11" s="297">
        <v>26.327999999999999</v>
      </c>
      <c r="AE11" s="297">
        <v>19.387</v>
      </c>
      <c r="AF11" s="297">
        <v>28.213000000000001</v>
      </c>
      <c r="AG11" s="116">
        <f>+AF11+AE11+AD11+AC11</f>
        <v>87.870999999999995</v>
      </c>
      <c r="AH11" s="297">
        <v>22.486000000000001</v>
      </c>
      <c r="AI11" s="297">
        <v>38.835999999999999</v>
      </c>
      <c r="AJ11" s="297">
        <v>29.721</v>
      </c>
      <c r="AK11" s="297">
        <v>36.896000000000001</v>
      </c>
      <c r="AL11" s="116">
        <f>+AK11+AJ11+AI11+AH11</f>
        <v>127.93900000000001</v>
      </c>
      <c r="AM11" s="297">
        <v>30.916</v>
      </c>
      <c r="AN11" s="297">
        <v>34.613999999999997</v>
      </c>
      <c r="AO11" s="297">
        <v>34.826999999999998</v>
      </c>
      <c r="AP11" s="297">
        <v>41.984999999999999</v>
      </c>
      <c r="AQ11" s="116">
        <f>+AP11+AO11+AN11+AM11</f>
        <v>142.34199999999998</v>
      </c>
      <c r="AR11" s="297">
        <v>33.454000000000001</v>
      </c>
      <c r="AS11" s="297">
        <v>45.786999999999999</v>
      </c>
      <c r="AT11" s="297">
        <v>51.167999999999999</v>
      </c>
      <c r="AU11" s="297">
        <v>39.216999999999999</v>
      </c>
      <c r="AV11" s="116">
        <f>+AU11+AT11+AS11+AR11</f>
        <v>169.626</v>
      </c>
      <c r="AW11" s="297">
        <v>53.841999999999999</v>
      </c>
      <c r="AX11" s="297">
        <v>55.23</v>
      </c>
      <c r="AY11" s="297">
        <v>67.918000000000006</v>
      </c>
      <c r="AZ11" s="297">
        <v>55.475000000000001</v>
      </c>
      <c r="BA11" s="116">
        <f>SUM(AW11:AZ11)</f>
        <v>232.465</v>
      </c>
      <c r="BB11" s="298">
        <v>63.061</v>
      </c>
      <c r="BC11" s="298">
        <v>64.105999999999995</v>
      </c>
      <c r="BD11" s="298">
        <v>59.802</v>
      </c>
      <c r="BE11" s="298">
        <v>66.102000000000004</v>
      </c>
      <c r="BF11" s="116">
        <f>SUM(BB11:BE11)</f>
        <v>253.071</v>
      </c>
      <c r="BG11" s="298">
        <v>60.353999999999999</v>
      </c>
      <c r="BH11" s="298">
        <v>67.245999999999995</v>
      </c>
      <c r="BI11" s="298">
        <v>69.516000000000005</v>
      </c>
      <c r="BJ11" s="299">
        <v>73.001999999999995</v>
      </c>
      <c r="BK11" s="116">
        <f>SUM(BG11:BJ11)</f>
        <v>270.11799999999999</v>
      </c>
      <c r="BL11" s="299">
        <v>68.731999999999999</v>
      </c>
      <c r="BM11" s="299">
        <v>69.058999999999997</v>
      </c>
      <c r="BN11" s="299">
        <v>77.947000000000003</v>
      </c>
      <c r="BO11" s="299">
        <v>62</v>
      </c>
      <c r="BP11" s="116">
        <f>SUM(BL11:BO11)+0.4</f>
        <v>278.13799999999998</v>
      </c>
      <c r="BQ11" s="299">
        <v>61</v>
      </c>
      <c r="BR11" s="299">
        <v>72</v>
      </c>
      <c r="BS11" s="299">
        <v>74</v>
      </c>
      <c r="BT11" s="299">
        <v>77</v>
      </c>
      <c r="BU11" s="116">
        <f>SUM(BQ11:BT11)</f>
        <v>284</v>
      </c>
      <c r="BV11" s="299">
        <v>71</v>
      </c>
      <c r="BW11" s="299">
        <v>66</v>
      </c>
      <c r="BX11" s="299">
        <v>68</v>
      </c>
      <c r="BY11" s="299">
        <v>64</v>
      </c>
      <c r="BZ11" s="696">
        <f>SUM(BV11:BY11)</f>
        <v>269</v>
      </c>
      <c r="CA11" s="299">
        <v>61</v>
      </c>
      <c r="CB11" s="299">
        <v>61</v>
      </c>
      <c r="CC11" s="299">
        <v>53</v>
      </c>
      <c r="CD11" s="996">
        <v>49</v>
      </c>
      <c r="CE11" s="116">
        <f t="shared" si="7"/>
        <v>224</v>
      </c>
      <c r="CF11" s="298">
        <f>(CA11/CE11)*CJ11</f>
        <v>34.692695233903414</v>
      </c>
      <c r="CG11" s="298">
        <f>(CB11/CE11)*CJ11</f>
        <v>34.692695233903414</v>
      </c>
      <c r="CH11" s="298">
        <f>(CC11/CE11)*CJ11</f>
        <v>30.142833563883297</v>
      </c>
      <c r="CI11" s="298">
        <f>(CD11/CE11)*CJ11</f>
        <v>27.86790272887324</v>
      </c>
      <c r="CJ11" s="116">
        <f>+'HIV Model'!AO436</f>
        <v>127.39612676056338</v>
      </c>
      <c r="CK11" s="298">
        <f>(CF11/CJ11)*CO11</f>
        <v>17.346347616951707</v>
      </c>
      <c r="CL11" s="298">
        <f>(CG11/CJ11)*CO11</f>
        <v>17.346347616951707</v>
      </c>
      <c r="CM11" s="298">
        <f>(CH11/CJ11)*CO11</f>
        <v>15.071416781941648</v>
      </c>
      <c r="CN11" s="298">
        <f>(CI11/CJ11)*CO11</f>
        <v>13.93395136443662</v>
      </c>
      <c r="CO11" s="116">
        <f>+'HIV Model'!AP436</f>
        <v>63.698063380281688</v>
      </c>
      <c r="CP11" s="298">
        <f>(CK11/CO11)*CT11</f>
        <v>8.6731738084758536</v>
      </c>
      <c r="CQ11" s="298">
        <f>(CL11/CO11)*CT11</f>
        <v>8.6731738084758536</v>
      </c>
      <c r="CR11" s="298">
        <f>(CM11/CO11)*CT11</f>
        <v>7.5357083909708242</v>
      </c>
      <c r="CS11" s="298">
        <f>(CN11/CO11)*CT11</f>
        <v>6.96697568221831</v>
      </c>
      <c r="CT11" s="116">
        <f>+'HIV Model'!AQ436</f>
        <v>31.849031690140844</v>
      </c>
      <c r="CU11" s="298">
        <f>(CP11/CT11)*CY11</f>
        <v>4.3365869042379268</v>
      </c>
      <c r="CV11" s="298">
        <f>(CQ11/CT11)*CY11</f>
        <v>4.3365869042379268</v>
      </c>
      <c r="CW11" s="298">
        <f>(CR11/CT11)*CY11</f>
        <v>3.7678541954854121</v>
      </c>
      <c r="CX11" s="298">
        <f>(CS11/CT11)*CY11</f>
        <v>3.483487841109155</v>
      </c>
      <c r="CY11" s="116">
        <f>+'HIV Model'!AR436</f>
        <v>15.924515845070422</v>
      </c>
      <c r="CZ11" s="298">
        <f>(CU11/CY11)*DD11</f>
        <v>2.1682934521189634</v>
      </c>
      <c r="DA11" s="298">
        <f>(CV11/CY11)*DD11</f>
        <v>2.1682934521189634</v>
      </c>
      <c r="DB11" s="298">
        <f>(CW11/CY11)*DD11</f>
        <v>1.8839270977427061</v>
      </c>
      <c r="DC11" s="298">
        <f>(CX11/CY11)*DD11</f>
        <v>1.7417439205545775</v>
      </c>
      <c r="DD11" s="116">
        <f>+'HIV Model'!AS436</f>
        <v>7.962257922535211</v>
      </c>
      <c r="DE11" s="298">
        <f>(CZ11/DD11)*DI11</f>
        <v>1.0841467260594817</v>
      </c>
      <c r="DF11" s="298">
        <f>(DA11/DD11)*DI11</f>
        <v>1.0841467260594817</v>
      </c>
      <c r="DG11" s="298">
        <f>(DB11/DD11)*DI11</f>
        <v>0.94196354887135303</v>
      </c>
      <c r="DH11" s="298">
        <f>(DC11/DD11)*DI11</f>
        <v>0.87087196027728875</v>
      </c>
      <c r="DI11" s="116">
        <f>+'HIV Model'!AT436</f>
        <v>3.9811289612676055</v>
      </c>
      <c r="DJ11" s="298">
        <f>(DE11/DI11)*DN11</f>
        <v>0.54207336302974085</v>
      </c>
      <c r="DK11" s="298">
        <f>(DF11/DI11)*DN11</f>
        <v>0.54207336302974085</v>
      </c>
      <c r="DL11" s="298">
        <f>(DG11/DI11)*DN11</f>
        <v>0.47098177443567651</v>
      </c>
      <c r="DM11" s="298">
        <f>(DH11/DI11)*DN11</f>
        <v>0.43543598013864437</v>
      </c>
      <c r="DN11" s="116">
        <f>+'HIV Model'!AU436</f>
        <v>1.9905644806338028</v>
      </c>
      <c r="DO11" s="298">
        <f>(DJ11/DN11)*DS11</f>
        <v>0.27103668151487043</v>
      </c>
      <c r="DP11" s="298">
        <f>(DK11/DN11)*DS11</f>
        <v>0.27103668151487043</v>
      </c>
      <c r="DQ11" s="298">
        <f>(DL11/DN11)*DS11</f>
        <v>0.23549088721783826</v>
      </c>
      <c r="DR11" s="298">
        <f>(DM11/DN11)*DS11</f>
        <v>0.21771799006932219</v>
      </c>
      <c r="DS11" s="116">
        <f>+'HIV Model'!AV436</f>
        <v>0.99528224031690138</v>
      </c>
      <c r="DT11" s="298">
        <f>(DO11/DS11)*DX11</f>
        <v>0.13551834075743521</v>
      </c>
      <c r="DU11" s="298">
        <f>(DP11/DS11)*DX11</f>
        <v>0.13551834075743521</v>
      </c>
      <c r="DV11" s="298">
        <f>(DQ11/DS11)*DX11</f>
        <v>0.11774544360891913</v>
      </c>
      <c r="DW11" s="298">
        <f>(DR11/DS11)*DX11</f>
        <v>0.10885899503466109</v>
      </c>
      <c r="DX11" s="116">
        <f>+'HIV Model'!AW436</f>
        <v>0.49764112015845069</v>
      </c>
      <c r="DY11" s="298">
        <f>(DT11/DX11)*EC11</f>
        <v>6.7759170378717606E-2</v>
      </c>
      <c r="DZ11" s="298">
        <f>(DU11/DX11)*EC11</f>
        <v>6.7759170378717606E-2</v>
      </c>
      <c r="EA11" s="298">
        <f>(DV11/DX11)*EC11</f>
        <v>5.8872721804459564E-2</v>
      </c>
      <c r="EB11" s="298">
        <f>(DW11/DX11)*EC11</f>
        <v>5.4429497517330547E-2</v>
      </c>
      <c r="EC11" s="116">
        <f>+'HIV Model'!AX436</f>
        <v>0.24882056007922534</v>
      </c>
      <c r="ED11" s="298">
        <f>(DY11/EC11)*EH11</f>
        <v>3.3879585189358803E-2</v>
      </c>
      <c r="EE11" s="298">
        <f>(DZ11/EC11)*EH11</f>
        <v>3.3879585189358803E-2</v>
      </c>
      <c r="EF11" s="298">
        <f>(EA11/EC11)*EH11</f>
        <v>2.9436360902229782E-2</v>
      </c>
      <c r="EG11" s="298">
        <f>(EB11/EC11)*EH11</f>
        <v>2.7214748758665273E-2</v>
      </c>
      <c r="EH11" s="116">
        <f>+'HIV Model'!AY436</f>
        <v>0.12441028003961267</v>
      </c>
      <c r="EI11" s="298">
        <f>(ED11/EH11)*EM11</f>
        <v>1.6939792594679402E-2</v>
      </c>
      <c r="EJ11" s="298">
        <f>(EE11/EH11)*EM11</f>
        <v>1.6939792594679402E-2</v>
      </c>
      <c r="EK11" s="298">
        <f>(EF11/EH11)*EM11</f>
        <v>1.4718180451114891E-2</v>
      </c>
      <c r="EL11" s="298">
        <f>(EG11/EH11)*EM11</f>
        <v>1.3607374379332637E-2</v>
      </c>
      <c r="EM11" s="116">
        <f>+'HIV Model'!AZ436</f>
        <v>6.2205140019806336E-2</v>
      </c>
      <c r="EN11" s="298">
        <f>(EI11/EM11)*ER11</f>
        <v>8.4698962973397008E-3</v>
      </c>
      <c r="EO11" s="298">
        <f>(EJ11/EM11)*ER11</f>
        <v>8.4698962973397008E-3</v>
      </c>
      <c r="EP11" s="298">
        <f>(EK11/EM11)*ER11</f>
        <v>7.3590902255574455E-3</v>
      </c>
      <c r="EQ11" s="298">
        <f>(EL11/EM11)*ER11</f>
        <v>6.8036871896663183E-3</v>
      </c>
      <c r="ER11" s="116">
        <f>+'HIV Model'!BA436</f>
        <v>3.1102570009903168E-2</v>
      </c>
    </row>
    <row r="12" spans="2:148">
      <c r="B12" s="231"/>
      <c r="D12" s="297"/>
      <c r="E12" s="297"/>
      <c r="F12" s="297"/>
      <c r="G12" s="297"/>
      <c r="I12" s="297"/>
      <c r="J12" s="297"/>
      <c r="K12" s="297"/>
      <c r="L12" s="297"/>
      <c r="N12" s="297"/>
      <c r="O12" s="297"/>
      <c r="P12" s="297"/>
      <c r="Q12" s="297"/>
      <c r="S12" s="297"/>
      <c r="T12" s="297"/>
      <c r="U12" s="297"/>
      <c r="V12" s="297"/>
      <c r="X12" s="297"/>
      <c r="Y12" s="297"/>
      <c r="Z12" s="297"/>
      <c r="AA12" s="297"/>
      <c r="AC12" s="297"/>
      <c r="AD12" s="297"/>
      <c r="AE12" s="297"/>
      <c r="AF12" s="297"/>
      <c r="AH12" s="297"/>
      <c r="AI12" s="297"/>
      <c r="AJ12" s="297"/>
      <c r="AK12" s="297"/>
      <c r="AM12" s="297"/>
      <c r="AN12" s="297"/>
      <c r="AO12" s="297"/>
      <c r="AP12" s="297"/>
      <c r="AR12" s="297"/>
      <c r="AS12" s="297"/>
      <c r="AT12" s="297"/>
      <c r="AU12" s="297"/>
      <c r="AW12" s="297"/>
      <c r="AX12" s="297"/>
      <c r="AY12" s="297"/>
      <c r="AZ12" s="297"/>
      <c r="BB12" s="298"/>
      <c r="BC12" s="298"/>
      <c r="BD12" s="298"/>
      <c r="BE12" s="298"/>
      <c r="BG12" s="298"/>
      <c r="BH12" s="298"/>
      <c r="BI12" s="298"/>
      <c r="BJ12" s="298"/>
      <c r="BL12" s="298"/>
      <c r="BM12" s="298"/>
      <c r="BN12" s="298"/>
      <c r="BO12" s="298"/>
      <c r="BQ12" s="298"/>
      <c r="BR12" s="298"/>
      <c r="BS12" s="298"/>
      <c r="BT12" s="298"/>
      <c r="BV12" s="298"/>
      <c r="BW12" s="298"/>
      <c r="BX12" s="299"/>
      <c r="BY12" s="298"/>
      <c r="CA12" s="298"/>
      <c r="CB12" s="298"/>
      <c r="CC12" s="298"/>
      <c r="CD12" s="298"/>
      <c r="CF12" s="298"/>
      <c r="CG12" s="298"/>
      <c r="CH12" s="298"/>
      <c r="CI12" s="298"/>
      <c r="CK12" s="298"/>
      <c r="CL12" s="298"/>
      <c r="CM12" s="298"/>
      <c r="CN12" s="298"/>
      <c r="CP12" s="298"/>
      <c r="CQ12" s="298"/>
      <c r="CR12" s="298"/>
      <c r="CS12" s="298"/>
      <c r="CU12" s="298"/>
      <c r="CV12" s="298"/>
      <c r="CW12" s="298"/>
      <c r="CX12" s="298"/>
      <c r="CZ12" s="298"/>
      <c r="DA12" s="298"/>
      <c r="DB12" s="298"/>
      <c r="DC12" s="298"/>
      <c r="DE12" s="298"/>
      <c r="DF12" s="298"/>
      <c r="DG12" s="298"/>
      <c r="DH12" s="298"/>
      <c r="DJ12" s="298"/>
      <c r="DK12" s="298"/>
      <c r="DL12" s="298"/>
      <c r="DM12" s="298"/>
      <c r="DO12" s="298"/>
      <c r="DP12" s="298"/>
      <c r="DQ12" s="298"/>
      <c r="DR12" s="298"/>
      <c r="DT12" s="298"/>
      <c r="DU12" s="298"/>
      <c r="DV12" s="298"/>
      <c r="DW12" s="298"/>
      <c r="DY12" s="298"/>
      <c r="DZ12" s="298"/>
      <c r="EA12" s="298"/>
      <c r="EB12" s="298"/>
      <c r="ED12" s="298"/>
      <c r="EE12" s="298"/>
      <c r="EF12" s="298"/>
      <c r="EG12" s="298"/>
      <c r="EI12" s="298"/>
      <c r="EJ12" s="298"/>
      <c r="EK12" s="298"/>
      <c r="EL12" s="298"/>
      <c r="EN12" s="298"/>
      <c r="EO12" s="298"/>
      <c r="EP12" s="298"/>
      <c r="EQ12" s="298"/>
    </row>
    <row r="13" spans="2:148">
      <c r="B13" s="230" t="s">
        <v>850</v>
      </c>
      <c r="C13" s="230">
        <v>15.586</v>
      </c>
      <c r="D13" s="352">
        <v>27.164999999999999</v>
      </c>
      <c r="E13" s="352">
        <v>44.734000000000002</v>
      </c>
      <c r="F13" s="352">
        <v>68.933000000000007</v>
      </c>
      <c r="G13" s="352">
        <f>225.815-140.832</f>
        <v>84.983000000000004</v>
      </c>
      <c r="H13" s="230">
        <f>+G13+F13+E13+D13</f>
        <v>225.815</v>
      </c>
      <c r="I13" s="352">
        <v>107.27200000000001</v>
      </c>
      <c r="J13" s="352">
        <v>167.035</v>
      </c>
      <c r="K13" s="352">
        <v>115.396</v>
      </c>
      <c r="L13" s="352">
        <f>566.478-389.703</f>
        <v>176.77499999999998</v>
      </c>
      <c r="M13" s="230">
        <f>+L13+K13+J13+I13</f>
        <v>566.47800000000007</v>
      </c>
      <c r="N13" s="352">
        <f>193.096</f>
        <v>193.096</v>
      </c>
      <c r="O13" s="352">
        <v>197.16200000000001</v>
      </c>
      <c r="P13" s="352">
        <f t="shared" ref="P13:AZ13" si="8">SUM(P14:P16)</f>
        <v>193.88</v>
      </c>
      <c r="Q13" s="352">
        <f t="shared" si="8"/>
        <v>198.77699999999999</v>
      </c>
      <c r="R13" s="230">
        <f t="shared" si="8"/>
        <v>782.91499999999996</v>
      </c>
      <c r="S13" s="352">
        <f t="shared" si="8"/>
        <v>197.84299999999999</v>
      </c>
      <c r="T13" s="352">
        <f t="shared" si="8"/>
        <v>209.11099999999999</v>
      </c>
      <c r="U13" s="352">
        <f t="shared" si="8"/>
        <v>189.39499999999998</v>
      </c>
      <c r="V13" s="352">
        <f t="shared" si="8"/>
        <v>182.43400000000003</v>
      </c>
      <c r="W13" s="230">
        <f t="shared" si="8"/>
        <v>778.78300000000002</v>
      </c>
      <c r="X13" s="352">
        <f t="shared" si="8"/>
        <v>191.77500000000001</v>
      </c>
      <c r="Y13" s="352">
        <f t="shared" si="8"/>
        <v>167.44099999999997</v>
      </c>
      <c r="Z13" s="352">
        <f t="shared" si="8"/>
        <v>170.624</v>
      </c>
      <c r="AA13" s="352">
        <f t="shared" si="8"/>
        <v>159.51499999999999</v>
      </c>
      <c r="AB13" s="230">
        <f t="shared" si="8"/>
        <v>689.35500000000002</v>
      </c>
      <c r="AC13" s="352">
        <f t="shared" si="8"/>
        <v>160.678</v>
      </c>
      <c r="AD13" s="352">
        <f t="shared" si="8"/>
        <v>154.89700000000002</v>
      </c>
      <c r="AE13" s="352">
        <f t="shared" si="8"/>
        <v>149.108</v>
      </c>
      <c r="AF13" s="352">
        <f t="shared" si="8"/>
        <v>148.48599999999999</v>
      </c>
      <c r="AG13" s="230">
        <f t="shared" si="8"/>
        <v>613.16899999999987</v>
      </c>
      <c r="AH13" s="352">
        <f t="shared" si="8"/>
        <v>152.667</v>
      </c>
      <c r="AI13" s="352">
        <f t="shared" si="8"/>
        <v>150.68100000000001</v>
      </c>
      <c r="AJ13" s="352">
        <f t="shared" si="8"/>
        <v>155.95799999999997</v>
      </c>
      <c r="AK13" s="352">
        <f t="shared" si="8"/>
        <v>161.881</v>
      </c>
      <c r="AL13" s="230">
        <f t="shared" si="8"/>
        <v>621.1869999999999</v>
      </c>
      <c r="AM13" s="352">
        <f t="shared" si="8"/>
        <v>160.60500000000002</v>
      </c>
      <c r="AN13" s="352">
        <f t="shared" si="8"/>
        <v>158.92500000000001</v>
      </c>
      <c r="AO13" s="352">
        <f t="shared" si="8"/>
        <v>169.71099999999998</v>
      </c>
      <c r="AP13" s="352">
        <f t="shared" si="8"/>
        <v>178.26900000000001</v>
      </c>
      <c r="AQ13" s="230">
        <f t="shared" si="8"/>
        <v>667.51</v>
      </c>
      <c r="AR13" s="352">
        <f t="shared" si="8"/>
        <v>180.68600000000001</v>
      </c>
      <c r="AS13" s="352">
        <f t="shared" si="8"/>
        <v>176.172</v>
      </c>
      <c r="AT13" s="352">
        <f t="shared" si="8"/>
        <v>184.26300000000001</v>
      </c>
      <c r="AU13" s="352">
        <f t="shared" si="8"/>
        <v>191.11899999999997</v>
      </c>
      <c r="AV13" s="230">
        <f t="shared" si="8"/>
        <v>732.24</v>
      </c>
      <c r="AW13" s="352">
        <f t="shared" si="8"/>
        <v>168.39500000000001</v>
      </c>
      <c r="AX13" s="352">
        <f t="shared" si="8"/>
        <v>185.71699999999998</v>
      </c>
      <c r="AY13" s="352">
        <f t="shared" si="8"/>
        <v>192.887</v>
      </c>
      <c r="AZ13" s="352">
        <f t="shared" si="8"/>
        <v>190.86799999999999</v>
      </c>
      <c r="BA13" s="230">
        <f t="shared" ref="BA13:DL13" si="9">+BA14+BA15+BA16</f>
        <v>737.86699999999996</v>
      </c>
      <c r="BB13" s="353">
        <f t="shared" si="9"/>
        <v>191.69299999999998</v>
      </c>
      <c r="BC13" s="353">
        <f t="shared" si="9"/>
        <v>215.41399999999999</v>
      </c>
      <c r="BD13" s="353">
        <f t="shared" si="9"/>
        <v>214.90899999999999</v>
      </c>
      <c r="BE13" s="353">
        <f t="shared" si="9"/>
        <v>226.68099999999998</v>
      </c>
      <c r="BF13" s="230">
        <f t="shared" si="9"/>
        <v>848.69699999999989</v>
      </c>
      <c r="BG13" s="353">
        <f t="shared" si="9"/>
        <v>210.33199999999999</v>
      </c>
      <c r="BH13" s="353">
        <f t="shared" si="9"/>
        <v>250.18799999999999</v>
      </c>
      <c r="BI13" s="353">
        <f t="shared" si="9"/>
        <v>231.55500000000001</v>
      </c>
      <c r="BJ13" s="353">
        <f t="shared" si="9"/>
        <v>266.89400000000001</v>
      </c>
      <c r="BK13" s="230">
        <f t="shared" si="9"/>
        <v>958.96900000000005</v>
      </c>
      <c r="BL13" s="353">
        <f t="shared" si="9"/>
        <v>210.625</v>
      </c>
      <c r="BM13" s="353">
        <f t="shared" si="9"/>
        <v>260.73399999999998</v>
      </c>
      <c r="BN13" s="353">
        <f t="shared" si="9"/>
        <v>275.637</v>
      </c>
      <c r="BO13" s="353">
        <f t="shared" si="9"/>
        <v>311</v>
      </c>
      <c r="BP13" s="230">
        <f>+BP14+BP15+BP16</f>
        <v>1057.9960000000001</v>
      </c>
      <c r="BQ13" s="353">
        <f t="shared" si="9"/>
        <v>234</v>
      </c>
      <c r="BR13" s="353">
        <f t="shared" si="9"/>
        <v>271</v>
      </c>
      <c r="BS13" s="353">
        <f t="shared" si="9"/>
        <v>297</v>
      </c>
      <c r="BT13" s="353">
        <f t="shared" si="9"/>
        <v>306</v>
      </c>
      <c r="BU13" s="230">
        <f t="shared" si="9"/>
        <v>1108</v>
      </c>
      <c r="BV13" s="353">
        <f t="shared" si="9"/>
        <v>272</v>
      </c>
      <c r="BW13" s="353">
        <f t="shared" si="9"/>
        <v>287</v>
      </c>
      <c r="BX13" s="353">
        <f t="shared" si="9"/>
        <v>303</v>
      </c>
      <c r="BY13" s="353">
        <f t="shared" si="9"/>
        <v>324</v>
      </c>
      <c r="BZ13" s="230">
        <f t="shared" si="9"/>
        <v>1186</v>
      </c>
      <c r="CA13" s="353">
        <f t="shared" si="9"/>
        <v>260</v>
      </c>
      <c r="CB13" s="353">
        <f t="shared" si="9"/>
        <v>300</v>
      </c>
      <c r="CC13" s="353">
        <f t="shared" si="9"/>
        <v>274</v>
      </c>
      <c r="CD13" s="353">
        <f t="shared" si="9"/>
        <v>212</v>
      </c>
      <c r="CE13" s="230">
        <f t="shared" si="9"/>
        <v>1046</v>
      </c>
      <c r="CF13" s="353">
        <f t="shared" si="9"/>
        <v>59.693877551020407</v>
      </c>
      <c r="CG13" s="353">
        <f t="shared" si="9"/>
        <v>46.938775510204081</v>
      </c>
      <c r="CH13" s="353">
        <f t="shared" si="9"/>
        <v>30.73469387755102</v>
      </c>
      <c r="CI13" s="353">
        <f t="shared" si="9"/>
        <v>19.76571856030035</v>
      </c>
      <c r="CJ13" s="230">
        <f t="shared" si="9"/>
        <v>157.13306549907585</v>
      </c>
      <c r="CK13" s="353">
        <f t="shared" si="9"/>
        <v>13.981325748516904</v>
      </c>
      <c r="CL13" s="353">
        <f t="shared" si="9"/>
        <v>11.463740975201745</v>
      </c>
      <c r="CM13" s="353">
        <f t="shared" si="9"/>
        <v>8.1427166231975612</v>
      </c>
      <c r="CN13" s="353">
        <f t="shared" si="9"/>
        <v>5.2378324151914324</v>
      </c>
      <c r="CO13" s="230">
        <f t="shared" si="9"/>
        <v>38.825615762107645</v>
      </c>
      <c r="CP13" s="353">
        <f t="shared" si="9"/>
        <v>1.7400587692940168</v>
      </c>
      <c r="CQ13" s="353">
        <f t="shared" si="9"/>
        <v>1.374324893815059</v>
      </c>
      <c r="CR13" s="353">
        <f t="shared" si="9"/>
        <v>0.96756270766128993</v>
      </c>
      <c r="CS13" s="353">
        <f t="shared" si="9"/>
        <v>0.59139139598110657</v>
      </c>
      <c r="CT13" s="230">
        <f t="shared" si="9"/>
        <v>4.6733377667514722</v>
      </c>
      <c r="CU13" s="353">
        <f t="shared" si="9"/>
        <v>0.39757732832652082</v>
      </c>
      <c r="CV13" s="353">
        <f t="shared" si="9"/>
        <v>0.28648012364625203</v>
      </c>
      <c r="CW13" s="353">
        <f t="shared" si="9"/>
        <v>0.20042263968065949</v>
      </c>
      <c r="CX13" s="353">
        <f t="shared" si="9"/>
        <v>0.10377082649180226</v>
      </c>
      <c r="CY13" s="230">
        <f t="shared" si="9"/>
        <v>0.98825091814523469</v>
      </c>
      <c r="CZ13" s="353">
        <f t="shared" si="9"/>
        <v>0.19467695195587709</v>
      </c>
      <c r="DA13" s="353">
        <f t="shared" si="9"/>
        <v>0.13192749178010854</v>
      </c>
      <c r="DB13" s="353">
        <f t="shared" si="9"/>
        <v>9.2267003441915754E-2</v>
      </c>
      <c r="DC13" s="353">
        <f t="shared" si="9"/>
        <v>4.1352146146711101E-2</v>
      </c>
      <c r="DD13" s="230">
        <f t="shared" si="9"/>
        <v>0.46022359332461249</v>
      </c>
      <c r="DE13" s="353">
        <f t="shared" si="9"/>
        <v>0.12781063531369516</v>
      </c>
      <c r="DF13" s="353">
        <f t="shared" si="9"/>
        <v>8.542137592341581E-2</v>
      </c>
      <c r="DG13" s="353">
        <f t="shared" si="9"/>
        <v>5.9779203451550536E-2</v>
      </c>
      <c r="DH13" s="353">
        <f t="shared" si="9"/>
        <v>2.5802869369131138E-2</v>
      </c>
      <c r="DI13" s="230">
        <f t="shared" si="9"/>
        <v>0.29881408405779269</v>
      </c>
      <c r="DJ13" s="353">
        <f t="shared" si="9"/>
        <v>8.8657726926229335E-2</v>
      </c>
      <c r="DK13" s="353">
        <f t="shared" si="9"/>
        <v>5.9126579855581465E-2</v>
      </c>
      <c r="DL13" s="353">
        <f t="shared" si="9"/>
        <v>4.1386228992297242E-2</v>
      </c>
      <c r="DM13" s="353">
        <f t="shared" ref="DM13:ER13" si="10">+DM14+DM15+DM16</f>
        <v>1.7755520421595457E-2</v>
      </c>
      <c r="DN13" s="230">
        <f t="shared" si="10"/>
        <v>0.20692605619570353</v>
      </c>
      <c r="DO13" s="353">
        <f t="shared" si="10"/>
        <v>6.2016442436227011E-2</v>
      </c>
      <c r="DP13" s="353">
        <f t="shared" si="10"/>
        <v>4.1346437814627532E-2</v>
      </c>
      <c r="DQ13" s="353">
        <f t="shared" si="10"/>
        <v>2.8942183653646252E-2</v>
      </c>
      <c r="DR13" s="353">
        <f t="shared" si="10"/>
        <v>1.2405675448222159E-2</v>
      </c>
      <c r="DS13" s="230">
        <f t="shared" si="10"/>
        <v>0.14471073935272294</v>
      </c>
      <c r="DT13" s="353">
        <f t="shared" si="10"/>
        <v>4.3434234467529906E-2</v>
      </c>
      <c r="DU13" s="353">
        <f t="shared" si="10"/>
        <v>2.8956370597400891E-2</v>
      </c>
      <c r="DV13" s="353">
        <f t="shared" si="10"/>
        <v>2.0269418089425423E-2</v>
      </c>
      <c r="DW13" s="353">
        <f t="shared" si="10"/>
        <v>8.6870844691408627E-3</v>
      </c>
      <c r="DX13" s="230">
        <f t="shared" si="10"/>
        <v>0.10134710762349708</v>
      </c>
      <c r="DY13" s="353">
        <f t="shared" si="10"/>
        <v>3.0425356482927386E-2</v>
      </c>
      <c r="DZ13" s="353">
        <f t="shared" si="10"/>
        <v>2.0283592417189689E-2</v>
      </c>
      <c r="EA13" s="353">
        <f t="shared" si="10"/>
        <v>1.4198509597676668E-2</v>
      </c>
      <c r="EB13" s="353">
        <f t="shared" si="10"/>
        <v>6.0850949350717241E-3</v>
      </c>
      <c r="EC13" s="230">
        <f t="shared" si="10"/>
        <v>7.0992553432865466E-2</v>
      </c>
      <c r="ED13" s="353">
        <f t="shared" si="10"/>
        <v>2.1313290857647785E-2</v>
      </c>
      <c r="EE13" s="353">
        <f t="shared" si="10"/>
        <v>1.4208862714622331E-2</v>
      </c>
      <c r="EF13" s="353">
        <f t="shared" si="10"/>
        <v>9.9462032886223472E-3</v>
      </c>
      <c r="EG13" s="353">
        <f t="shared" si="10"/>
        <v>4.2626605227237034E-3</v>
      </c>
      <c r="EH13" s="230">
        <f t="shared" si="10"/>
        <v>4.9731017383616162E-2</v>
      </c>
      <c r="EI13" s="353">
        <f t="shared" si="10"/>
        <v>1.4930243804250953E-2</v>
      </c>
      <c r="EJ13" s="353">
        <f t="shared" si="10"/>
        <v>9.9534960837863503E-3</v>
      </c>
      <c r="EK13" s="353">
        <f t="shared" si="10"/>
        <v>6.9674471866309666E-3</v>
      </c>
      <c r="EL13" s="353">
        <f t="shared" si="10"/>
        <v>2.9860489946248485E-3</v>
      </c>
      <c r="EM13" s="230">
        <f t="shared" si="10"/>
        <v>3.483723606929312E-2</v>
      </c>
      <c r="EN13" s="353">
        <f t="shared" si="10"/>
        <v>1.0458837302009794E-2</v>
      </c>
      <c r="EO13" s="353">
        <f t="shared" si="10"/>
        <v>6.9725582227684341E-3</v>
      </c>
      <c r="EP13" s="353">
        <f t="shared" si="10"/>
        <v>4.8807907475821311E-3</v>
      </c>
      <c r="EQ13" s="353">
        <f t="shared" si="10"/>
        <v>2.0917674836365267E-3</v>
      </c>
      <c r="ER13" s="230">
        <f t="shared" si="10"/>
        <v>2.4403953755996889E-2</v>
      </c>
    </row>
    <row r="14" spans="2:148">
      <c r="B14" s="231" t="s">
        <v>920</v>
      </c>
      <c r="C14" s="116">
        <v>15.586</v>
      </c>
      <c r="D14" s="297"/>
      <c r="E14" s="297">
        <v>34.5</v>
      </c>
      <c r="F14" s="297">
        <v>52.1</v>
      </c>
      <c r="G14" s="297">
        <f>167-108.5</f>
        <v>58.5</v>
      </c>
      <c r="H14" s="116">
        <f>+G14+F14+E14+D14</f>
        <v>145.1</v>
      </c>
      <c r="I14" s="297">
        <f>+I13-I15</f>
        <v>68.872000000000014</v>
      </c>
      <c r="J14" s="297">
        <v>115.6</v>
      </c>
      <c r="K14" s="297">
        <v>59.4</v>
      </c>
      <c r="L14" s="297">
        <v>112</v>
      </c>
      <c r="M14" s="116">
        <f>+L14+K14+J14+I14</f>
        <v>355.87200000000001</v>
      </c>
      <c r="N14" s="297">
        <v>101.3</v>
      </c>
      <c r="O14" s="297">
        <v>109.2</v>
      </c>
      <c r="P14" s="297">
        <v>108.501</v>
      </c>
      <c r="Q14" s="297">
        <v>103.898</v>
      </c>
      <c r="R14" s="116">
        <f>+Q14+P14+O14+N14</f>
        <v>422.899</v>
      </c>
      <c r="S14" s="297">
        <v>96.513999999999996</v>
      </c>
      <c r="T14" s="297">
        <v>88.43</v>
      </c>
      <c r="U14" s="297">
        <v>74.938999999999993</v>
      </c>
      <c r="V14" s="297">
        <v>77.561000000000007</v>
      </c>
      <c r="W14" s="116">
        <f>+V14+U14+T14+S14</f>
        <v>337.44400000000002</v>
      </c>
      <c r="X14" s="297">
        <v>75.841999999999999</v>
      </c>
      <c r="Y14" s="297">
        <v>74.802000000000007</v>
      </c>
      <c r="Z14" s="297">
        <v>71.795000000000002</v>
      </c>
      <c r="AA14" s="297">
        <v>71.863</v>
      </c>
      <c r="AB14" s="116">
        <f>+AA14+Z14+Y14+X14</f>
        <v>294.30200000000002</v>
      </c>
      <c r="AC14" s="297">
        <v>67.555999999999997</v>
      </c>
      <c r="AD14" s="297">
        <v>63.796999999999997</v>
      </c>
      <c r="AE14" s="297">
        <f>63.488</f>
        <v>63.488</v>
      </c>
      <c r="AF14" s="297">
        <v>62.756999999999998</v>
      </c>
      <c r="AG14" s="116">
        <f>+AF14+AE14+AD14+AC14</f>
        <v>257.59800000000001</v>
      </c>
      <c r="AH14" s="297">
        <v>63.067999999999998</v>
      </c>
      <c r="AI14" s="297">
        <v>58.414000000000001</v>
      </c>
      <c r="AJ14" s="297">
        <v>63.430999999999997</v>
      </c>
      <c r="AK14" s="297">
        <v>69.302999999999997</v>
      </c>
      <c r="AL14" s="116">
        <f>+AK14+AJ14+AI14+AH14</f>
        <v>254.21599999999995</v>
      </c>
      <c r="AM14" s="297">
        <v>69.588999999999999</v>
      </c>
      <c r="AN14" s="297">
        <v>67.858000000000004</v>
      </c>
      <c r="AO14" s="297">
        <v>74.674999999999997</v>
      </c>
      <c r="AP14" s="297">
        <v>77.64</v>
      </c>
      <c r="AQ14" s="116">
        <f>+AP14+AO14+AN14+AM14</f>
        <v>289.762</v>
      </c>
      <c r="AR14" s="297">
        <v>78.007000000000005</v>
      </c>
      <c r="AS14" s="297">
        <v>78.787000000000006</v>
      </c>
      <c r="AT14" s="297">
        <v>82.430999999999997</v>
      </c>
      <c r="AU14" s="297">
        <v>80.566999999999993</v>
      </c>
      <c r="AV14" s="116">
        <f>+AU14+AT14+AS14+AR14</f>
        <v>319.79200000000003</v>
      </c>
      <c r="AW14" s="297">
        <v>72.48</v>
      </c>
      <c r="AX14" s="297">
        <v>80.227999999999994</v>
      </c>
      <c r="AY14" s="297">
        <v>87.712000000000003</v>
      </c>
      <c r="AZ14" s="297">
        <v>84.320999999999998</v>
      </c>
      <c r="BA14" s="116">
        <f>SUM(AW14:AZ14)</f>
        <v>324.74099999999999</v>
      </c>
      <c r="BB14" s="298">
        <v>81.656000000000006</v>
      </c>
      <c r="BC14" s="298">
        <v>102.11199999999999</v>
      </c>
      <c r="BD14" s="298">
        <v>98.968999999999994</v>
      </c>
      <c r="BE14" s="298">
        <v>105.19199999999999</v>
      </c>
      <c r="BF14" s="116">
        <f>SUM(BB14:BE14)</f>
        <v>387.92899999999997</v>
      </c>
      <c r="BG14" s="298">
        <v>82.628</v>
      </c>
      <c r="BH14" s="298">
        <v>113.965</v>
      </c>
      <c r="BI14" s="298">
        <v>108.718</v>
      </c>
      <c r="BJ14" s="299">
        <v>122.879</v>
      </c>
      <c r="BK14" s="116">
        <f>SUM(BG14:BJ14)</f>
        <v>428.19000000000005</v>
      </c>
      <c r="BL14" s="299">
        <v>81.052999999999997</v>
      </c>
      <c r="BM14" s="299">
        <v>116.554</v>
      </c>
      <c r="BN14" s="299">
        <v>122.654</v>
      </c>
      <c r="BO14" s="299">
        <v>164</v>
      </c>
      <c r="BP14" s="116">
        <f>SUM(BL14:BO14)</f>
        <v>484.26099999999997</v>
      </c>
      <c r="BQ14" s="299">
        <v>100</v>
      </c>
      <c r="BR14" s="299">
        <v>134</v>
      </c>
      <c r="BS14" s="299">
        <v>151</v>
      </c>
      <c r="BT14" s="299">
        <v>156</v>
      </c>
      <c r="BU14" s="116">
        <f>SUM(BQ14:BT14)</f>
        <v>541</v>
      </c>
      <c r="BV14" s="299">
        <v>123</v>
      </c>
      <c r="BW14" s="299">
        <v>142</v>
      </c>
      <c r="BX14" s="299">
        <v>155</v>
      </c>
      <c r="BY14" s="299">
        <v>171</v>
      </c>
      <c r="BZ14" s="696">
        <f>SUM(BV14:BY14)</f>
        <v>591</v>
      </c>
      <c r="CA14" s="299">
        <v>117</v>
      </c>
      <c r="CB14" s="299">
        <v>141</v>
      </c>
      <c r="CC14" s="299">
        <v>137</v>
      </c>
      <c r="CD14" s="996">
        <v>119</v>
      </c>
      <c r="CE14" s="116">
        <f>SUM(CA14:CD14)</f>
        <v>514</v>
      </c>
      <c r="CF14" s="299">
        <v>30</v>
      </c>
      <c r="CG14" s="298">
        <v>20</v>
      </c>
      <c r="CH14" s="298">
        <v>7</v>
      </c>
      <c r="CI14" s="298">
        <f>CJ14-CF14-CG14-CH14</f>
        <v>5.1330654990758617</v>
      </c>
      <c r="CJ14" s="116">
        <f>'HIV Model'!AO469</f>
        <v>62.133065499075862</v>
      </c>
      <c r="CK14" s="298">
        <f>(CF14/CJ14)*CO14</f>
        <v>5.7650029952833313</v>
      </c>
      <c r="CL14" s="298">
        <f>(CG14/CJ14)*CO14</f>
        <v>3.843335330188888</v>
      </c>
      <c r="CM14" s="298">
        <f>(CH14/CJ14)*CO14</f>
        <v>1.3451673655661107</v>
      </c>
      <c r="CN14" s="298">
        <f>(CI14/CJ14)*CO14</f>
        <v>0.98640459923859569</v>
      </c>
      <c r="CO14" s="116">
        <f>'HIV Model'!AP469</f>
        <v>11.939910290276925</v>
      </c>
      <c r="CP14" s="298">
        <f>(CK14/CO14)*CT14</f>
        <v>0.60339106552069799</v>
      </c>
      <c r="CQ14" s="298">
        <f>(CL14/CO14)*CT14</f>
        <v>0.40226071034713201</v>
      </c>
      <c r="CR14" s="298">
        <f>(CM14/CO14)*CT14</f>
        <v>0.1407912486214962</v>
      </c>
      <c r="CS14" s="298">
        <f>(CN14/CO14)*CT14</f>
        <v>0.10324152869583059</v>
      </c>
      <c r="CT14" s="116">
        <f>'HIV Model'!AQ469</f>
        <v>1.2496845531851568</v>
      </c>
      <c r="CU14" s="298">
        <f>(CP14/CT14)*CY14</f>
        <v>6.3197571141177578E-2</v>
      </c>
      <c r="CV14" s="298">
        <f>(CQ14/CT14)*CY14</f>
        <v>4.2131714094118387E-2</v>
      </c>
      <c r="CW14" s="298">
        <f>(CR14/CT14)*CY14</f>
        <v>1.4746099932941435E-2</v>
      </c>
      <c r="CX14" s="298">
        <f>(CS14/CT14)*CY14</f>
        <v>1.0813242401672364E-2</v>
      </c>
      <c r="CY14" s="116">
        <f>'HIV Model'!AR469</f>
        <v>0.13088862756990977</v>
      </c>
      <c r="CZ14" s="298">
        <f>(CU14/CY14)*DD14</f>
        <v>6.6235976154972306E-3</v>
      </c>
      <c r="DA14" s="298">
        <f>(CV14/CY14)*DD14</f>
        <v>4.4157317436648207E-3</v>
      </c>
      <c r="DB14" s="298">
        <f>(CW14/CY14)*DD14</f>
        <v>1.5455061102826869E-3</v>
      </c>
      <c r="DC14" s="298">
        <f>(CX14/CY14)*DD14</f>
        <v>1.1333120133289994E-3</v>
      </c>
      <c r="DD14" s="116">
        <f>'HIV Model'!AS469</f>
        <v>1.3718147482773738E-2</v>
      </c>
      <c r="DE14" s="298">
        <f>(CZ14/DD14)*DI14</f>
        <v>6.9465525194051302E-4</v>
      </c>
      <c r="DF14" s="298">
        <f>(DA14/DD14)*DI14</f>
        <v>4.6310350129367538E-4</v>
      </c>
      <c r="DG14" s="298">
        <f>(DB14/DD14)*DI14</f>
        <v>1.6208622545278636E-4</v>
      </c>
      <c r="DH14" s="298">
        <f>(DC14/DD14)*DI14</f>
        <v>1.1885703024958992E-4</v>
      </c>
      <c r="DI14" s="116">
        <f>'HIV Model'!AT469</f>
        <v>1.4387020089365646E-3</v>
      </c>
      <c r="DJ14" s="298">
        <f>(DE14/DI14)*DN14</f>
        <v>7.2898112875767427E-5</v>
      </c>
      <c r="DK14" s="298">
        <f>(DF14/DI14)*DN14</f>
        <v>4.8598741917178285E-5</v>
      </c>
      <c r="DL14" s="298">
        <f>(DG14/DI14)*DN14</f>
        <v>1.7009559671012398E-5</v>
      </c>
      <c r="DM14" s="298">
        <f>(DH14/DI14)*DN14</f>
        <v>1.2473026271677986E-5</v>
      </c>
      <c r="DN14" s="116">
        <f>'HIV Model'!AU469</f>
        <v>1.5097944073563609E-4</v>
      </c>
      <c r="DO14" s="298">
        <f>(DJ14/DN14)*DS14</f>
        <v>7.6546367106410505E-6</v>
      </c>
      <c r="DP14" s="298">
        <f>(DK14/DN14)*DS14</f>
        <v>5.1030911404273662E-6</v>
      </c>
      <c r="DQ14" s="298">
        <f>(DL14/DN14)*DS14</f>
        <v>1.786081899149578E-6</v>
      </c>
      <c r="DR14" s="298">
        <f>(DM14/DN14)*DS14</f>
        <v>1.3097250535783703E-6</v>
      </c>
      <c r="DS14" s="116">
        <f>'HIV Model'!AV469</f>
        <v>1.5853534803796363E-5</v>
      </c>
      <c r="DT14" s="298">
        <f>(DO14/DS14)*DX14</f>
        <v>8.0423693920755952E-7</v>
      </c>
      <c r="DU14" s="298">
        <f>(DP14/DS14)*DX14</f>
        <v>5.361579594717062E-7</v>
      </c>
      <c r="DV14" s="298">
        <f>(DQ14/DS14)*DX14</f>
        <v>1.8765528581509715E-7</v>
      </c>
      <c r="DW14" s="298">
        <f>(DR14/DS14)*DX14</f>
        <v>1.3760669619095646E-7</v>
      </c>
      <c r="DX14" s="116">
        <f>'HIV Model'!AW469</f>
        <v>1.6656568806853192E-6</v>
      </c>
      <c r="DY14" s="298">
        <f>(DT14/DX14)*EC14</f>
        <v>8.4544325043914152E-8</v>
      </c>
      <c r="DZ14" s="298">
        <f>(DU14/DX14)*EC14</f>
        <v>5.6362883362609417E-8</v>
      </c>
      <c r="EA14" s="298">
        <f>(DV14/DX14)*EC14</f>
        <v>1.9727009176913298E-8</v>
      </c>
      <c r="EB14" s="298">
        <f>(DW14/DX14)*EC14</f>
        <v>1.4465718600852367E-8</v>
      </c>
      <c r="EC14" s="116">
        <f>'HIV Model'!AX469</f>
        <v>1.7509993618428923E-7</v>
      </c>
      <c r="ED14" s="298">
        <f>(DY14/EC14)*EH14</f>
        <v>8.8923368339710167E-9</v>
      </c>
      <c r="EE14" s="298">
        <f>(DZ14/EC14)*EH14</f>
        <v>5.928224555980677E-9</v>
      </c>
      <c r="EF14" s="298">
        <f>(EA14/EC14)*EH14</f>
        <v>2.0748785945932371E-9</v>
      </c>
      <c r="EG14" s="298">
        <f>(EB14/EC14)*EH14</f>
        <v>1.5214982469539368E-9</v>
      </c>
      <c r="EH14" s="116">
        <f>'HIV Model'!AY469</f>
        <v>1.8416938231498868E-8</v>
      </c>
      <c r="EI14" s="298">
        <f>(ED14/EH14)*EM14</f>
        <v>9.3576861319675174E-10</v>
      </c>
      <c r="EJ14" s="298">
        <f>(EE14/EH14)*EM14</f>
        <v>6.2384574213116769E-10</v>
      </c>
      <c r="EK14" s="298">
        <f>(EF14/EH14)*EM14</f>
        <v>2.1834600974590871E-10</v>
      </c>
      <c r="EL14" s="298">
        <f>(EG14/EH14)*EM14</f>
        <v>1.601120527839437E-10</v>
      </c>
      <c r="EM14" s="116">
        <f>'HIV Model'!AZ469</f>
        <v>1.9380724178577719E-9</v>
      </c>
      <c r="EN14" s="298">
        <f>(EI14/EM14)*ER14</f>
        <v>9.8521827897169851E-11</v>
      </c>
      <c r="EO14" s="298">
        <f>(EJ14/EM14)*ER14</f>
        <v>6.5681218598113226E-11</v>
      </c>
      <c r="EP14" s="298">
        <f>(EK14/EM14)*ER14</f>
        <v>2.2988426509339631E-11</v>
      </c>
      <c r="EQ14" s="298">
        <f>(EL14/EM14)*ER14</f>
        <v>1.6857299856161743E-11</v>
      </c>
      <c r="ER14" s="116">
        <f>'HIV Model'!BA469</f>
        <v>2.0404877286078446E-10</v>
      </c>
    </row>
    <row r="15" spans="2:148">
      <c r="B15" s="231" t="s">
        <v>921</v>
      </c>
      <c r="D15" s="297"/>
      <c r="E15" s="297">
        <f>+E13-E14</f>
        <v>10.234000000000002</v>
      </c>
      <c r="F15" s="297">
        <f>+F13-F14</f>
        <v>16.833000000000006</v>
      </c>
      <c r="G15" s="297">
        <f>+G13-G14</f>
        <v>26.483000000000004</v>
      </c>
      <c r="H15" s="116">
        <f>+G15+F15+E15+D15</f>
        <v>53.550000000000011</v>
      </c>
      <c r="I15" s="297">
        <v>38.4</v>
      </c>
      <c r="J15" s="297">
        <f>+J13-J14</f>
        <v>51.435000000000002</v>
      </c>
      <c r="K15" s="297">
        <f>+K13-K14</f>
        <v>55.996000000000002</v>
      </c>
      <c r="L15" s="297">
        <v>64.8</v>
      </c>
      <c r="M15" s="116">
        <f>+L15+K15+J15+I15</f>
        <v>210.631</v>
      </c>
      <c r="N15" s="297">
        <f>+N13-N14</f>
        <v>91.796000000000006</v>
      </c>
      <c r="O15" s="297">
        <f>+O13-O14</f>
        <v>87.962000000000003</v>
      </c>
      <c r="P15" s="297">
        <v>85.379000000000005</v>
      </c>
      <c r="Q15" s="297">
        <v>94.879000000000005</v>
      </c>
      <c r="R15" s="116">
        <f>+Q15+P15+O15+N15</f>
        <v>360.01600000000002</v>
      </c>
      <c r="S15" s="297">
        <v>101.32899999999999</v>
      </c>
      <c r="T15" s="297">
        <v>120.681</v>
      </c>
      <c r="U15" s="297">
        <v>114.456</v>
      </c>
      <c r="V15" s="297">
        <v>104.873</v>
      </c>
      <c r="W15" s="116">
        <f>+V15+U15+T15+S15</f>
        <v>441.339</v>
      </c>
      <c r="X15" s="297">
        <v>87.72</v>
      </c>
      <c r="Y15" s="297">
        <v>80.599999999999994</v>
      </c>
      <c r="Z15" s="297">
        <v>71.930999999999997</v>
      </c>
      <c r="AA15" s="297">
        <v>64.709999999999994</v>
      </c>
      <c r="AB15" s="116">
        <f>+AA15+Z15+Y15+X15</f>
        <v>304.96100000000001</v>
      </c>
      <c r="AC15" s="297">
        <f>71.914</f>
        <v>71.914000000000001</v>
      </c>
      <c r="AD15" s="297">
        <f>65.034</f>
        <v>65.034000000000006</v>
      </c>
      <c r="AE15" s="297">
        <f>62.944</f>
        <v>62.944000000000003</v>
      </c>
      <c r="AF15" s="297">
        <f>60.109</f>
        <v>60.109000000000002</v>
      </c>
      <c r="AG15" s="116">
        <f>+AF15+AE15+AD15+AC15</f>
        <v>260.00099999999998</v>
      </c>
      <c r="AH15" s="297">
        <f>65.716</f>
        <v>65.715999999999994</v>
      </c>
      <c r="AI15" s="297">
        <v>61.273000000000003</v>
      </c>
      <c r="AJ15" s="297">
        <v>66.319999999999993</v>
      </c>
      <c r="AK15" s="297">
        <v>66.587999999999994</v>
      </c>
      <c r="AL15" s="116">
        <f>+AK15+AJ15+AI15+AH15</f>
        <v>259.89699999999999</v>
      </c>
      <c r="AM15" s="297">
        <v>65.331000000000003</v>
      </c>
      <c r="AN15" s="297">
        <v>66.009</v>
      </c>
      <c r="AO15" s="297">
        <v>67.989000000000004</v>
      </c>
      <c r="AP15" s="297">
        <v>73.67</v>
      </c>
      <c r="AQ15" s="116">
        <f>+AP15+AO15+AN15+AM15</f>
        <v>272.99900000000002</v>
      </c>
      <c r="AR15" s="297">
        <v>73.143000000000001</v>
      </c>
      <c r="AS15" s="297">
        <v>71.004000000000005</v>
      </c>
      <c r="AT15" s="297">
        <v>72.489000000000004</v>
      </c>
      <c r="AU15" s="297">
        <v>76.421999999999997</v>
      </c>
      <c r="AV15" s="116">
        <f>+AU15+AT15+AS15+AR15</f>
        <v>293.05799999999999</v>
      </c>
      <c r="AW15" s="297">
        <v>76.012</v>
      </c>
      <c r="AX15" s="297">
        <v>86.123000000000005</v>
      </c>
      <c r="AY15" s="297">
        <v>82.927000000000007</v>
      </c>
      <c r="AZ15" s="297">
        <v>83.25</v>
      </c>
      <c r="BA15" s="116">
        <f>SUM(AW15:AZ15)</f>
        <v>328.31200000000001</v>
      </c>
      <c r="BB15" s="298">
        <v>84.885000000000005</v>
      </c>
      <c r="BC15" s="298">
        <v>84.108000000000004</v>
      </c>
      <c r="BD15" s="298">
        <v>81.962000000000003</v>
      </c>
      <c r="BE15" s="298">
        <v>84.584999999999994</v>
      </c>
      <c r="BF15" s="116">
        <f>SUM(BB15:BE15)</f>
        <v>335.53999999999996</v>
      </c>
      <c r="BG15" s="298">
        <v>88.206000000000003</v>
      </c>
      <c r="BH15" s="298">
        <v>88.042000000000002</v>
      </c>
      <c r="BI15" s="298">
        <v>86.177000000000007</v>
      </c>
      <c r="BJ15" s="299">
        <v>91.361999999999995</v>
      </c>
      <c r="BK15" s="116">
        <f>SUM(BG15:BJ15)</f>
        <v>353.78700000000003</v>
      </c>
      <c r="BL15" s="299">
        <v>84.064999999999998</v>
      </c>
      <c r="BM15" s="299">
        <v>87.590999999999994</v>
      </c>
      <c r="BN15" s="299">
        <v>87.177000000000007</v>
      </c>
      <c r="BO15" s="299">
        <v>77</v>
      </c>
      <c r="BP15" s="116">
        <f>SUM(BL15:BO15)</f>
        <v>335.83300000000003</v>
      </c>
      <c r="BQ15" s="299">
        <v>80</v>
      </c>
      <c r="BR15" s="299">
        <v>77</v>
      </c>
      <c r="BS15" s="299">
        <v>76</v>
      </c>
      <c r="BT15" s="299">
        <v>77</v>
      </c>
      <c r="BU15" s="116">
        <f>SUM(BQ15:BT15)</f>
        <v>310</v>
      </c>
      <c r="BV15" s="299">
        <v>76</v>
      </c>
      <c r="BW15" s="299">
        <v>81</v>
      </c>
      <c r="BX15" s="299">
        <v>77</v>
      </c>
      <c r="BY15" s="299">
        <v>68</v>
      </c>
      <c r="BZ15" s="696">
        <f>SUM(BV15:BY15)</f>
        <v>302</v>
      </c>
      <c r="CA15" s="299">
        <v>71</v>
      </c>
      <c r="CB15" s="299">
        <v>76</v>
      </c>
      <c r="CC15" s="299">
        <v>55</v>
      </c>
      <c r="CD15" s="996">
        <v>36</v>
      </c>
      <c r="CE15" s="116">
        <f t="shared" ref="CE15:CE16" si="11">SUM(CA15:CD15)</f>
        <v>238</v>
      </c>
      <c r="CF15" s="298">
        <v>15</v>
      </c>
      <c r="CG15" s="298">
        <v>10</v>
      </c>
      <c r="CH15" s="298">
        <v>7</v>
      </c>
      <c r="CI15" s="298">
        <f>CJ15-CF15-CG15-CH15</f>
        <v>3</v>
      </c>
      <c r="CJ15" s="116">
        <f>'HIV Model'!AO473</f>
        <v>35</v>
      </c>
      <c r="CK15" s="298">
        <f>(CF15/CJ15)*CO15</f>
        <v>3.8081594879274503</v>
      </c>
      <c r="CL15" s="298">
        <f>(CG15/CJ15)*CO15</f>
        <v>2.5387729919516335</v>
      </c>
      <c r="CM15" s="298">
        <f>(CH15/CJ15)*CO15</f>
        <v>1.7771410943661436</v>
      </c>
      <c r="CN15" s="298">
        <f>(CI15/CJ15)*CO15</f>
        <v>0.7616318975854901</v>
      </c>
      <c r="CO15" s="116">
        <f>'HIV Model'!AP473</f>
        <v>8.8857054718307182</v>
      </c>
      <c r="CP15" s="298">
        <f>(CK15/CO15)*CT15</f>
        <v>0.69585137724270651</v>
      </c>
      <c r="CQ15" s="298">
        <f>(CL15/CO15)*CT15</f>
        <v>0.46390091816180434</v>
      </c>
      <c r="CR15" s="298">
        <f>(CM15/CO15)*CT15</f>
        <v>0.32473064271326307</v>
      </c>
      <c r="CS15" s="298">
        <f>(CN15/CO15)*CT15</f>
        <v>0.13917027544854133</v>
      </c>
      <c r="CT15" s="116">
        <f>'HIV Model'!AQ473</f>
        <v>1.6236532135663153</v>
      </c>
      <c r="CU15" s="298">
        <f>(CP15/CT15)*CY15</f>
        <v>0.29029812453228204</v>
      </c>
      <c r="CV15" s="298">
        <f>(CQ15/CT15)*CY15</f>
        <v>0.19353208302152136</v>
      </c>
      <c r="CW15" s="298">
        <f>(CR15/CT15)*CY15</f>
        <v>0.13547245811506498</v>
      </c>
      <c r="CX15" s="298">
        <f>(CS15/CT15)*CY15</f>
        <v>5.8059624906456421E-2</v>
      </c>
      <c r="CY15" s="116">
        <f>'HIV Model'!AR473</f>
        <v>0.67736229057532482</v>
      </c>
      <c r="CZ15" s="298">
        <f>(CU15/CY15)*DD15</f>
        <v>0.18364519107507374</v>
      </c>
      <c r="DA15" s="298">
        <f>(CV15/CY15)*DD15</f>
        <v>0.12243012738338249</v>
      </c>
      <c r="DB15" s="298">
        <f>(CW15/CY15)*DD15</f>
        <v>8.5701089168367758E-2</v>
      </c>
      <c r="DC15" s="298">
        <f>(CX15/CY15)*DD15</f>
        <v>3.6729038215014755E-2</v>
      </c>
      <c r="DD15" s="116">
        <f>'HIV Model'!AS473</f>
        <v>0.42850544584183875</v>
      </c>
      <c r="DE15" s="298">
        <f>(CZ15/DD15)*DI15</f>
        <v>0.12667516373522403</v>
      </c>
      <c r="DF15" s="298">
        <f>(DA15/DD15)*DI15</f>
        <v>8.4450109156816014E-2</v>
      </c>
      <c r="DG15" s="298">
        <f>(DB15/DD15)*DI15</f>
        <v>5.9115076409771219E-2</v>
      </c>
      <c r="DH15" s="298">
        <f>(DC15/DD15)*DI15</f>
        <v>2.5335032747044812E-2</v>
      </c>
      <c r="DI15" s="116">
        <f>'HIV Model'!AT473</f>
        <v>0.29557538204885608</v>
      </c>
      <c r="DJ15" s="298">
        <f>(DE15/DI15)*DN15</f>
        <v>8.8540747180700513E-2</v>
      </c>
      <c r="DK15" s="298">
        <f>(DF15/DI15)*DN15</f>
        <v>5.9027164787133678E-2</v>
      </c>
      <c r="DL15" s="298">
        <f>(DG15/DI15)*DN15</f>
        <v>4.1319015350993582E-2</v>
      </c>
      <c r="DM15" s="298">
        <f>(DH15/DI15)*DN15</f>
        <v>1.7708149436140106E-2</v>
      </c>
      <c r="DN15" s="116">
        <f>'HIV Model'!AU473</f>
        <v>0.20659507675496788</v>
      </c>
      <c r="DO15" s="298">
        <f>(DJ15/DN15)*DS15</f>
        <v>6.2004379636251064E-2</v>
      </c>
      <c r="DP15" s="298">
        <f>(DK15/DN15)*DS15</f>
        <v>4.1336253090834045E-2</v>
      </c>
      <c r="DQ15" s="298">
        <f>(DL15/DN15)*DS15</f>
        <v>2.8935377163583836E-2</v>
      </c>
      <c r="DR15" s="298">
        <f>(DM15/DN15)*DS15</f>
        <v>1.2400875927250215E-2</v>
      </c>
      <c r="DS15" s="116">
        <f>'HIV Model'!AV473</f>
        <v>0.14467688581791915</v>
      </c>
      <c r="DT15" s="298">
        <f>(DO15/DS15)*DX15</f>
        <v>4.343298941426417E-2</v>
      </c>
      <c r="DU15" s="298">
        <f>(DP15/DS15)*DX15</f>
        <v>2.8955326276176113E-2</v>
      </c>
      <c r="DV15" s="298">
        <f>(DQ15/DS15)*DX15</f>
        <v>2.0268728393323283E-2</v>
      </c>
      <c r="DW15" s="298">
        <f>(DR15/DS15)*DX15</f>
        <v>8.686597882852835E-3</v>
      </c>
      <c r="DX15" s="116">
        <f>'HIV Model'!AW473</f>
        <v>0.1013436419666164</v>
      </c>
      <c r="DY15" s="298">
        <f>(DT15/DX15)*EC15</f>
        <v>3.0425227856969689E-2</v>
      </c>
      <c r="DZ15" s="298">
        <f>(DU15/DX15)*EC15</f>
        <v>2.0283485237979793E-2</v>
      </c>
      <c r="EA15" s="298">
        <f>(DV15/DX15)*EC15</f>
        <v>1.4198439666585858E-2</v>
      </c>
      <c r="EB15" s="298">
        <f>(DW15/DX15)*EC15</f>
        <v>6.085045571393939E-3</v>
      </c>
      <c r="EC15" s="116">
        <f>'HIV Model'!AX473</f>
        <v>7.0992198332929274E-2</v>
      </c>
      <c r="ED15" s="298">
        <f>(DY15/EC15)*EH15</f>
        <v>2.1313277557147684E-2</v>
      </c>
      <c r="EE15" s="298">
        <f>(DZ15/EC15)*EH15</f>
        <v>1.4208851704765123E-2</v>
      </c>
      <c r="EF15" s="298">
        <f>(EA15/EC15)*EH15</f>
        <v>9.946196193335588E-3</v>
      </c>
      <c r="EG15" s="298">
        <f>(EB15/EC15)*EH15</f>
        <v>4.2626555114295382E-3</v>
      </c>
      <c r="EH15" s="116">
        <f>'HIV Model'!AY473</f>
        <v>4.9730980966677933E-2</v>
      </c>
      <c r="EI15" s="298">
        <f>(ED15/EH15)*EM15</f>
        <v>1.4930242427666014E-2</v>
      </c>
      <c r="EJ15" s="298">
        <f>(EE15/EH15)*EM15</f>
        <v>9.9534949517773429E-3</v>
      </c>
      <c r="EK15" s="298">
        <f>(EF15/EH15)*EM15</f>
        <v>6.9674464662441409E-3</v>
      </c>
      <c r="EL15" s="298">
        <f>(EG15/EH15)*EM15</f>
        <v>2.9860484855332037E-3</v>
      </c>
      <c r="EM15" s="116">
        <f>'HIV Model'!AZ473</f>
        <v>3.4837232331220699E-2</v>
      </c>
      <c r="EN15" s="298">
        <f>(EI15/EM15)*ER15</f>
        <v>1.0458837159406334E-2</v>
      </c>
      <c r="EO15" s="298">
        <f>(EJ15/EM15)*ER15</f>
        <v>6.972558106270889E-3</v>
      </c>
      <c r="EP15" s="298">
        <f>(EK15/EM15)*ER15</f>
        <v>4.8807906743896234E-3</v>
      </c>
      <c r="EQ15" s="298">
        <f>(EL15/EM15)*ER15</f>
        <v>2.0917674318812677E-3</v>
      </c>
      <c r="ER15" s="116">
        <f>'HIV Model'!BA473</f>
        <v>2.4403953371948114E-2</v>
      </c>
    </row>
    <row r="16" spans="2:148">
      <c r="B16" s="231" t="s">
        <v>81</v>
      </c>
      <c r="D16" s="297"/>
      <c r="E16" s="297"/>
      <c r="F16" s="297"/>
      <c r="G16" s="297"/>
      <c r="I16" s="297"/>
      <c r="J16" s="297"/>
      <c r="K16" s="297"/>
      <c r="L16" s="297"/>
      <c r="N16" s="297"/>
      <c r="O16" s="297"/>
      <c r="P16" s="297"/>
      <c r="Q16" s="297"/>
      <c r="S16" s="297">
        <v>0</v>
      </c>
      <c r="T16" s="297">
        <v>0</v>
      </c>
      <c r="U16" s="297">
        <v>0</v>
      </c>
      <c r="V16" s="297">
        <v>0</v>
      </c>
      <c r="W16" s="116">
        <f>+V16+U16+T16+S16</f>
        <v>0</v>
      </c>
      <c r="X16" s="297">
        <v>28.213000000000001</v>
      </c>
      <c r="Y16" s="297">
        <v>12.039</v>
      </c>
      <c r="Z16" s="297">
        <v>26.898</v>
      </c>
      <c r="AA16" s="297">
        <v>22.942</v>
      </c>
      <c r="AB16" s="116">
        <f>+AA16+Z16+Y16+X16</f>
        <v>90.092000000000013</v>
      </c>
      <c r="AC16" s="297">
        <v>21.207999999999998</v>
      </c>
      <c r="AD16" s="297">
        <f>26.066</f>
        <v>26.065999999999999</v>
      </c>
      <c r="AE16" s="297">
        <v>22.675999999999998</v>
      </c>
      <c r="AF16" s="297">
        <v>25.62</v>
      </c>
      <c r="AG16" s="116">
        <f>+AF16+AE16+AD16+AC16</f>
        <v>95.57</v>
      </c>
      <c r="AH16" s="297">
        <v>23.882999999999999</v>
      </c>
      <c r="AI16" s="297">
        <v>30.994</v>
      </c>
      <c r="AJ16" s="297">
        <v>26.207000000000001</v>
      </c>
      <c r="AK16" s="297">
        <v>25.99</v>
      </c>
      <c r="AL16" s="116">
        <f>+AK16+AJ16+AI16+AH16</f>
        <v>107.074</v>
      </c>
      <c r="AM16" s="297">
        <v>25.684999999999999</v>
      </c>
      <c r="AN16" s="297">
        <v>25.058</v>
      </c>
      <c r="AO16" s="297">
        <v>27.047000000000001</v>
      </c>
      <c r="AP16" s="297">
        <v>26.959</v>
      </c>
      <c r="AQ16" s="116">
        <f>+AP16+AO16+AN16+AM16</f>
        <v>104.749</v>
      </c>
      <c r="AR16" s="297">
        <v>29.536000000000001</v>
      </c>
      <c r="AS16" s="297">
        <v>26.381</v>
      </c>
      <c r="AT16" s="297">
        <v>29.343</v>
      </c>
      <c r="AU16" s="297">
        <v>34.130000000000003</v>
      </c>
      <c r="AV16" s="116">
        <f>+AU16+AT16+AS16+AR16</f>
        <v>119.39</v>
      </c>
      <c r="AW16" s="297">
        <v>19.902999999999999</v>
      </c>
      <c r="AX16" s="297">
        <v>19.366</v>
      </c>
      <c r="AY16" s="297">
        <v>22.248000000000001</v>
      </c>
      <c r="AZ16" s="297">
        <v>23.297000000000001</v>
      </c>
      <c r="BA16" s="116">
        <f>SUM(AW16:AZ16)</f>
        <v>84.813999999999993</v>
      </c>
      <c r="BB16" s="298">
        <v>25.152000000000001</v>
      </c>
      <c r="BC16" s="298">
        <v>29.193999999999999</v>
      </c>
      <c r="BD16" s="298">
        <v>33.978000000000002</v>
      </c>
      <c r="BE16" s="298">
        <v>36.904000000000003</v>
      </c>
      <c r="BF16" s="116">
        <f>SUM(BB16:BE16)</f>
        <v>125.22800000000001</v>
      </c>
      <c r="BG16" s="298">
        <v>39.497999999999998</v>
      </c>
      <c r="BH16" s="298">
        <v>48.180999999999997</v>
      </c>
      <c r="BI16" s="298">
        <v>36.659999999999997</v>
      </c>
      <c r="BJ16" s="299">
        <v>52.652999999999999</v>
      </c>
      <c r="BK16" s="116">
        <f>SUM(BG16:BJ16)</f>
        <v>176.99199999999999</v>
      </c>
      <c r="BL16" s="299">
        <v>45.506999999999998</v>
      </c>
      <c r="BM16" s="299">
        <v>56.588999999999999</v>
      </c>
      <c r="BN16" s="299">
        <v>65.805999999999997</v>
      </c>
      <c r="BO16" s="299">
        <v>70</v>
      </c>
      <c r="BP16" s="116">
        <f>SUM(BL16:BO16)</f>
        <v>237.90199999999999</v>
      </c>
      <c r="BQ16" s="299">
        <v>54</v>
      </c>
      <c r="BR16" s="299">
        <v>60</v>
      </c>
      <c r="BS16" s="299">
        <v>70</v>
      </c>
      <c r="BT16" s="299">
        <v>73</v>
      </c>
      <c r="BU16" s="116">
        <f>SUM(BQ16:BT16)</f>
        <v>257</v>
      </c>
      <c r="BV16" s="299">
        <v>73</v>
      </c>
      <c r="BW16" s="299">
        <v>64</v>
      </c>
      <c r="BX16" s="299">
        <v>71</v>
      </c>
      <c r="BY16" s="299">
        <v>85</v>
      </c>
      <c r="BZ16" s="696">
        <f>SUM(BV16:BY16)</f>
        <v>293</v>
      </c>
      <c r="CA16" s="299">
        <v>72</v>
      </c>
      <c r="CB16" s="299">
        <v>83</v>
      </c>
      <c r="CC16" s="299">
        <v>82</v>
      </c>
      <c r="CD16" s="996">
        <v>57</v>
      </c>
      <c r="CE16" s="116">
        <f t="shared" si="11"/>
        <v>294</v>
      </c>
      <c r="CF16" s="298">
        <f>(CA16/CE16)*CJ16</f>
        <v>14.693877551020408</v>
      </c>
      <c r="CG16" s="298">
        <f>(CB16/CE16)*CJ16</f>
        <v>16.938775510204081</v>
      </c>
      <c r="CH16" s="298">
        <f>(CC16/CE16)*CJ16</f>
        <v>16.73469387755102</v>
      </c>
      <c r="CI16" s="298">
        <f>(CD16/CE16)*CJ16</f>
        <v>11.63265306122449</v>
      </c>
      <c r="CJ16" s="116">
        <f>'HIV Model'!AO477</f>
        <v>60</v>
      </c>
      <c r="CK16" s="298">
        <f>(CF16/CJ16)*CO16</f>
        <v>4.408163265306122</v>
      </c>
      <c r="CL16" s="298">
        <f>(CG16/CJ16)*CO16</f>
        <v>5.0816326530612237</v>
      </c>
      <c r="CM16" s="298">
        <f>(CH16/CJ16)*CO16</f>
        <v>5.0204081632653059</v>
      </c>
      <c r="CN16" s="298">
        <f>(CI16/CJ16)*CO16</f>
        <v>3.4897959183673466</v>
      </c>
      <c r="CO16" s="116">
        <f>'HIV Model'!AP477</f>
        <v>18</v>
      </c>
      <c r="CP16" s="298">
        <f>(CK16/CO16)*CT16</f>
        <v>0.4408163265306122</v>
      </c>
      <c r="CQ16" s="298">
        <f>(CL16/CO16)*CT16</f>
        <v>0.50816326530612244</v>
      </c>
      <c r="CR16" s="298">
        <f>(CM16/CO16)*CT16</f>
        <v>0.50204081632653064</v>
      </c>
      <c r="CS16" s="298">
        <f>(CN16/CO16)*CT16</f>
        <v>0.34897959183673471</v>
      </c>
      <c r="CT16" s="116">
        <f>'HIV Model'!AQ477</f>
        <v>1.8</v>
      </c>
      <c r="CU16" s="298">
        <f>(CP16/CT16)*CY16</f>
        <v>4.4081632653061226E-2</v>
      </c>
      <c r="CV16" s="298">
        <f>(CQ16/CT16)*CY16</f>
        <v>5.0816326530612251E-2</v>
      </c>
      <c r="CW16" s="298">
        <f>(CR16/CT16)*CY16</f>
        <v>5.0204081632653073E-2</v>
      </c>
      <c r="CX16" s="298">
        <f>(CS16/CT16)*CY16</f>
        <v>3.4897959183673471E-2</v>
      </c>
      <c r="CY16" s="116">
        <f>'HIV Model'!AR477</f>
        <v>0.18000000000000002</v>
      </c>
      <c r="CZ16" s="298">
        <f>(CU16/CY16)*DD16</f>
        <v>4.4081632653061222E-3</v>
      </c>
      <c r="DA16" s="298">
        <f>(CV16/CY16)*DD16</f>
        <v>5.0816326530612249E-3</v>
      </c>
      <c r="DB16" s="298">
        <f>(CW16/CY16)*DD16</f>
        <v>5.0204081632653072E-3</v>
      </c>
      <c r="DC16" s="298">
        <f>(CX16/CY16)*DD16</f>
        <v>3.4897959183673474E-3</v>
      </c>
      <c r="DD16" s="116">
        <f>'HIV Model'!AS477</f>
        <v>1.8000000000000002E-2</v>
      </c>
      <c r="DE16" s="298">
        <f>(CZ16/DD16)*DI16</f>
        <v>4.4081632653061235E-4</v>
      </c>
      <c r="DF16" s="298">
        <f>(DA16/DD16)*DI16</f>
        <v>5.0816326530612262E-4</v>
      </c>
      <c r="DG16" s="298">
        <f>(DB16/DD16)*DI16</f>
        <v>5.0204081632653082E-4</v>
      </c>
      <c r="DH16" s="298">
        <f>(DC16/DD16)*DI16</f>
        <v>3.4897959183673481E-4</v>
      </c>
      <c r="DI16" s="116">
        <f>'HIV Model'!AT477</f>
        <v>1.8000000000000006E-3</v>
      </c>
      <c r="DJ16" s="298">
        <f>(DE16/DI16)*DN16</f>
        <v>4.4081632653061239E-5</v>
      </c>
      <c r="DK16" s="298">
        <f>(DF16/DI16)*DN16</f>
        <v>5.0816326530612265E-5</v>
      </c>
      <c r="DL16" s="298">
        <f>(DG16/DI16)*DN16</f>
        <v>5.0204081632653093E-5</v>
      </c>
      <c r="DM16" s="298">
        <f>(DH16/DI16)*DN16</f>
        <v>3.4897959183673489E-5</v>
      </c>
      <c r="DN16" s="116">
        <f>'HIV Model'!AU477</f>
        <v>1.8000000000000009E-4</v>
      </c>
      <c r="DO16" s="298">
        <f>(DJ16/DN16)*DS16</f>
        <v>4.4081632653061241E-6</v>
      </c>
      <c r="DP16" s="298">
        <f>(DK16/DN16)*DS16</f>
        <v>5.0816326530612273E-6</v>
      </c>
      <c r="DQ16" s="298">
        <f>(DL16/DN16)*DS16</f>
        <v>5.0204081632653097E-6</v>
      </c>
      <c r="DR16" s="298">
        <f>(DM16/DN16)*DS16</f>
        <v>3.4897959183673496E-6</v>
      </c>
      <c r="DS16" s="116">
        <f>'HIV Model'!AV477</f>
        <v>1.8000000000000011E-5</v>
      </c>
      <c r="DT16" s="298">
        <f>(DO16/DS16)*DX16</f>
        <v>4.4081632653061237E-7</v>
      </c>
      <c r="DU16" s="298">
        <f>(DP16/DS16)*DX16</f>
        <v>5.0816326530612269E-7</v>
      </c>
      <c r="DV16" s="298">
        <f>(DQ16/DS16)*DX16</f>
        <v>5.0204081632653095E-7</v>
      </c>
      <c r="DW16" s="298">
        <f>(DR16/DS16)*DX16</f>
        <v>3.4897959183673492E-7</v>
      </c>
      <c r="DX16" s="116">
        <f>'HIV Model'!AW477</f>
        <v>1.800000000000001E-6</v>
      </c>
      <c r="DY16" s="298">
        <f>(DT16/DX16)*EC16</f>
        <v>4.4081632653061243E-8</v>
      </c>
      <c r="DZ16" s="298">
        <f>(DU16/DX16)*EC16</f>
        <v>5.0816326530612277E-8</v>
      </c>
      <c r="EA16" s="298">
        <f>(DV16/DX16)*EC16</f>
        <v>5.0204081632653104E-8</v>
      </c>
      <c r="EB16" s="298">
        <f>(DW16/DX16)*EC16</f>
        <v>3.4897959183673499E-8</v>
      </c>
      <c r="EC16" s="116">
        <f>'HIV Model'!AX477</f>
        <v>1.8000000000000013E-7</v>
      </c>
      <c r="ED16" s="298">
        <f>(DY16/EC16)*EH16</f>
        <v>4.4081632653061248E-9</v>
      </c>
      <c r="EE16" s="298">
        <f>(DZ16/EC16)*EH16</f>
        <v>5.0816326530612283E-9</v>
      </c>
      <c r="EF16" s="298">
        <f>(EA16/EC16)*EH16</f>
        <v>5.0204081632653109E-9</v>
      </c>
      <c r="EG16" s="298">
        <f>(EB16/EC16)*EH16</f>
        <v>3.4897959183673503E-9</v>
      </c>
      <c r="EH16" s="116">
        <f>'HIV Model'!AY477</f>
        <v>1.8000000000000016E-8</v>
      </c>
      <c r="EI16" s="298">
        <f>(ED16/EH16)*EM16</f>
        <v>4.4081632653061242E-10</v>
      </c>
      <c r="EJ16" s="298">
        <f>(EE16/EH16)*EM16</f>
        <v>5.0816326530612279E-10</v>
      </c>
      <c r="EK16" s="298">
        <f>(EF16/EH16)*EM16</f>
        <v>5.0204081632653111E-10</v>
      </c>
      <c r="EL16" s="298">
        <f>(EG16/EH16)*EM16</f>
        <v>3.4897959183673501E-10</v>
      </c>
      <c r="EM16" s="116">
        <f>'HIV Model'!AZ477</f>
        <v>1.8000000000000014E-9</v>
      </c>
      <c r="EN16" s="298">
        <f>(EI16/EM16)*ER16</f>
        <v>4.4081632653061249E-11</v>
      </c>
      <c r="EO16" s="298">
        <f>(EJ16/EM16)*ER16</f>
        <v>5.0816326530612282E-11</v>
      </c>
      <c r="EP16" s="298">
        <f>(EK16/EM16)*ER16</f>
        <v>5.0204081632653112E-11</v>
      </c>
      <c r="EQ16" s="298">
        <f>(EL16/EM16)*ER16</f>
        <v>3.4897959183673505E-11</v>
      </c>
      <c r="ER16" s="116">
        <f>'HIV Model'!BA477</f>
        <v>1.8000000000000015E-10</v>
      </c>
    </row>
    <row r="17" spans="2:148">
      <c r="B17" s="231"/>
      <c r="D17" s="297"/>
      <c r="E17" s="297"/>
      <c r="F17" s="297"/>
      <c r="G17" s="297"/>
      <c r="I17" s="297"/>
      <c r="J17" s="297"/>
      <c r="K17" s="297"/>
      <c r="L17" s="297"/>
      <c r="N17" s="297"/>
      <c r="O17" s="297"/>
      <c r="P17" s="297"/>
      <c r="Q17" s="297"/>
      <c r="S17" s="297"/>
      <c r="T17" s="297"/>
      <c r="U17" s="297"/>
      <c r="V17" s="297"/>
      <c r="X17" s="297"/>
      <c r="Y17" s="297"/>
      <c r="Z17" s="297"/>
      <c r="AA17" s="297"/>
      <c r="AC17" s="297"/>
      <c r="AD17" s="297"/>
      <c r="AE17" s="297"/>
      <c r="AF17" s="297"/>
      <c r="AH17" s="297"/>
      <c r="AI17" s="297"/>
      <c r="AJ17" s="297"/>
      <c r="AK17" s="297"/>
      <c r="AM17" s="297"/>
      <c r="AN17" s="297"/>
      <c r="AO17" s="297"/>
      <c r="AP17" s="297"/>
      <c r="AR17" s="297"/>
      <c r="AS17" s="297"/>
      <c r="AT17" s="297"/>
      <c r="AU17" s="297"/>
      <c r="AW17" s="297"/>
      <c r="AX17" s="297"/>
      <c r="AY17" s="297"/>
      <c r="AZ17" s="297"/>
      <c r="BB17" s="298"/>
      <c r="BC17" s="298"/>
      <c r="BD17" s="298"/>
      <c r="BE17" s="298"/>
      <c r="BG17" s="298"/>
      <c r="BH17" s="298"/>
      <c r="BI17" s="298"/>
      <c r="BJ17" s="298"/>
      <c r="BL17" s="298"/>
      <c r="BM17" s="298"/>
      <c r="BN17" s="298"/>
      <c r="BO17" s="298"/>
      <c r="BQ17" s="298"/>
      <c r="BR17" s="298"/>
      <c r="BS17" s="298"/>
      <c r="BT17" s="298"/>
      <c r="BV17" s="298"/>
      <c r="BW17" s="298"/>
      <c r="BX17" s="298"/>
      <c r="BY17" s="298"/>
      <c r="CA17" s="298"/>
      <c r="CB17" s="298"/>
      <c r="CC17" s="298"/>
      <c r="CD17" s="298"/>
      <c r="CF17" s="298"/>
      <c r="CG17" s="298"/>
      <c r="CH17" s="298"/>
      <c r="CI17" s="298"/>
      <c r="CK17" s="298"/>
      <c r="CL17" s="298"/>
      <c r="CM17" s="298"/>
      <c r="CN17" s="298"/>
      <c r="CP17" s="298"/>
      <c r="CQ17" s="298"/>
      <c r="CR17" s="298"/>
      <c r="CS17" s="298"/>
      <c r="CU17" s="298"/>
      <c r="CV17" s="298"/>
      <c r="CW17" s="298"/>
      <c r="CX17" s="298"/>
      <c r="CZ17" s="298"/>
      <c r="DA17" s="298"/>
      <c r="DB17" s="298"/>
      <c r="DC17" s="298"/>
      <c r="DE17" s="298"/>
      <c r="DF17" s="298"/>
      <c r="DG17" s="298"/>
      <c r="DH17" s="298"/>
      <c r="DJ17" s="298"/>
      <c r="DK17" s="298"/>
      <c r="DL17" s="298"/>
      <c r="DM17" s="298"/>
      <c r="DO17" s="298"/>
      <c r="DP17" s="298"/>
      <c r="DQ17" s="298"/>
      <c r="DR17" s="298"/>
      <c r="DT17" s="298"/>
      <c r="DU17" s="298"/>
      <c r="DV17" s="298"/>
      <c r="DW17" s="298"/>
      <c r="DY17" s="298"/>
      <c r="DZ17" s="298"/>
      <c r="EA17" s="298"/>
      <c r="EB17" s="298"/>
      <c r="ED17" s="298"/>
      <c r="EE17" s="298"/>
      <c r="EF17" s="298"/>
      <c r="EG17" s="298"/>
      <c r="EI17" s="298"/>
      <c r="EJ17" s="298"/>
      <c r="EK17" s="298"/>
      <c r="EL17" s="298"/>
      <c r="EN17" s="298"/>
      <c r="EO17" s="298"/>
      <c r="EP17" s="298"/>
      <c r="EQ17" s="298"/>
    </row>
    <row r="18" spans="2:148">
      <c r="B18" s="230" t="s">
        <v>851</v>
      </c>
      <c r="D18" s="297"/>
      <c r="E18" s="297"/>
      <c r="F18" s="297"/>
      <c r="G18" s="297"/>
      <c r="I18" s="297"/>
      <c r="J18" s="297"/>
      <c r="K18" s="297"/>
      <c r="L18" s="297"/>
      <c r="N18" s="297"/>
      <c r="O18" s="297"/>
      <c r="P18" s="297"/>
      <c r="Q18" s="297"/>
      <c r="S18" s="297"/>
      <c r="T18" s="297"/>
      <c r="U18" s="297"/>
      <c r="V18" s="297"/>
      <c r="X18" s="297"/>
      <c r="Y18" s="297"/>
      <c r="Z18" s="297"/>
      <c r="AA18" s="297"/>
      <c r="AC18" s="297"/>
      <c r="AD18" s="297"/>
      <c r="AE18" s="297"/>
      <c r="AF18" s="297"/>
      <c r="AH18" s="297"/>
      <c r="AI18" s="297"/>
      <c r="AJ18" s="297"/>
      <c r="AK18" s="297"/>
      <c r="AM18" s="297"/>
      <c r="AN18" s="297"/>
      <c r="AO18" s="297"/>
      <c r="AP18" s="297"/>
      <c r="AQ18" s="230"/>
      <c r="AR18" s="297"/>
      <c r="AS18" s="297"/>
      <c r="AT18" s="297"/>
      <c r="AU18" s="297"/>
      <c r="AV18" s="230"/>
      <c r="AW18" s="352"/>
      <c r="AX18" s="352"/>
      <c r="AY18" s="352">
        <f>AY19+AY20+AY21</f>
        <v>19.044</v>
      </c>
      <c r="AZ18" s="352">
        <f>AZ19+AZ20+AZ21</f>
        <v>19.703000000000003</v>
      </c>
      <c r="BA18" s="230">
        <f>BA19+BA20+BA21</f>
        <v>38.747000000000007</v>
      </c>
      <c r="BB18" s="353">
        <f t="shared" ref="BB18:DI18" si="12">+BB19+BB20+BB21</f>
        <v>52.180000000000007</v>
      </c>
      <c r="BC18" s="353">
        <f t="shared" si="12"/>
        <v>72.908999999999992</v>
      </c>
      <c r="BD18" s="353">
        <f t="shared" si="12"/>
        <v>99.296999999999997</v>
      </c>
      <c r="BE18" s="353">
        <f t="shared" si="12"/>
        <v>117.81400000000001</v>
      </c>
      <c r="BF18" s="230">
        <f t="shared" si="12"/>
        <v>342.20000000000005</v>
      </c>
      <c r="BG18" s="353">
        <f t="shared" si="12"/>
        <v>148.18900000000002</v>
      </c>
      <c r="BH18" s="353">
        <f t="shared" si="12"/>
        <v>188.68299999999999</v>
      </c>
      <c r="BI18" s="353">
        <f t="shared" si="12"/>
        <v>210.73600000000002</v>
      </c>
      <c r="BJ18" s="353">
        <f t="shared" si="12"/>
        <v>261.84399999999999</v>
      </c>
      <c r="BK18" s="230">
        <f t="shared" si="12"/>
        <v>809.452</v>
      </c>
      <c r="BL18" s="353">
        <f t="shared" si="12"/>
        <v>250.73299999999998</v>
      </c>
      <c r="BM18" s="353">
        <f t="shared" si="12"/>
        <v>299.464</v>
      </c>
      <c r="BN18" s="353">
        <f t="shared" si="12"/>
        <v>330.26300000000003</v>
      </c>
      <c r="BO18" s="353">
        <f t="shared" si="12"/>
        <v>348</v>
      </c>
      <c r="BP18" s="230">
        <f>+BP19+BP20+BP21</f>
        <v>1228.46</v>
      </c>
      <c r="BQ18" s="353">
        <f t="shared" si="12"/>
        <v>320</v>
      </c>
      <c r="BR18" s="353">
        <f t="shared" si="12"/>
        <v>367</v>
      </c>
      <c r="BS18" s="353">
        <f t="shared" si="12"/>
        <v>360</v>
      </c>
      <c r="BT18" s="353">
        <f t="shared" si="12"/>
        <v>380</v>
      </c>
      <c r="BU18" s="230">
        <f t="shared" si="12"/>
        <v>1427</v>
      </c>
      <c r="BV18" s="353">
        <f t="shared" si="12"/>
        <v>381</v>
      </c>
      <c r="BW18" s="353">
        <f t="shared" si="12"/>
        <v>368</v>
      </c>
      <c r="BX18" s="353">
        <f t="shared" si="12"/>
        <v>411</v>
      </c>
      <c r="BY18" s="353">
        <f t="shared" si="12"/>
        <v>297</v>
      </c>
      <c r="BZ18" s="230">
        <f t="shared" si="12"/>
        <v>1457</v>
      </c>
      <c r="CA18" s="353">
        <f t="shared" si="12"/>
        <v>253</v>
      </c>
      <c r="CB18" s="353">
        <f t="shared" si="12"/>
        <v>254</v>
      </c>
      <c r="CC18" s="353">
        <f t="shared" si="12"/>
        <v>237</v>
      </c>
      <c r="CD18" s="353">
        <f t="shared" si="12"/>
        <v>222</v>
      </c>
      <c r="CE18" s="230">
        <f t="shared" si="12"/>
        <v>966</v>
      </c>
      <c r="CF18" s="353">
        <f t="shared" si="12"/>
        <v>198.43583780310763</v>
      </c>
      <c r="CG18" s="353">
        <f t="shared" si="12"/>
        <v>194.38575120627314</v>
      </c>
      <c r="CH18" s="353">
        <f t="shared" si="12"/>
        <v>188.11531625787492</v>
      </c>
      <c r="CI18" s="353">
        <f t="shared" si="12"/>
        <v>172.09260573654549</v>
      </c>
      <c r="CJ18" s="230">
        <f t="shared" si="12"/>
        <v>753.02951100380119</v>
      </c>
      <c r="CK18" s="353">
        <f t="shared" si="12"/>
        <v>169.72244542290827</v>
      </c>
      <c r="CL18" s="353">
        <f t="shared" si="12"/>
        <v>167.68040075431486</v>
      </c>
      <c r="CM18" s="353">
        <f t="shared" si="12"/>
        <v>165.42107124181982</v>
      </c>
      <c r="CN18" s="353">
        <f t="shared" si="12"/>
        <v>150.31097410740509</v>
      </c>
      <c r="CO18" s="230">
        <f t="shared" si="12"/>
        <v>653.13489152644809</v>
      </c>
      <c r="CP18" s="353">
        <f t="shared" si="12"/>
        <v>156.40719954611143</v>
      </c>
      <c r="CQ18" s="353">
        <f t="shared" si="12"/>
        <v>155.33052512616237</v>
      </c>
      <c r="CR18" s="353">
        <f t="shared" si="12"/>
        <v>155.00706551341924</v>
      </c>
      <c r="CS18" s="353">
        <f t="shared" si="12"/>
        <v>140.25588607396733</v>
      </c>
      <c r="CT18" s="230">
        <f t="shared" si="12"/>
        <v>607.00067625966039</v>
      </c>
      <c r="CU18" s="353">
        <f>+CU19+CU20+CU21</f>
        <v>149.83731994051462</v>
      </c>
      <c r="CV18" s="353">
        <f>+CV19+CV20+CV21</f>
        <v>149.25366019197722</v>
      </c>
      <c r="CW18" s="353">
        <f>+CW19+CW20+CW21</f>
        <v>149.92277540921879</v>
      </c>
      <c r="CX18" s="353">
        <f>+CX19+CX20+CX21</f>
        <v>135.30752147344211</v>
      </c>
      <c r="CY18" s="230">
        <f t="shared" si="12"/>
        <v>584.32127701515276</v>
      </c>
      <c r="CZ18" s="353">
        <f>+CZ19+CZ20+CZ21</f>
        <v>34.976435461664579</v>
      </c>
      <c r="DA18" s="353">
        <f>+DA19+DA20+DA21</f>
        <v>33.512817066935405</v>
      </c>
      <c r="DB18" s="353">
        <f>+DB19+DB20+DB21</f>
        <v>30.771084473313778</v>
      </c>
      <c r="DC18" s="353">
        <f>+DC19+DC20+DC21</f>
        <v>28.689087223205188</v>
      </c>
      <c r="DD18" s="230">
        <f t="shared" si="12"/>
        <v>127.94942422511896</v>
      </c>
      <c r="DE18" s="353">
        <f>+DE19+DE20+DE21</f>
        <v>9.476312839055808</v>
      </c>
      <c r="DF18" s="353">
        <f>+DF19+DF20+DF21</f>
        <v>8.9070878206886022</v>
      </c>
      <c r="DG18" s="353">
        <f>+DG19+DG20+DG21</f>
        <v>7.7873761609924648</v>
      </c>
      <c r="DH18" s="353">
        <f>+DH19+DH20+DH21</f>
        <v>7.393356789596301</v>
      </c>
      <c r="DI18" s="230">
        <f t="shared" si="12"/>
        <v>33.56413361033318</v>
      </c>
      <c r="DJ18" s="353">
        <f t="shared" ref="DJ18:DR18" si="13">+DJ19+DJ20+DJ21</f>
        <v>3.3482221559648861</v>
      </c>
      <c r="DK18" s="353">
        <f t="shared" si="13"/>
        <v>3.1207220169610954</v>
      </c>
      <c r="DL18" s="353">
        <f t="shared" si="13"/>
        <v>2.6676145628135144</v>
      </c>
      <c r="DM18" s="353">
        <f t="shared" si="13"/>
        <v>2.5521484033774424</v>
      </c>
      <c r="DN18" s="230">
        <f t="shared" si="13"/>
        <v>11.688707139116937</v>
      </c>
      <c r="DO18" s="353">
        <f t="shared" si="13"/>
        <v>0.36095557608600098</v>
      </c>
      <c r="DP18" s="353">
        <f t="shared" si="13"/>
        <v>0.33654672166380217</v>
      </c>
      <c r="DQ18" s="353">
        <f t="shared" si="13"/>
        <v>0.28792021305495746</v>
      </c>
      <c r="DR18" s="353">
        <f t="shared" si="13"/>
        <v>0.27623074448773188</v>
      </c>
      <c r="DS18" s="230">
        <f t="shared" ref="DS18:EQ18" si="14">+DS19+DS20+DS21</f>
        <v>1.2616532552924926</v>
      </c>
      <c r="DT18" s="353">
        <f t="shared" si="14"/>
        <v>4.2027082578922667E-2</v>
      </c>
      <c r="DU18" s="353">
        <f t="shared" si="14"/>
        <v>3.9212912467561784E-2</v>
      </c>
      <c r="DV18" s="353">
        <f t="shared" si="14"/>
        <v>3.360388599622581E-2</v>
      </c>
      <c r="DW18" s="353">
        <f t="shared" si="14"/>
        <v>3.2420553420657514E-2</v>
      </c>
      <c r="DX18" s="230">
        <f t="shared" si="14"/>
        <v>0.14726443446336779</v>
      </c>
      <c r="DY18" s="353">
        <f t="shared" si="14"/>
        <v>5.6249956207142428E-3</v>
      </c>
      <c r="DZ18" s="353">
        <f t="shared" si="14"/>
        <v>5.2544278613245853E-3</v>
      </c>
      <c r="EA18" s="353">
        <f t="shared" si="14"/>
        <v>4.5152432867223286E-3</v>
      </c>
      <c r="EB18" s="353">
        <f t="shared" si="14"/>
        <v>4.3954614669846582E-3</v>
      </c>
      <c r="EC18" s="230">
        <f t="shared" si="14"/>
        <v>1.9790128235745816E-2</v>
      </c>
      <c r="ED18" s="353">
        <f t="shared" si="14"/>
        <v>9.1197106891069044E-4</v>
      </c>
      <c r="EE18" s="353">
        <f t="shared" si="14"/>
        <v>8.530464127448048E-4</v>
      </c>
      <c r="EF18" s="353">
        <f t="shared" si="14"/>
        <v>7.3539417155891258E-4</v>
      </c>
      <c r="EG18" s="353">
        <f t="shared" si="14"/>
        <v>7.2327014022662212E-4</v>
      </c>
      <c r="EH18" s="230">
        <f t="shared" si="14"/>
        <v>3.2236817934410298E-3</v>
      </c>
      <c r="EI18" s="353">
        <f t="shared" si="14"/>
        <v>1.7795088632239768E-4</v>
      </c>
      <c r="EJ18" s="353">
        <f t="shared" si="14"/>
        <v>1.6663370547157061E-4</v>
      </c>
      <c r="EK18" s="353">
        <f t="shared" si="14"/>
        <v>1.4401925055983393E-4</v>
      </c>
      <c r="EL18" s="353">
        <f t="shared" si="14"/>
        <v>1.4279216380183799E-4</v>
      </c>
      <c r="EM18" s="230">
        <f t="shared" si="14"/>
        <v>6.3139600615564023E-4</v>
      </c>
      <c r="EN18" s="353">
        <f t="shared" si="14"/>
        <v>3.9421720610540248E-5</v>
      </c>
      <c r="EO18" s="353">
        <f>+EO19+EO20+EO21</f>
        <v>3.6938076365434238E-5</v>
      </c>
      <c r="EP18" s="353">
        <f t="shared" si="14"/>
        <v>3.1972798724026431E-5</v>
      </c>
      <c r="EQ18" s="353">
        <f t="shared" si="14"/>
        <v>3.1848611883075462E-5</v>
      </c>
      <c r="ER18" s="230">
        <f>+ER19+ER20+ER21</f>
        <v>1.401812075830764E-4</v>
      </c>
    </row>
    <row r="19" spans="2:148">
      <c r="B19" s="231" t="s">
        <v>724</v>
      </c>
      <c r="D19" s="297"/>
      <c r="E19" s="297"/>
      <c r="F19" s="297"/>
      <c r="G19" s="297"/>
      <c r="I19" s="297"/>
      <c r="J19" s="297"/>
      <c r="K19" s="297"/>
      <c r="L19" s="297"/>
      <c r="N19" s="297"/>
      <c r="O19" s="297"/>
      <c r="P19" s="297"/>
      <c r="Q19" s="297"/>
      <c r="S19" s="297"/>
      <c r="T19" s="297"/>
      <c r="U19" s="297"/>
      <c r="V19" s="297"/>
      <c r="X19" s="297"/>
      <c r="Y19" s="297"/>
      <c r="Z19" s="297"/>
      <c r="AA19" s="297"/>
      <c r="AC19" s="297"/>
      <c r="AD19" s="297"/>
      <c r="AE19" s="297"/>
      <c r="AF19" s="297"/>
      <c r="AH19" s="297"/>
      <c r="AI19" s="297"/>
      <c r="AJ19" s="297"/>
      <c r="AK19" s="297"/>
      <c r="AM19" s="297"/>
      <c r="AN19" s="297"/>
      <c r="AO19" s="297"/>
      <c r="AP19" s="297"/>
      <c r="AR19" s="297"/>
      <c r="AS19" s="297"/>
      <c r="AT19" s="297"/>
      <c r="AU19" s="297"/>
      <c r="AW19" s="297"/>
      <c r="AX19" s="297"/>
      <c r="AY19" s="297">
        <v>19.044</v>
      </c>
      <c r="AZ19" s="297">
        <v>19.463000000000001</v>
      </c>
      <c r="BA19" s="116">
        <f>SUM(AW19:AZ19)</f>
        <v>38.507000000000005</v>
      </c>
      <c r="BB19" s="298">
        <v>48.639000000000003</v>
      </c>
      <c r="BC19" s="298">
        <v>65.004000000000005</v>
      </c>
      <c r="BD19" s="298">
        <v>82.099000000000004</v>
      </c>
      <c r="BE19" s="298">
        <v>84.328000000000003</v>
      </c>
      <c r="BF19" s="116">
        <f>SUM(BB19:BE19)</f>
        <v>280.07000000000005</v>
      </c>
      <c r="BG19" s="298">
        <v>103.297</v>
      </c>
      <c r="BH19" s="298">
        <v>120.187</v>
      </c>
      <c r="BI19" s="298">
        <v>126.88800000000001</v>
      </c>
      <c r="BJ19" s="299">
        <v>152.81800000000001</v>
      </c>
      <c r="BK19" s="116">
        <f>SUM(BG19:BJ19)</f>
        <v>503.18999999999994</v>
      </c>
      <c r="BL19" s="299">
        <v>130.42599999999999</v>
      </c>
      <c r="BM19" s="299">
        <v>153.846</v>
      </c>
      <c r="BN19" s="299">
        <v>183.06100000000001</v>
      </c>
      <c r="BO19" s="299">
        <v>196</v>
      </c>
      <c r="BP19" s="116">
        <f>SUM(BL19:BO19)</f>
        <v>663.33299999999997</v>
      </c>
      <c r="BQ19" s="299">
        <v>163</v>
      </c>
      <c r="BR19" s="299">
        <v>207</v>
      </c>
      <c r="BS19" s="299">
        <v>210</v>
      </c>
      <c r="BT19" s="299">
        <v>216</v>
      </c>
      <c r="BU19" s="116">
        <f>SUM(BQ19:BT19)</f>
        <v>796</v>
      </c>
      <c r="BV19" s="299">
        <v>222</v>
      </c>
      <c r="BW19" s="299">
        <v>199</v>
      </c>
      <c r="BX19" s="299">
        <v>254</v>
      </c>
      <c r="BY19" s="299">
        <v>146</v>
      </c>
      <c r="BZ19" s="696">
        <f>SUM(BV19:BY19)</f>
        <v>821</v>
      </c>
      <c r="CA19" s="299">
        <v>112</v>
      </c>
      <c r="CB19" s="299">
        <v>112</v>
      </c>
      <c r="CC19" s="299">
        <v>91</v>
      </c>
      <c r="CD19" s="996">
        <v>91</v>
      </c>
      <c r="CE19" s="116">
        <f>SUM(CA19:CD19)</f>
        <v>406</v>
      </c>
      <c r="CF19" s="299">
        <v>70</v>
      </c>
      <c r="CG19" s="298">
        <v>65</v>
      </c>
      <c r="CH19" s="298">
        <v>55</v>
      </c>
      <c r="CI19" s="298">
        <f>CJ19-CF19-CG19-CH19</f>
        <v>52.700326318201348</v>
      </c>
      <c r="CJ19" s="116">
        <f>'HIV Model'!AO181</f>
        <v>242.70032631820135</v>
      </c>
      <c r="CK19" s="298">
        <f>(CF19/CJ19)*CO19</f>
        <v>43.357408590202063</v>
      </c>
      <c r="CL19" s="298">
        <f>(CG19/CJ19)*CO19</f>
        <v>40.260450833759059</v>
      </c>
      <c r="CM19" s="298">
        <f>(CH19/CJ19)*CO19</f>
        <v>34.066535320873051</v>
      </c>
      <c r="CN19" s="298">
        <f>(CI19/CJ19)*CO19</f>
        <v>32.642136871646215</v>
      </c>
      <c r="CO19" s="116">
        <f>'HIV Model'!AP181</f>
        <v>150.32653161648039</v>
      </c>
      <c r="CP19" s="298">
        <f>(CK19/CO19)*CT19</f>
        <v>31.261268533139489</v>
      </c>
      <c r="CQ19" s="298">
        <f>(CL19/CO19)*CT19</f>
        <v>29.028320780772383</v>
      </c>
      <c r="CR19" s="298">
        <f>(CM19/CO19)*CT19</f>
        <v>24.562425276038169</v>
      </c>
      <c r="CS19" s="298">
        <f>(CN19/CO19)*CT19</f>
        <v>23.535415040248154</v>
      </c>
      <c r="CT19" s="116">
        <f>'HIV Model'!AQ181</f>
        <v>108.3874296301982</v>
      </c>
      <c r="CU19" s="298">
        <f>(CP19/CT19)*CY19</f>
        <v>25.629527769426311</v>
      </c>
      <c r="CV19" s="298">
        <f>(CQ19/CT19)*CY19</f>
        <v>23.798847214467287</v>
      </c>
      <c r="CW19" s="298">
        <f>(CR19/CT19)*CY19</f>
        <v>20.137486104549243</v>
      </c>
      <c r="CX19" s="298">
        <f>(CS19/CT19)*CY19</f>
        <v>19.295492526145281</v>
      </c>
      <c r="CY19" s="116">
        <f>'HIV Model'!AR181</f>
        <v>88.861353614588126</v>
      </c>
      <c r="CZ19" s="298">
        <f>(CU19/CY19)*DD19</f>
        <v>21.024767590290853</v>
      </c>
      <c r="DA19" s="298">
        <f>(CV19/CY19)*DD19</f>
        <v>19.52299847669865</v>
      </c>
      <c r="DB19" s="298">
        <f>(CW19/CY19)*DD19</f>
        <v>16.519460249514243</v>
      </c>
      <c r="DC19" s="298">
        <f>(CX19/CY19)*DD19</f>
        <v>15.828744468181027</v>
      </c>
      <c r="DD19" s="116">
        <f>'HIV Model'!AS181</f>
        <v>72.895970784684778</v>
      </c>
      <c r="DE19" s="298">
        <f>(CZ19/DD19)*DI19</f>
        <v>7.7157503662688507</v>
      </c>
      <c r="DF19" s="298">
        <f>(DA19/DD19)*DI19</f>
        <v>7.1646253401067899</v>
      </c>
      <c r="DG19" s="298">
        <f>(DB19/DD19)*DI19</f>
        <v>6.0623752877826691</v>
      </c>
      <c r="DH19" s="298">
        <f>(DC19/DD19)*DI19</f>
        <v>5.808893744173572</v>
      </c>
      <c r="DI19" s="116">
        <f>'HIV Model'!AT181</f>
        <v>26.751644738331883</v>
      </c>
      <c r="DJ19" s="298">
        <f>(DE19/DI19)*DN19</f>
        <v>3.0825671877411196</v>
      </c>
      <c r="DK19" s="298">
        <f>(DF19/DI19)*DN19</f>
        <v>2.8623838171881828</v>
      </c>
      <c r="DL19" s="298">
        <f>(DG19/DI19)*DN19</f>
        <v>2.4220170760823088</v>
      </c>
      <c r="DM19" s="298">
        <f>(DH19/DI19)*DN19</f>
        <v>2.3207470955962464</v>
      </c>
      <c r="DN19" s="116">
        <f>'HIV Model'!AU181</f>
        <v>10.687715176607858</v>
      </c>
      <c r="DO19" s="298">
        <f>(DJ19/DN19)*DS19</f>
        <v>0.3121671921205289</v>
      </c>
      <c r="DP19" s="298">
        <f>(DK19/DN19)*DS19</f>
        <v>0.28986953554049111</v>
      </c>
      <c r="DQ19" s="298">
        <f>(DL19/DN19)*DS19</f>
        <v>0.2452742223804156</v>
      </c>
      <c r="DR19" s="298">
        <f>(DM19/DN19)*DS19</f>
        <v>0.23501875557983609</v>
      </c>
      <c r="DS19" s="116">
        <f>'HIV Model'!AV181</f>
        <v>1.0823297056212717</v>
      </c>
      <c r="DT19" s="298">
        <f>(DO19/DS19)*DX19</f>
        <v>3.1610380806455188E-2</v>
      </c>
      <c r="DU19" s="298">
        <f>(DP19/DS19)*DX19</f>
        <v>2.9352496463136962E-2</v>
      </c>
      <c r="DV19" s="298">
        <f>(DQ19/DS19)*DX19</f>
        <v>2.4836727776500513E-2</v>
      </c>
      <c r="DW19" s="298">
        <f>(DR19/DS19)*DX19</f>
        <v>2.3798248336325677E-2</v>
      </c>
      <c r="DX19" s="116">
        <f>'HIV Model'!AW181</f>
        <v>0.10959785338241834</v>
      </c>
      <c r="DY19" s="298">
        <f>(DT19/DX19)*EC19</f>
        <v>3.2006635319344013E-3</v>
      </c>
      <c r="DZ19" s="298">
        <f>(DU19/DX19)*EC19</f>
        <v>2.9720447082248014E-3</v>
      </c>
      <c r="EA19" s="298">
        <f>(DV19/DX19)*EC19</f>
        <v>2.5148070608056014E-3</v>
      </c>
      <c r="EB19" s="298">
        <f>(DW19/DX19)*EC19</f>
        <v>2.4096573223958547E-3</v>
      </c>
      <c r="EC19" s="116">
        <f>'HIV Model'!AX181</f>
        <v>1.1097172623360659E-2</v>
      </c>
      <c r="ED19" s="298">
        <f>(DY19/EC19)*EH19</f>
        <v>3.2405460286480549E-4</v>
      </c>
      <c r="EE19" s="298">
        <f>(DZ19/EC19)*EH19</f>
        <v>3.0090784551731935E-4</v>
      </c>
      <c r="EF19" s="298">
        <f>(EA19/EC19)*EH19</f>
        <v>2.5461433082234723E-4</v>
      </c>
      <c r="EG19" s="298">
        <f>(EB19/EC19)*EH19</f>
        <v>2.4396833308414851E-4</v>
      </c>
      <c r="EH19" s="116">
        <f>'HIV Model'!AY181</f>
        <v>1.1235451122886206E-3</v>
      </c>
      <c r="EI19" s="298">
        <f>(ED19/EH19)*EM19</f>
        <v>3.2806832095447664E-5</v>
      </c>
      <c r="EJ19" s="298">
        <f>(EE19/EH19)*EM19</f>
        <v>3.0463486945772831E-5</v>
      </c>
      <c r="EK19" s="298">
        <f>(EF19/EH19)*EM19</f>
        <v>2.5776796646423174E-5</v>
      </c>
      <c r="EL19" s="298">
        <f>(EG19/EH19)*EM19</f>
        <v>2.4699010812807621E-5</v>
      </c>
      <c r="EM19" s="116">
        <f>'HIV Model'!AZ181</f>
        <v>1.1374612650045129E-4</v>
      </c>
      <c r="EN19" s="298">
        <f>(EI19/EM19)*ER19</f>
        <v>3.3210725959993118E-6</v>
      </c>
      <c r="EO19" s="298">
        <f>(EJ19/EM19)*ER19</f>
        <v>3.0838531248565036E-6</v>
      </c>
      <c r="EP19" s="298">
        <f>(EK19/EM19)*ER19</f>
        <v>2.6094141825708887E-6</v>
      </c>
      <c r="EQ19" s="298">
        <f>(EL19/EM19)*ER19</f>
        <v>2.5003087076514259E-6</v>
      </c>
      <c r="ER19" s="116">
        <f>'HIV Model'!BA181</f>
        <v>1.151464861107813E-5</v>
      </c>
    </row>
    <row r="20" spans="2:148">
      <c r="B20" s="231" t="s">
        <v>725</v>
      </c>
      <c r="D20" s="297"/>
      <c r="E20" s="297"/>
      <c r="F20" s="297"/>
      <c r="G20" s="297"/>
      <c r="I20" s="297"/>
      <c r="J20" s="297"/>
      <c r="K20" s="297"/>
      <c r="L20" s="297"/>
      <c r="N20" s="297"/>
      <c r="O20" s="297"/>
      <c r="P20" s="297"/>
      <c r="Q20" s="297"/>
      <c r="S20" s="297"/>
      <c r="T20" s="297"/>
      <c r="U20" s="297"/>
      <c r="V20" s="297"/>
      <c r="X20" s="297"/>
      <c r="Y20" s="297"/>
      <c r="Z20" s="297"/>
      <c r="AA20" s="297"/>
      <c r="AC20" s="297"/>
      <c r="AD20" s="297"/>
      <c r="AE20" s="297"/>
      <c r="AF20" s="297"/>
      <c r="AH20" s="297"/>
      <c r="AI20" s="297"/>
      <c r="AJ20" s="297"/>
      <c r="AK20" s="297"/>
      <c r="AM20" s="297"/>
      <c r="AN20" s="297"/>
      <c r="AO20" s="297"/>
      <c r="AP20" s="297"/>
      <c r="AR20" s="297"/>
      <c r="AS20" s="297"/>
      <c r="AT20" s="297"/>
      <c r="AU20" s="297"/>
      <c r="AW20" s="297"/>
      <c r="AX20" s="297"/>
      <c r="AY20" s="297"/>
      <c r="AZ20" s="297">
        <v>8.5000000000000006E-2</v>
      </c>
      <c r="BA20" s="116">
        <f>SUM(AW20:AZ20)</f>
        <v>8.5000000000000006E-2</v>
      </c>
      <c r="BB20" s="298">
        <v>3.2669999999999999</v>
      </c>
      <c r="BC20" s="298">
        <v>7.1980000000000004</v>
      </c>
      <c r="BD20" s="298">
        <v>14.305999999999999</v>
      </c>
      <c r="BE20" s="298">
        <v>27.931999999999999</v>
      </c>
      <c r="BF20" s="116">
        <f>SUM(BB20:BE20)</f>
        <v>52.703000000000003</v>
      </c>
      <c r="BG20" s="298">
        <v>38.962000000000003</v>
      </c>
      <c r="BH20" s="298">
        <v>59.301000000000002</v>
      </c>
      <c r="BI20" s="298">
        <v>74.025000000000006</v>
      </c>
      <c r="BJ20" s="299">
        <v>95.278000000000006</v>
      </c>
      <c r="BK20" s="116">
        <f>SUM(BG20:BJ20)</f>
        <v>267.56600000000003</v>
      </c>
      <c r="BL20" s="299">
        <v>108.994</v>
      </c>
      <c r="BM20" s="299">
        <v>132.13200000000001</v>
      </c>
      <c r="BN20" s="299">
        <v>134.31100000000001</v>
      </c>
      <c r="BO20" s="299">
        <v>138</v>
      </c>
      <c r="BP20" s="116">
        <f>SUM(BL20:BO20)</f>
        <v>513.43700000000001</v>
      </c>
      <c r="BQ20" s="299">
        <v>145</v>
      </c>
      <c r="BR20" s="299">
        <v>145</v>
      </c>
      <c r="BS20" s="299">
        <v>137</v>
      </c>
      <c r="BT20" s="299">
        <v>149</v>
      </c>
      <c r="BU20" s="116">
        <f>SUM(BQ20:BT20)</f>
        <v>576</v>
      </c>
      <c r="BV20" s="299">
        <v>146</v>
      </c>
      <c r="BW20" s="299">
        <v>156</v>
      </c>
      <c r="BX20" s="299">
        <v>143</v>
      </c>
      <c r="BY20" s="299">
        <v>135</v>
      </c>
      <c r="BZ20" s="696">
        <f>SUM(BV20:BY20)</f>
        <v>580</v>
      </c>
      <c r="CA20" s="299">
        <v>125</v>
      </c>
      <c r="CB20" s="299">
        <v>127</v>
      </c>
      <c r="CC20" s="299">
        <v>133</v>
      </c>
      <c r="CD20" s="996">
        <v>118</v>
      </c>
      <c r="CE20" s="116">
        <f t="shared" ref="CE20:CE21" si="15">SUM(CA20:CD20)</f>
        <v>503</v>
      </c>
      <c r="CF20" s="298">
        <f>(CA20/CE20)*CJ20</f>
        <v>114.35864032942342</v>
      </c>
      <c r="CG20" s="298">
        <f>(CB20/CE20)*CJ20</f>
        <v>116.1883785746942</v>
      </c>
      <c r="CH20" s="298">
        <f>(CC20/CE20)*CJ20</f>
        <v>121.67759331050651</v>
      </c>
      <c r="CI20" s="298">
        <f>(CD20/CE20)*CJ20</f>
        <v>107.9545564709757</v>
      </c>
      <c r="CJ20" s="116">
        <f>'HIV Model'!AO389</f>
        <v>460.17916868559985</v>
      </c>
      <c r="CK20" s="298">
        <f>(CF20/CJ20)*CO20</f>
        <v>114.04748904323252</v>
      </c>
      <c r="CL20" s="298">
        <f>(CG20/CJ20)*CO20</f>
        <v>115.87224886792424</v>
      </c>
      <c r="CM20" s="298">
        <f>(CH20/CJ20)*CO20</f>
        <v>121.34652834199939</v>
      </c>
      <c r="CN20" s="298">
        <f>(CI20/CJ20)*CO20</f>
        <v>107.6608296568115</v>
      </c>
      <c r="CO20" s="116">
        <f>'HIV Model'!AP389</f>
        <v>458.92709590996765</v>
      </c>
      <c r="CP20" s="298">
        <f>(CK20/CO20)*CT20</f>
        <v>114.36807669718245</v>
      </c>
      <c r="CQ20" s="298">
        <f>(CL20/CO20)*CT20</f>
        <v>116.19796592433737</v>
      </c>
      <c r="CR20" s="298">
        <f>(CM20/CO20)*CT20</f>
        <v>121.68763360580212</v>
      </c>
      <c r="CS20" s="298">
        <f>(CN20/CO20)*CT20</f>
        <v>107.96346440214023</v>
      </c>
      <c r="CT20" s="116">
        <f>'HIV Model'!AQ389</f>
        <v>460.21714062946216</v>
      </c>
      <c r="CU20" s="298">
        <f>(CP20/CT20)*CY20</f>
        <v>114.77716964477251</v>
      </c>
      <c r="CV20" s="298">
        <f>(CQ20/CT20)*CY20</f>
        <v>116.61360435908888</v>
      </c>
      <c r="CW20" s="298">
        <f>(CR20/CT20)*CY20</f>
        <v>122.12290850203794</v>
      </c>
      <c r="CX20" s="298">
        <f>(CS20/CT20)*CY20</f>
        <v>108.34964814466525</v>
      </c>
      <c r="CY20" s="116">
        <f>'HIV Model'!AR389</f>
        <v>461.86333065056459</v>
      </c>
      <c r="CZ20" s="298">
        <f>(CU20/CY20)*DD20</f>
        <v>11.594012239794777</v>
      </c>
      <c r="DA20" s="298">
        <f>(CV20/CY20)*DD20</f>
        <v>11.779516435631493</v>
      </c>
      <c r="DB20" s="298">
        <f>(CW20/CY20)*DD20</f>
        <v>12.336029023141641</v>
      </c>
      <c r="DC20" s="298">
        <f>(CX20/CY20)*DD20</f>
        <v>10.944747554366268</v>
      </c>
      <c r="DD20" s="116">
        <f>'HIV Model'!AS389</f>
        <v>46.654305252934179</v>
      </c>
      <c r="DE20" s="298">
        <f>(CZ20/DD20)*DI20</f>
        <v>1.1711485648922204</v>
      </c>
      <c r="DF20" s="298">
        <f>(DA20/DD20)*DI20</f>
        <v>1.1898869419304958</v>
      </c>
      <c r="DG20" s="298">
        <f>(DB20/DD20)*DI20</f>
        <v>1.2461020730453223</v>
      </c>
      <c r="DH20" s="298">
        <f>(DC20/DD20)*DI20</f>
        <v>1.1055642452582559</v>
      </c>
      <c r="DI20" s="116">
        <f>'HIV Model'!AT389</f>
        <v>4.7127018251262944</v>
      </c>
      <c r="DJ20" s="298">
        <f>(DE20/DI20)*DN20</f>
        <v>0.11830149125008201</v>
      </c>
      <c r="DK20" s="298">
        <f>(DF20/DI20)*DN20</f>
        <v>0.1201943151100833</v>
      </c>
      <c r="DL20" s="298">
        <f>(DG20/DI20)*DN20</f>
        <v>0.12587278669008722</v>
      </c>
      <c r="DM20" s="298">
        <f>(DH20/DI20)*DN20</f>
        <v>0.1116766077400774</v>
      </c>
      <c r="DN20" s="116">
        <f>'HIV Model'!AU389</f>
        <v>0.47604520079032991</v>
      </c>
      <c r="DO20" s="298">
        <f>(DJ20/DN20)*DS20</f>
        <v>1.1950014722051025E-2</v>
      </c>
      <c r="DP20" s="298">
        <f>(DK20/DN20)*DS20</f>
        <v>1.2141214957603839E-2</v>
      </c>
      <c r="DQ20" s="298">
        <f>(DL20/DN20)*DS20</f>
        <v>1.2714815664262288E-2</v>
      </c>
      <c r="DR20" s="298">
        <f>(DM20/DN20)*DS20</f>
        <v>1.1280813897616166E-2</v>
      </c>
      <c r="DS20" s="116">
        <f>'HIV Model'!AV389</f>
        <v>4.8086859241533317E-2</v>
      </c>
      <c r="DT20" s="298">
        <f>(DO20/DS20)*DX20</f>
        <v>1.2071094616122205E-3</v>
      </c>
      <c r="DU20" s="298">
        <f>(DP20/DS20)*DX20</f>
        <v>1.2264232129980158E-3</v>
      </c>
      <c r="DV20" s="298">
        <f>(DQ20/DS20)*DX20</f>
        <v>1.2843644671554023E-3</v>
      </c>
      <c r="DW20" s="298">
        <f>(DR20/DS20)*DX20</f>
        <v>1.139511331761936E-3</v>
      </c>
      <c r="DX20" s="116">
        <f>'HIV Model'!AW389</f>
        <v>4.8574084735275745E-3</v>
      </c>
      <c r="DY20" s="298">
        <f>(DT20/DX20)*EC20</f>
        <v>1.2193401106602609E-4</v>
      </c>
      <c r="DZ20" s="298">
        <f>(DU20/DX20)*EC20</f>
        <v>1.2388495524308249E-4</v>
      </c>
      <c r="EA20" s="298">
        <f>(DV20/DX20)*EC20</f>
        <v>1.2973778777425175E-4</v>
      </c>
      <c r="EB20" s="298">
        <f>(DW20/DX20)*EC20</f>
        <v>1.1510570644632863E-4</v>
      </c>
      <c r="EC20" s="116">
        <f>'HIV Model'!AX389</f>
        <v>4.9066246052968893E-4</v>
      </c>
      <c r="ED20" s="298">
        <f>(DY20/EC20)*EH20</f>
        <v>1.2316946617431001E-5</v>
      </c>
      <c r="EE20" s="298">
        <f>(DZ20/EC20)*EH20</f>
        <v>1.2514017763309896E-5</v>
      </c>
      <c r="EF20" s="298">
        <f>(EA20/EC20)*EH20</f>
        <v>1.3105231200946582E-5</v>
      </c>
      <c r="EG20" s="298">
        <f>(EB20/EC20)*EH20</f>
        <v>1.1627197606854864E-5</v>
      </c>
      <c r="EH20" s="116">
        <f>'HIV Model'!AY389</f>
        <v>4.9563393188542339E-5</v>
      </c>
      <c r="EI20" s="298">
        <f>(ED20/EH20)*EM20</f>
        <v>1.2441743698365303E-6</v>
      </c>
      <c r="EJ20" s="298">
        <f>(EE20/EH20)*EM20</f>
        <v>1.2640811597539146E-6</v>
      </c>
      <c r="EK20" s="298">
        <f>(EF20/EH20)*EM20</f>
        <v>1.323801529506068E-6</v>
      </c>
      <c r="EL20" s="298">
        <f>(EG20/EH20)*EM20</f>
        <v>1.1745006051256846E-6</v>
      </c>
      <c r="EM20" s="116">
        <f>'HIV Model'!AZ389</f>
        <v>5.0065576642221973E-6</v>
      </c>
      <c r="EN20" s="298">
        <f>(EI20/EM20)*ER20</f>
        <v>1.2567805026256554E-7</v>
      </c>
      <c r="EO20" s="298">
        <f>(EJ20/EM20)*ER20</f>
        <v>1.2768889906676658E-7</v>
      </c>
      <c r="EP20" s="298">
        <f>(EK20/EM20)*ER20</f>
        <v>1.337214454793697E-7</v>
      </c>
      <c r="EQ20" s="298">
        <f>(EL20/EM20)*ER20</f>
        <v>1.1864007944786187E-7</v>
      </c>
      <c r="ER20" s="116">
        <f>'HIV Model'!BA389</f>
        <v>5.0572847425656367E-7</v>
      </c>
    </row>
    <row r="21" spans="2:148">
      <c r="B21" s="231" t="s">
        <v>81</v>
      </c>
      <c r="D21" s="297"/>
      <c r="E21" s="297"/>
      <c r="F21" s="297"/>
      <c r="G21" s="297"/>
      <c r="I21" s="297"/>
      <c r="J21" s="297"/>
      <c r="K21" s="297"/>
      <c r="L21" s="297"/>
      <c r="N21" s="297"/>
      <c r="O21" s="297"/>
      <c r="P21" s="297"/>
      <c r="Q21" s="297"/>
      <c r="S21" s="297"/>
      <c r="T21" s="297"/>
      <c r="U21" s="297"/>
      <c r="V21" s="297"/>
      <c r="X21" s="297"/>
      <c r="Y21" s="297"/>
      <c r="Z21" s="297"/>
      <c r="AA21" s="297"/>
      <c r="AB21" s="119"/>
      <c r="AC21" s="297"/>
      <c r="AD21" s="297"/>
      <c r="AE21" s="297"/>
      <c r="AF21" s="297"/>
      <c r="AH21" s="297"/>
      <c r="AI21" s="297"/>
      <c r="AJ21" s="297"/>
      <c r="AK21" s="297"/>
      <c r="AM21" s="297"/>
      <c r="AN21" s="297"/>
      <c r="AO21" s="297"/>
      <c r="AP21" s="297"/>
      <c r="AR21" s="297"/>
      <c r="AS21" s="297"/>
      <c r="AT21" s="297"/>
      <c r="AU21" s="297"/>
      <c r="AW21" s="297"/>
      <c r="AX21" s="297"/>
      <c r="AY21" s="297"/>
      <c r="AZ21" s="297">
        <v>0.155</v>
      </c>
      <c r="BA21" s="116">
        <f>SUM(AW21:AZ21)</f>
        <v>0.155</v>
      </c>
      <c r="BB21" s="298">
        <v>0.27400000000000002</v>
      </c>
      <c r="BC21" s="298">
        <v>0.70699999999999996</v>
      </c>
      <c r="BD21" s="298">
        <v>2.8919999999999999</v>
      </c>
      <c r="BE21" s="298">
        <v>5.5540000000000003</v>
      </c>
      <c r="BF21" s="116">
        <f>SUM(BB21:BE21)</f>
        <v>9.4269999999999996</v>
      </c>
      <c r="BG21" s="298">
        <v>5.93</v>
      </c>
      <c r="BH21" s="298">
        <v>9.1950000000000003</v>
      </c>
      <c r="BI21" s="298">
        <v>9.8230000000000004</v>
      </c>
      <c r="BJ21" s="299">
        <v>13.747999999999999</v>
      </c>
      <c r="BK21" s="116">
        <f>SUM(BG21:BJ21)</f>
        <v>38.695999999999998</v>
      </c>
      <c r="BL21" s="299">
        <v>11.313000000000001</v>
      </c>
      <c r="BM21" s="299">
        <v>13.486000000000001</v>
      </c>
      <c r="BN21" s="299">
        <v>12.891</v>
      </c>
      <c r="BO21" s="299">
        <v>14</v>
      </c>
      <c r="BP21" s="116">
        <f>SUM(BL21:BO21)</f>
        <v>51.69</v>
      </c>
      <c r="BQ21" s="299">
        <v>12</v>
      </c>
      <c r="BR21" s="299">
        <v>15</v>
      </c>
      <c r="BS21" s="299">
        <v>13</v>
      </c>
      <c r="BT21" s="299">
        <v>15</v>
      </c>
      <c r="BU21" s="116">
        <f>SUM(BQ21:BT21)</f>
        <v>55</v>
      </c>
      <c r="BV21" s="299">
        <v>13</v>
      </c>
      <c r="BW21" s="299">
        <v>13</v>
      </c>
      <c r="BX21" s="299">
        <v>14</v>
      </c>
      <c r="BY21" s="299">
        <v>16</v>
      </c>
      <c r="BZ21" s="696">
        <f>SUM(BV21:BY21)</f>
        <v>56</v>
      </c>
      <c r="CA21" s="299">
        <v>16</v>
      </c>
      <c r="CB21" s="299">
        <v>15</v>
      </c>
      <c r="CC21" s="299">
        <v>13</v>
      </c>
      <c r="CD21" s="996">
        <v>13</v>
      </c>
      <c r="CE21" s="116">
        <f t="shared" si="15"/>
        <v>57</v>
      </c>
      <c r="CF21" s="298">
        <f>(CA21/CE21)*CJ21</f>
        <v>14.07719747368421</v>
      </c>
      <c r="CG21" s="298">
        <f>(CB21/CE21)*CJ21</f>
        <v>13.197372631578947</v>
      </c>
      <c r="CH21" s="298">
        <f>(CC21/CE21)*CJ21</f>
        <v>11.437722947368421</v>
      </c>
      <c r="CI21" s="298">
        <f>(CD21/CE21)*CJ21</f>
        <v>11.437722947368421</v>
      </c>
      <c r="CJ21" s="116">
        <f>'HIV Model'!AO442</f>
        <v>50.150016000000001</v>
      </c>
      <c r="CK21" s="298">
        <f>(CF21/CJ21)*CO21</f>
        <v>12.317547789473684</v>
      </c>
      <c r="CL21" s="298">
        <f>(CG21/CJ21)*CO21</f>
        <v>11.547701052631579</v>
      </c>
      <c r="CM21" s="298">
        <f>(CH21/CJ21)*CO21</f>
        <v>10.008007578947367</v>
      </c>
      <c r="CN21" s="298">
        <f>(CI21/CJ21)*CO21</f>
        <v>10.008007578947367</v>
      </c>
      <c r="CO21" s="116">
        <f>'HIV Model'!AP442</f>
        <v>43.881264000000002</v>
      </c>
      <c r="CP21" s="298">
        <f>(CK21/CO21)*CT21</f>
        <v>10.777854315789474</v>
      </c>
      <c r="CQ21" s="298">
        <f>(CL21/CO21)*CT21</f>
        <v>10.104238421052631</v>
      </c>
      <c r="CR21" s="298">
        <f>(CM21/CO21)*CT21</f>
        <v>8.7570066315789461</v>
      </c>
      <c r="CS21" s="298">
        <f>(CN21/CO21)*CT21</f>
        <v>8.7570066315789461</v>
      </c>
      <c r="CT21" s="116">
        <f>'HIV Model'!AQ442</f>
        <v>38.396106000000003</v>
      </c>
      <c r="CU21" s="298">
        <f>(CP21/CT21)*CY21</f>
        <v>9.4306225263157888</v>
      </c>
      <c r="CV21" s="298">
        <f>(CQ21/CT21)*CY21</f>
        <v>8.8412086184210512</v>
      </c>
      <c r="CW21" s="298">
        <f>(CR21/CT21)*CY21</f>
        <v>7.6623808026315778</v>
      </c>
      <c r="CX21" s="298">
        <f>(CS21/CT21)*CY21</f>
        <v>7.6623808026315778</v>
      </c>
      <c r="CY21" s="116">
        <f>'HIV Model'!AR442</f>
        <v>33.596592749999999</v>
      </c>
      <c r="CZ21" s="298">
        <f>(CU21/CY21)*DD21</f>
        <v>2.3576556315789472</v>
      </c>
      <c r="DA21" s="298">
        <f>(CV21/CY21)*DD21</f>
        <v>2.2103021546052628</v>
      </c>
      <c r="DB21" s="298">
        <f>(CW21/CY21)*DD21</f>
        <v>1.9155952006578945</v>
      </c>
      <c r="DC21" s="298">
        <f>(CX21/CY21)*DD21</f>
        <v>1.9155952006578945</v>
      </c>
      <c r="DD21" s="116">
        <f>'HIV Model'!AS442</f>
        <v>8.3991481874999998</v>
      </c>
      <c r="DE21" s="298">
        <f>(CZ21/DD21)*DI21</f>
        <v>0.5894139078947368</v>
      </c>
      <c r="DF21" s="298">
        <f>(DA21/DD21)*DI21</f>
        <v>0.5525755386513157</v>
      </c>
      <c r="DG21" s="298">
        <f>(DB21/DD21)*DI21</f>
        <v>0.47889880016447361</v>
      </c>
      <c r="DH21" s="298">
        <f>(DC21/DD21)*DI21</f>
        <v>0.47889880016447361</v>
      </c>
      <c r="DI21" s="116">
        <f>'HIV Model'!AT442</f>
        <v>2.099787046875</v>
      </c>
      <c r="DJ21" s="298">
        <f>(DE21/DI21)*DN21</f>
        <v>0.1473534769736842</v>
      </c>
      <c r="DK21" s="298">
        <f>(DF21/DI21)*DN21</f>
        <v>0.13814388466282893</v>
      </c>
      <c r="DL21" s="298">
        <f>(DG21/DI21)*DN21</f>
        <v>0.1197247000411184</v>
      </c>
      <c r="DM21" s="298">
        <f>(DH21/DI21)*DN21</f>
        <v>0.1197247000411184</v>
      </c>
      <c r="DN21" s="116">
        <f>'HIV Model'!AU442</f>
        <v>0.52494676171874999</v>
      </c>
      <c r="DO21" s="298">
        <f>(DJ21/DN21)*DS21</f>
        <v>3.683836924342105E-2</v>
      </c>
      <c r="DP21" s="298">
        <f>(DK21/DN21)*DS21</f>
        <v>3.4535971165707231E-2</v>
      </c>
      <c r="DQ21" s="298">
        <f>(DL21/DN21)*DS21</f>
        <v>2.9931175010279601E-2</v>
      </c>
      <c r="DR21" s="298">
        <f>(DM21/DN21)*DS21</f>
        <v>2.9931175010279601E-2</v>
      </c>
      <c r="DS21" s="116">
        <f>'HIV Model'!AV442</f>
        <v>0.1312366904296875</v>
      </c>
      <c r="DT21" s="298">
        <f>(DO21/DS21)*DX21</f>
        <v>9.2095923108552625E-3</v>
      </c>
      <c r="DU21" s="298">
        <f>(DP21/DS21)*DX21</f>
        <v>8.6339927914268078E-3</v>
      </c>
      <c r="DV21" s="298">
        <f>(DQ21/DS21)*DX21</f>
        <v>7.4827937525699002E-3</v>
      </c>
      <c r="DW21" s="298">
        <f>(DR21/DS21)*DX21</f>
        <v>7.4827937525699002E-3</v>
      </c>
      <c r="DX21" s="116">
        <f>'HIV Model'!AW442</f>
        <v>3.2809172607421874E-2</v>
      </c>
      <c r="DY21" s="298">
        <f>(DT21/DX21)*EC21</f>
        <v>2.3023980777138156E-3</v>
      </c>
      <c r="DZ21" s="298">
        <f>(DU21/DX21)*EC21</f>
        <v>2.158498197856702E-3</v>
      </c>
      <c r="EA21" s="298">
        <f>(DV21/DX21)*EC21</f>
        <v>1.8706984381424751E-3</v>
      </c>
      <c r="EB21" s="298">
        <f>(DW21/DX21)*EC21</f>
        <v>1.8706984381424751E-3</v>
      </c>
      <c r="EC21" s="116">
        <f>'HIV Model'!AX442</f>
        <v>8.2022931518554686E-3</v>
      </c>
      <c r="ED21" s="298">
        <f>(DY21/EC21)*EH21</f>
        <v>5.7559951942845391E-4</v>
      </c>
      <c r="EE21" s="298">
        <f>(DZ21/EC21)*EH21</f>
        <v>5.3962454946417549E-4</v>
      </c>
      <c r="EF21" s="298">
        <f>(EA21/EC21)*EH21</f>
        <v>4.6767460953561876E-4</v>
      </c>
      <c r="EG21" s="298">
        <f>(EB21/EC21)*EH21</f>
        <v>4.6767460953561876E-4</v>
      </c>
      <c r="EH21" s="116">
        <f>'HIV Model'!AY442</f>
        <v>2.0505732879638671E-3</v>
      </c>
      <c r="EI21" s="298">
        <f>(ED21/EH21)*EM21</f>
        <v>1.4389987985711348E-4</v>
      </c>
      <c r="EJ21" s="298">
        <f>(EE21/EH21)*EM21</f>
        <v>1.3490613736604387E-4</v>
      </c>
      <c r="EK21" s="298">
        <f>(EF21/EH21)*EM21</f>
        <v>1.1691865238390469E-4</v>
      </c>
      <c r="EL21" s="298">
        <f>(EG21/EH21)*EM21</f>
        <v>1.1691865238390469E-4</v>
      </c>
      <c r="EM21" s="116">
        <f>'HIV Model'!AZ442</f>
        <v>5.1264332199096679E-4</v>
      </c>
      <c r="EN21" s="298">
        <f>(EI21/EM21)*ER21</f>
        <v>3.5974969964278369E-5</v>
      </c>
      <c r="EO21" s="298">
        <f>(EJ21/EM21)*ER21</f>
        <v>3.3726534341510968E-5</v>
      </c>
      <c r="EP21" s="298">
        <f>(EK21/EM21)*ER21</f>
        <v>2.9229663095976173E-5</v>
      </c>
      <c r="EQ21" s="298">
        <f>(EL21/EM21)*ER21</f>
        <v>2.9229663095976173E-5</v>
      </c>
      <c r="ER21" s="116">
        <f>'HIV Model'!BA442</f>
        <v>1.281608304977417E-4</v>
      </c>
    </row>
    <row r="22" spans="2:148">
      <c r="B22" s="231"/>
      <c r="D22" s="297"/>
      <c r="E22" s="297"/>
      <c r="F22" s="297"/>
      <c r="G22" s="297"/>
      <c r="I22" s="297"/>
      <c r="J22" s="297"/>
      <c r="K22" s="297"/>
      <c r="L22" s="297"/>
      <c r="N22" s="297"/>
      <c r="O22" s="297"/>
      <c r="P22" s="297"/>
      <c r="Q22" s="297"/>
      <c r="S22" s="297"/>
      <c r="T22" s="297"/>
      <c r="U22" s="297"/>
      <c r="V22" s="297"/>
      <c r="X22" s="297"/>
      <c r="Y22" s="297"/>
      <c r="Z22" s="297"/>
      <c r="AA22" s="297"/>
      <c r="AC22" s="297"/>
      <c r="AD22" s="297"/>
      <c r="AE22" s="297"/>
      <c r="AF22" s="297"/>
      <c r="AH22" s="297"/>
      <c r="AI22" s="297"/>
      <c r="AJ22" s="297"/>
      <c r="AK22" s="297"/>
      <c r="AM22" s="297"/>
      <c r="AN22" s="297"/>
      <c r="AO22" s="297"/>
      <c r="AP22" s="297"/>
      <c r="AR22" s="297"/>
      <c r="AS22" s="297"/>
      <c r="AT22" s="297"/>
      <c r="AU22" s="297"/>
      <c r="AW22" s="297"/>
      <c r="AX22" s="297"/>
      <c r="AY22" s="297"/>
      <c r="AZ22" s="297"/>
      <c r="BB22" s="298"/>
      <c r="BC22" s="298"/>
      <c r="BD22" s="298"/>
      <c r="BE22" s="298"/>
      <c r="BG22" s="298"/>
      <c r="BH22" s="298"/>
      <c r="BI22" s="354"/>
      <c r="BJ22" s="354"/>
      <c r="BL22" s="298"/>
      <c r="BM22" s="298"/>
      <c r="BN22" s="298"/>
      <c r="BO22" s="298"/>
      <c r="BQ22" s="298"/>
      <c r="BR22" s="298"/>
      <c r="BS22" s="298"/>
      <c r="BT22" s="298"/>
      <c r="BV22" s="298"/>
      <c r="BW22" s="298"/>
      <c r="BX22" s="298"/>
      <c r="BY22" s="298"/>
      <c r="CA22" s="298"/>
      <c r="CB22" s="298"/>
      <c r="CC22" s="298"/>
      <c r="CD22" s="298"/>
      <c r="CF22" s="298"/>
      <c r="CG22" s="298"/>
      <c r="CH22" s="298"/>
      <c r="CI22" s="298"/>
      <c r="CK22" s="298"/>
      <c r="CL22" s="298"/>
      <c r="CM22" s="298"/>
      <c r="CN22" s="298"/>
      <c r="CP22" s="298"/>
      <c r="CQ22" s="298"/>
      <c r="CR22" s="298"/>
      <c r="CS22" s="298"/>
      <c r="CU22" s="298"/>
      <c r="CV22" s="298"/>
      <c r="CW22" s="298"/>
      <c r="CX22" s="298"/>
      <c r="CZ22" s="298"/>
      <c r="DA22" s="298"/>
      <c r="DB22" s="298"/>
      <c r="DC22" s="298"/>
      <c r="DE22" s="298"/>
      <c r="DF22" s="298"/>
      <c r="DG22" s="298"/>
      <c r="DH22" s="298"/>
      <c r="DJ22" s="298"/>
      <c r="DK22" s="298"/>
      <c r="DL22" s="298"/>
      <c r="DM22" s="298"/>
      <c r="DO22" s="298"/>
      <c r="DP22" s="298"/>
      <c r="DQ22" s="298"/>
      <c r="DR22" s="298"/>
      <c r="DT22" s="298"/>
      <c r="DU22" s="298"/>
      <c r="DV22" s="298"/>
      <c r="DW22" s="298"/>
      <c r="DY22" s="298"/>
      <c r="DZ22" s="298"/>
      <c r="EA22" s="298"/>
      <c r="EB22" s="298"/>
      <c r="ED22" s="298"/>
      <c r="EE22" s="298"/>
      <c r="EF22" s="298"/>
      <c r="EG22" s="298"/>
      <c r="EI22" s="298"/>
      <c r="EJ22" s="298"/>
      <c r="EK22" s="298"/>
      <c r="EL22" s="298"/>
      <c r="EN22" s="298"/>
      <c r="EO22" s="298"/>
      <c r="EP22" s="298"/>
      <c r="EQ22" s="298"/>
    </row>
    <row r="23" spans="2:148">
      <c r="B23" s="230" t="s">
        <v>852</v>
      </c>
      <c r="D23" s="297"/>
      <c r="E23" s="297"/>
      <c r="F23" s="297"/>
      <c r="G23" s="297"/>
      <c r="I23" s="297"/>
      <c r="J23" s="297"/>
      <c r="K23" s="297"/>
      <c r="L23" s="297"/>
      <c r="N23" s="297"/>
      <c r="O23" s="297"/>
      <c r="P23" s="297"/>
      <c r="Q23" s="297"/>
      <c r="S23" s="297"/>
      <c r="T23" s="297"/>
      <c r="U23" s="297"/>
      <c r="V23" s="297"/>
      <c r="X23" s="297"/>
      <c r="Y23" s="297"/>
      <c r="Z23" s="297"/>
      <c r="AA23" s="297"/>
      <c r="AC23" s="297"/>
      <c r="AD23" s="297"/>
      <c r="AE23" s="297"/>
      <c r="AF23" s="297"/>
      <c r="AH23" s="297"/>
      <c r="AI23" s="297"/>
      <c r="AJ23" s="297"/>
      <c r="AK23" s="297"/>
      <c r="AM23" s="297"/>
      <c r="AN23" s="297"/>
      <c r="AO23" s="297"/>
      <c r="AP23" s="297"/>
      <c r="AQ23" s="230"/>
      <c r="AR23" s="297"/>
      <c r="AS23" s="297"/>
      <c r="AT23" s="297"/>
      <c r="AU23" s="297"/>
      <c r="AV23" s="230"/>
      <c r="AW23" s="352"/>
      <c r="AX23" s="352"/>
      <c r="AY23" s="352"/>
      <c r="AZ23" s="352"/>
      <c r="BA23" s="230"/>
      <c r="BB23" s="353"/>
      <c r="BC23" s="353"/>
      <c r="BD23" s="353">
        <f t="shared" ref="BD23:CT23" si="16">BD24+BD25+BD26</f>
        <v>17.510999999999999</v>
      </c>
      <c r="BE23" s="353">
        <f t="shared" si="16"/>
        <v>40.024999999999999</v>
      </c>
      <c r="BF23" s="230">
        <f t="shared" si="16"/>
        <v>57.536000000000001</v>
      </c>
      <c r="BG23" s="353">
        <f t="shared" si="16"/>
        <v>92.147999999999996</v>
      </c>
      <c r="BH23" s="353">
        <f t="shared" si="16"/>
        <v>99.393999999999991</v>
      </c>
      <c r="BI23" s="353">
        <f t="shared" si="16"/>
        <v>143.953</v>
      </c>
      <c r="BJ23" s="353">
        <f t="shared" si="16"/>
        <v>203.761</v>
      </c>
      <c r="BK23" s="230">
        <f t="shared" si="16"/>
        <v>539.25599999999997</v>
      </c>
      <c r="BL23" s="353">
        <f t="shared" si="16"/>
        <v>215.27099999999999</v>
      </c>
      <c r="BM23" s="353">
        <f>BM24+BM25+BM26</f>
        <v>269.52000000000004</v>
      </c>
      <c r="BN23" s="353">
        <f t="shared" si="16"/>
        <v>328.03499999999997</v>
      </c>
      <c r="BO23" s="353">
        <f>BO24+BO25+BO26</f>
        <v>385</v>
      </c>
      <c r="BP23" s="230">
        <f>BP24+BP25+BP26</f>
        <v>1197.4260000000002</v>
      </c>
      <c r="BQ23" s="353">
        <f t="shared" si="16"/>
        <v>356</v>
      </c>
      <c r="BR23" s="353">
        <f t="shared" si="16"/>
        <v>447</v>
      </c>
      <c r="BS23" s="353">
        <f t="shared" si="16"/>
        <v>511</v>
      </c>
      <c r="BT23" s="353">
        <f t="shared" si="16"/>
        <v>511</v>
      </c>
      <c r="BU23" s="230">
        <f t="shared" si="16"/>
        <v>1825</v>
      </c>
      <c r="BV23" s="353">
        <f t="shared" si="16"/>
        <v>477</v>
      </c>
      <c r="BW23" s="353">
        <f t="shared" si="16"/>
        <v>429</v>
      </c>
      <c r="BX23" s="353">
        <f t="shared" si="16"/>
        <v>621</v>
      </c>
      <c r="BY23" s="353">
        <f t="shared" si="16"/>
        <v>387</v>
      </c>
      <c r="BZ23" s="230">
        <f t="shared" si="16"/>
        <v>1914</v>
      </c>
      <c r="CA23" s="353">
        <f t="shared" si="16"/>
        <v>309</v>
      </c>
      <c r="CB23" s="353">
        <f t="shared" si="16"/>
        <v>293</v>
      </c>
      <c r="CC23" s="353">
        <f t="shared" si="16"/>
        <v>229</v>
      </c>
      <c r="CD23" s="353">
        <f t="shared" si="16"/>
        <v>222</v>
      </c>
      <c r="CE23" s="230">
        <f t="shared" si="16"/>
        <v>1053</v>
      </c>
      <c r="CF23" s="353">
        <f t="shared" si="16"/>
        <v>180.27430136039422</v>
      </c>
      <c r="CG23" s="353">
        <f t="shared" si="16"/>
        <v>206.91650633111485</v>
      </c>
      <c r="CH23" s="353">
        <f t="shared" si="16"/>
        <v>158.05126913100705</v>
      </c>
      <c r="CI23" s="353">
        <f t="shared" si="16"/>
        <v>180.80262532698669</v>
      </c>
      <c r="CJ23" s="230">
        <f t="shared" si="16"/>
        <v>726.04470214950277</v>
      </c>
      <c r="CK23" s="353">
        <f t="shared" si="16"/>
        <v>139.93047429422231</v>
      </c>
      <c r="CL23" s="353">
        <f t="shared" si="16"/>
        <v>157.04316530346154</v>
      </c>
      <c r="CM23" s="353">
        <f t="shared" si="16"/>
        <v>119.02530217836539</v>
      </c>
      <c r="CN23" s="353">
        <f t="shared" si="16"/>
        <v>134.95385437210689</v>
      </c>
      <c r="CO23" s="230">
        <f t="shared" si="16"/>
        <v>550.95279614815615</v>
      </c>
      <c r="CP23" s="353">
        <f t="shared" si="16"/>
        <v>113.069408001686</v>
      </c>
      <c r="CQ23" s="353">
        <f t="shared" si="16"/>
        <v>123.60213459988275</v>
      </c>
      <c r="CR23" s="353">
        <f t="shared" si="16"/>
        <v>92.882256554919849</v>
      </c>
      <c r="CS23" s="353">
        <f t="shared" si="16"/>
        <v>104.09636967836316</v>
      </c>
      <c r="CT23" s="230">
        <f t="shared" si="16"/>
        <v>433.6501688348518</v>
      </c>
      <c r="CU23" s="353">
        <f t="shared" ref="CU23:DZ23" si="17">CU24+CU25+CU26</f>
        <v>93.442043283345583</v>
      </c>
      <c r="CV23" s="353">
        <f t="shared" si="17"/>
        <v>99.303249194322575</v>
      </c>
      <c r="CW23" s="353">
        <f t="shared" si="17"/>
        <v>73.931358711667229</v>
      </c>
      <c r="CX23" s="353">
        <f t="shared" si="17"/>
        <v>81.758393320655813</v>
      </c>
      <c r="CY23" s="230">
        <f t="shared" si="17"/>
        <v>348.4350445099912</v>
      </c>
      <c r="CZ23" s="353">
        <f t="shared" si="17"/>
        <v>87.944535338733317</v>
      </c>
      <c r="DA23" s="353">
        <f t="shared" si="17"/>
        <v>92.903741457368199</v>
      </c>
      <c r="DB23" s="353">
        <f t="shared" si="17"/>
        <v>69.072986192361611</v>
      </c>
      <c r="DC23" s="353">
        <f t="shared" si="17"/>
        <v>76.125165849913984</v>
      </c>
      <c r="DD23" s="230">
        <f t="shared" si="17"/>
        <v>326.0464288383771</v>
      </c>
      <c r="DE23" s="353">
        <f t="shared" si="17"/>
        <v>87.063944469798784</v>
      </c>
      <c r="DF23" s="353">
        <f t="shared" si="17"/>
        <v>92.286604612374248</v>
      </c>
      <c r="DG23" s="353">
        <f t="shared" si="17"/>
        <v>68.757247470767936</v>
      </c>
      <c r="DH23" s="353">
        <f t="shared" si="17"/>
        <v>75.851879741961781</v>
      </c>
      <c r="DI23" s="230">
        <f t="shared" si="17"/>
        <v>323.95967629490275</v>
      </c>
      <c r="DJ23" s="353">
        <f t="shared" si="17"/>
        <v>86.925085177756046</v>
      </c>
      <c r="DK23" s="353">
        <f t="shared" si="17"/>
        <v>92.293661512633221</v>
      </c>
      <c r="DL23" s="353">
        <f t="shared" si="17"/>
        <v>68.90080935947806</v>
      </c>
      <c r="DM23" s="353">
        <f t="shared" si="17"/>
        <v>75.991734055060391</v>
      </c>
      <c r="DN23" s="230">
        <f t="shared" si="17"/>
        <v>324.11129010492778</v>
      </c>
      <c r="DO23" s="353">
        <f t="shared" si="17"/>
        <v>86.224854447368827</v>
      </c>
      <c r="DP23" s="353">
        <f t="shared" si="17"/>
        <v>91.873024401775709</v>
      </c>
      <c r="DQ23" s="353">
        <f t="shared" si="17"/>
        <v>68.724609400645917</v>
      </c>
      <c r="DR23" s="353">
        <f t="shared" si="17"/>
        <v>75.881166588172832</v>
      </c>
      <c r="DS23" s="230">
        <f t="shared" si="17"/>
        <v>322.70365483796331</v>
      </c>
      <c r="DT23" s="353">
        <f t="shared" si="17"/>
        <v>85.612066893622981</v>
      </c>
      <c r="DU23" s="353">
        <f t="shared" si="17"/>
        <v>91.546137626829363</v>
      </c>
      <c r="DV23" s="353">
        <f t="shared" si="17"/>
        <v>68.615018839319575</v>
      </c>
      <c r="DW23" s="353">
        <f t="shared" si="17"/>
        <v>75.84734778014446</v>
      </c>
      <c r="DX23" s="230">
        <f t="shared" si="17"/>
        <v>321.62057113991636</v>
      </c>
      <c r="DY23" s="353">
        <f t="shared" si="17"/>
        <v>85.082147565418865</v>
      </c>
      <c r="DZ23" s="353">
        <f t="shared" si="17"/>
        <v>91.307965706909314</v>
      </c>
      <c r="EA23" s="353">
        <f t="shared" ref="EA23:ER23" si="18">EA24+EA25+EA26</f>
        <v>68.568425624161236</v>
      </c>
      <c r="EB23" s="353">
        <f t="shared" si="18"/>
        <v>75.886067033531035</v>
      </c>
      <c r="EC23" s="230">
        <f t="shared" si="18"/>
        <v>320.84460593002046</v>
      </c>
      <c r="ED23" s="353">
        <f t="shared" si="18"/>
        <v>75.243068094715682</v>
      </c>
      <c r="EE23" s="353">
        <f t="shared" si="18"/>
        <v>82.971301831669066</v>
      </c>
      <c r="EF23" s="353">
        <f t="shared" si="18"/>
        <v>63.842990276160243</v>
      </c>
      <c r="EG23" s="353">
        <f t="shared" si="18"/>
        <v>70.738142300368509</v>
      </c>
      <c r="EH23" s="230">
        <f t="shared" si="18"/>
        <v>292.79550250291345</v>
      </c>
      <c r="EI23" s="353">
        <f t="shared" si="18"/>
        <v>9.4343572945412184</v>
      </c>
      <c r="EJ23" s="353">
        <f t="shared" si="18"/>
        <v>10.521004621928471</v>
      </c>
      <c r="EK23" s="353">
        <f t="shared" si="18"/>
        <v>8.0448865905808695</v>
      </c>
      <c r="EL23" s="353">
        <f t="shared" si="18"/>
        <v>9.023506586355504</v>
      </c>
      <c r="EM23" s="230">
        <f t="shared" si="18"/>
        <v>37.023755093406066</v>
      </c>
      <c r="EN23" s="353">
        <f t="shared" si="18"/>
        <v>1.0768081463913155</v>
      </c>
      <c r="EO23" s="353">
        <f t="shared" si="18"/>
        <v>1.1730436776773108</v>
      </c>
      <c r="EP23" s="353">
        <f t="shared" si="18"/>
        <v>0.87703325789245401</v>
      </c>
      <c r="EQ23" s="353">
        <f t="shared" si="18"/>
        <v>0.98422204530009627</v>
      </c>
      <c r="ER23" s="230">
        <f t="shared" si="18"/>
        <v>4.1111071272611763</v>
      </c>
    </row>
    <row r="24" spans="2:148">
      <c r="B24" s="231" t="s">
        <v>726</v>
      </c>
      <c r="D24" s="297"/>
      <c r="E24" s="297"/>
      <c r="F24" s="297"/>
      <c r="G24" s="297"/>
      <c r="I24" s="297"/>
      <c r="J24" s="297"/>
      <c r="K24" s="297"/>
      <c r="L24" s="297"/>
      <c r="N24" s="297"/>
      <c r="O24" s="297"/>
      <c r="P24" s="297"/>
      <c r="Q24" s="297"/>
      <c r="S24" s="297"/>
      <c r="T24" s="297"/>
      <c r="U24" s="297"/>
      <c r="V24" s="297"/>
      <c r="X24" s="297"/>
      <c r="Y24" s="297"/>
      <c r="Z24" s="297"/>
      <c r="AA24" s="297"/>
      <c r="AC24" s="297"/>
      <c r="AD24" s="297"/>
      <c r="AE24" s="297"/>
      <c r="AF24" s="297"/>
      <c r="AH24" s="297"/>
      <c r="AI24" s="297"/>
      <c r="AJ24" s="297"/>
      <c r="AK24" s="297"/>
      <c r="AM24" s="297"/>
      <c r="AN24" s="297"/>
      <c r="AO24" s="297"/>
      <c r="AP24" s="297"/>
      <c r="AR24" s="297"/>
      <c r="AS24" s="297"/>
      <c r="AT24" s="297"/>
      <c r="AU24" s="297"/>
      <c r="AW24" s="297"/>
      <c r="AX24" s="297"/>
      <c r="AY24" s="297"/>
      <c r="AZ24" s="297"/>
      <c r="BB24" s="298"/>
      <c r="BC24" s="298"/>
      <c r="BD24" s="298">
        <v>17.510999999999999</v>
      </c>
      <c r="BE24" s="298">
        <v>40.021999999999998</v>
      </c>
      <c r="BF24" s="116">
        <f>SUM(BB24:BE24)</f>
        <v>57.533000000000001</v>
      </c>
      <c r="BG24" s="298">
        <v>91.977999999999994</v>
      </c>
      <c r="BH24" s="298">
        <v>96.960999999999999</v>
      </c>
      <c r="BI24" s="298">
        <v>134.69999999999999</v>
      </c>
      <c r="BJ24" s="299">
        <v>186.31</v>
      </c>
      <c r="BK24" s="116">
        <f>SUM(BG24:BJ24)</f>
        <v>509.94900000000001</v>
      </c>
      <c r="BL24" s="299">
        <v>187.09</v>
      </c>
      <c r="BM24" s="299">
        <v>229.417</v>
      </c>
      <c r="BN24" s="299">
        <v>278.83999999999997</v>
      </c>
      <c r="BO24" s="299">
        <v>319</v>
      </c>
      <c r="BP24" s="116">
        <f>SUM(BL24:BO24)</f>
        <v>1014.347</v>
      </c>
      <c r="BQ24" s="299">
        <v>282</v>
      </c>
      <c r="BR24" s="299">
        <v>364</v>
      </c>
      <c r="BS24" s="299">
        <v>422</v>
      </c>
      <c r="BT24" s="299">
        <v>408</v>
      </c>
      <c r="BU24" s="116">
        <f>SUM(BQ24:BT24)</f>
        <v>1476</v>
      </c>
      <c r="BV24" s="299">
        <v>376</v>
      </c>
      <c r="BW24" s="299">
        <v>326</v>
      </c>
      <c r="BX24" s="299">
        <v>525</v>
      </c>
      <c r="BY24" s="299">
        <v>296</v>
      </c>
      <c r="BZ24" s="696">
        <f>SUM(BV24:BY24)</f>
        <v>1523</v>
      </c>
      <c r="CA24" s="299">
        <v>226</v>
      </c>
      <c r="CB24" s="299">
        <v>225</v>
      </c>
      <c r="CC24" s="299">
        <v>181</v>
      </c>
      <c r="CD24" s="996">
        <v>179</v>
      </c>
      <c r="CE24" s="116">
        <f t="shared" ref="CE24:CE26" si="19">SUM(CA24:CD24)</f>
        <v>811</v>
      </c>
      <c r="CF24" s="299">
        <v>130</v>
      </c>
      <c r="CG24" s="298">
        <v>165</v>
      </c>
      <c r="CH24" s="298">
        <v>130</v>
      </c>
      <c r="CI24" s="298">
        <f>CJ24-CF24-CG24-CH24</f>
        <v>154.17653262520514</v>
      </c>
      <c r="CJ24" s="116">
        <f>'HIV Model'!AO191</f>
        <v>579.17653262520514</v>
      </c>
      <c r="CK24" s="298">
        <f>(CF24/CJ24)*CO24</f>
        <v>92.682831321776732</v>
      </c>
      <c r="CL24" s="298">
        <f>(CG24/CJ24)*CO24</f>
        <v>117.6359012930243</v>
      </c>
      <c r="CM24" s="298">
        <f>(CH24/CJ24)*CO24</f>
        <v>92.682831321776732</v>
      </c>
      <c r="CN24" s="298">
        <f>(CI24/CJ24)*CO24</f>
        <v>109.91936590060227</v>
      </c>
      <c r="CO24" s="116">
        <f>'HIV Model'!AP191</f>
        <v>412.92092983718004</v>
      </c>
      <c r="CP24" s="298">
        <f>(CK24/CO24)*CT24</f>
        <v>67.372112297898298</v>
      </c>
      <c r="CQ24" s="298">
        <f>(CL24/CO24)*CT24</f>
        <v>85.510757916563222</v>
      </c>
      <c r="CR24" s="298">
        <f>(CM24/CO24)*CT24</f>
        <v>67.372112297898298</v>
      </c>
      <c r="CS24" s="298">
        <f>(CN24/CO24)*CT24</f>
        <v>79.901528228660794</v>
      </c>
      <c r="CT24" s="116">
        <f>'HIV Model'!AQ191</f>
        <v>300.15651074102061</v>
      </c>
      <c r="CU24" s="298">
        <f>(CP24/CT24)*CY24</f>
        <v>49.203550264162658</v>
      </c>
      <c r="CV24" s="298">
        <f>(CQ24/CT24)*CY24</f>
        <v>62.450659950667983</v>
      </c>
      <c r="CW24" s="298">
        <f>(CR24/CT24)*CY24</f>
        <v>49.203550264162658</v>
      </c>
      <c r="CX24" s="298">
        <f>(CS24/CT24)*CY24</f>
        <v>58.354098250604579</v>
      </c>
      <c r="CY24" s="116">
        <f>'HIV Model'!AR191</f>
        <v>219.21185872959788</v>
      </c>
      <c r="CZ24" s="298">
        <f>(CU24/CY24)*DD24</f>
        <v>45.083199569784462</v>
      </c>
      <c r="DA24" s="298">
        <f>(CV24/CY24)*DD24</f>
        <v>57.220984069341817</v>
      </c>
      <c r="DB24" s="298">
        <f>(CW24/CY24)*DD24</f>
        <v>45.083199569784462</v>
      </c>
      <c r="DC24" s="298">
        <f>(CX24/CY24)*DD24</f>
        <v>53.467472225534685</v>
      </c>
      <c r="DD24" s="116">
        <f>'HIV Model'!AS191</f>
        <v>200.85485543444543</v>
      </c>
      <c r="DE24" s="298">
        <f>(CZ24/DD24)*DI24</f>
        <v>45.405875646019268</v>
      </c>
      <c r="DF24" s="298">
        <f>(DA24/DD24)*DI24</f>
        <v>57.630534473793688</v>
      </c>
      <c r="DG24" s="298">
        <f>(DB24/DD24)*DI24</f>
        <v>45.405875646019268</v>
      </c>
      <c r="DH24" s="298">
        <f>(DC24/DD24)*DI24</f>
        <v>53.850157445496137</v>
      </c>
      <c r="DI24" s="116">
        <f>'HIV Model'!AT191</f>
        <v>202.29244321132836</v>
      </c>
      <c r="DJ24" s="298">
        <f>(DE24/DI24)*DN24</f>
        <v>45.779356245672524</v>
      </c>
      <c r="DK24" s="298">
        <f>(DF24/DI24)*DN24</f>
        <v>58.104567542584356</v>
      </c>
      <c r="DL24" s="298">
        <f>(DG24/DI24)*DN24</f>
        <v>45.779356245672524</v>
      </c>
      <c r="DM24" s="298">
        <f>(DH24/DI24)*DN24</f>
        <v>54.293095475167846</v>
      </c>
      <c r="DN24" s="116">
        <f>'HIV Model'!AU191</f>
        <v>203.95637550909726</v>
      </c>
      <c r="DO24" s="298">
        <f>(DJ24/DN24)*DS24</f>
        <v>46.200439284221289</v>
      </c>
      <c r="DP24" s="298">
        <f>(DK24/DN24)*DS24</f>
        <v>58.639019091511642</v>
      </c>
      <c r="DQ24" s="298">
        <f>(DL24/DN24)*DS24</f>
        <v>46.200439284221289</v>
      </c>
      <c r="DR24" s="298">
        <f>(DM24/DN24)*DS24</f>
        <v>54.792488727711955</v>
      </c>
      <c r="DS24" s="116">
        <f>'HIV Model'!AV191</f>
        <v>205.83238638766619</v>
      </c>
      <c r="DT24" s="298">
        <f>(DO24/DS24)*DX24</f>
        <v>46.666219806617477</v>
      </c>
      <c r="DU24" s="298">
        <f>(DP24/DS24)*DX24</f>
        <v>59.230202062245262</v>
      </c>
      <c r="DV24" s="298">
        <f>(DQ24/DS24)*DX24</f>
        <v>46.666219806617477</v>
      </c>
      <c r="DW24" s="298">
        <f>(DR24/DS24)*DX24</f>
        <v>55.34489200392273</v>
      </c>
      <c r="DX24" s="116">
        <f>'HIV Model'!AW191</f>
        <v>207.90753367940295</v>
      </c>
      <c r="DY24" s="298">
        <f>(DT24/DX24)*EC24</f>
        <v>47.174064632472898</v>
      </c>
      <c r="DZ24" s="298">
        <f>(DU24/DX24)*EC24</f>
        <v>59.874774341215598</v>
      </c>
      <c r="EA24" s="298">
        <f>(DV24/DX24)*EC24</f>
        <v>47.174064632472898</v>
      </c>
      <c r="EB24" s="298">
        <f>(DW24/DX24)*EC24</f>
        <v>55.947182422092261</v>
      </c>
      <c r="EC24" s="116">
        <f>'HIV Model'!AX191</f>
        <v>210.17008602825365</v>
      </c>
      <c r="ED24" s="298">
        <f>(DY24/EC24)*EH24</f>
        <v>47.721589164177374</v>
      </c>
      <c r="EE24" s="298">
        <f>(DZ24/EC24)*EH24</f>
        <v>60.569709323763583</v>
      </c>
      <c r="EF24" s="298">
        <f>(EA24/EC24)*EH24</f>
        <v>47.721589164177374</v>
      </c>
      <c r="EG24" s="298">
        <f>(EB24/EC24)*EH24</f>
        <v>56.596531913057149</v>
      </c>
      <c r="EH24" s="116">
        <f>'HIV Model'!AY191</f>
        <v>212.60941956517547</v>
      </c>
      <c r="EI24" s="298">
        <f>(ED24/EH24)*EM24</f>
        <v>6.1783122395162753</v>
      </c>
      <c r="EJ24" s="298">
        <f>(EE24/EH24)*EM24</f>
        <v>7.8417039963091177</v>
      </c>
      <c r="EK24" s="298">
        <f>(EF24/EH24)*EM24</f>
        <v>6.1783122395162753</v>
      </c>
      <c r="EL24" s="298">
        <f>(EG24/EH24)*EM24</f>
        <v>7.3273135274191183</v>
      </c>
      <c r="EM24" s="116">
        <f>'HIV Model'!AZ191</f>
        <v>27.525642002760787</v>
      </c>
      <c r="EN24" s="298">
        <f>(EI24/EM24)*ER24</f>
        <v>0.62904565159478865</v>
      </c>
      <c r="EO24" s="298">
        <f>(EJ24/EM24)*ER24</f>
        <v>0.79840409625492403</v>
      </c>
      <c r="EP24" s="298">
        <f>(EK24/EM24)*ER24</f>
        <v>0.62904565159478865</v>
      </c>
      <c r="EQ24" s="298">
        <f>(EL24/EM24)*ER24</f>
        <v>0.74603136481421051</v>
      </c>
      <c r="ER24" s="116">
        <f>'HIV Model'!BA191</f>
        <v>2.8025267642587117</v>
      </c>
    </row>
    <row r="25" spans="2:148">
      <c r="B25" s="231" t="s">
        <v>810</v>
      </c>
      <c r="D25" s="297"/>
      <c r="E25" s="297"/>
      <c r="F25" s="297"/>
      <c r="G25" s="297"/>
      <c r="I25" s="297"/>
      <c r="J25" s="297"/>
      <c r="K25" s="297"/>
      <c r="L25" s="297"/>
      <c r="N25" s="297"/>
      <c r="O25" s="297"/>
      <c r="P25" s="297"/>
      <c r="Q25" s="297"/>
      <c r="S25" s="297"/>
      <c r="T25" s="297"/>
      <c r="U25" s="297"/>
      <c r="V25" s="297"/>
      <c r="X25" s="297"/>
      <c r="Y25" s="297"/>
      <c r="Z25" s="297"/>
      <c r="AA25" s="297"/>
      <c r="AC25" s="297"/>
      <c r="AD25" s="297"/>
      <c r="AE25" s="297"/>
      <c r="AF25" s="297"/>
      <c r="AH25" s="297"/>
      <c r="AI25" s="297"/>
      <c r="AJ25" s="297"/>
      <c r="AK25" s="297"/>
      <c r="AM25" s="297"/>
      <c r="AN25" s="297"/>
      <c r="AO25" s="297"/>
      <c r="AP25" s="297"/>
      <c r="AR25" s="297"/>
      <c r="AS25" s="297"/>
      <c r="AT25" s="297"/>
      <c r="AU25" s="297"/>
      <c r="AW25" s="297"/>
      <c r="AX25" s="297"/>
      <c r="AY25" s="297"/>
      <c r="AZ25" s="297"/>
      <c r="BB25" s="298"/>
      <c r="BC25" s="298"/>
      <c r="BD25" s="298"/>
      <c r="BE25" s="298"/>
      <c r="BG25" s="298"/>
      <c r="BH25" s="298">
        <v>1.8480000000000001</v>
      </c>
      <c r="BI25" s="298">
        <v>7.9109999999999996</v>
      </c>
      <c r="BJ25" s="299">
        <v>14.468999999999999</v>
      </c>
      <c r="BK25" s="116">
        <f>SUM(BG25:BJ25)</f>
        <v>24.228000000000002</v>
      </c>
      <c r="BL25" s="299">
        <v>23.63</v>
      </c>
      <c r="BM25" s="299">
        <v>31.308</v>
      </c>
      <c r="BN25" s="299">
        <v>38.343000000000004</v>
      </c>
      <c r="BO25" s="299">
        <v>52</v>
      </c>
      <c r="BP25" s="116">
        <f>SUM(BL25:BO25)-0.4</f>
        <v>144.881</v>
      </c>
      <c r="BQ25" s="299">
        <v>61</v>
      </c>
      <c r="BR25" s="299">
        <v>65</v>
      </c>
      <c r="BS25" s="299">
        <v>73</v>
      </c>
      <c r="BT25" s="299">
        <v>83</v>
      </c>
      <c r="BU25" s="116">
        <f>SUM(BQ25:BT25)</f>
        <v>282</v>
      </c>
      <c r="BV25" s="299">
        <v>81</v>
      </c>
      <c r="BW25" s="299">
        <v>84</v>
      </c>
      <c r="BX25" s="299">
        <v>78</v>
      </c>
      <c r="BY25" s="299">
        <v>71</v>
      </c>
      <c r="BZ25" s="696">
        <f>SUM(BV25:BY25)</f>
        <v>314</v>
      </c>
      <c r="CA25" s="299">
        <v>67</v>
      </c>
      <c r="CB25" s="299">
        <v>54</v>
      </c>
      <c r="CC25" s="299">
        <v>40</v>
      </c>
      <c r="CD25" s="996">
        <v>34</v>
      </c>
      <c r="CE25" s="116">
        <f t="shared" si="19"/>
        <v>195</v>
      </c>
      <c r="CF25" s="298">
        <f>(CA25/CE25)*CJ25</f>
        <v>30.037836339117646</v>
      </c>
      <c r="CG25" s="298">
        <f>(CB25/CE25)*CJ25</f>
        <v>24.209599437497808</v>
      </c>
      <c r="CH25" s="298">
        <f>(CC25/CE25)*CJ25</f>
        <v>17.933036620368743</v>
      </c>
      <c r="CI25" s="298">
        <f>(CD25/CE25)*CJ25</f>
        <v>15.243081127313433</v>
      </c>
      <c r="CJ25" s="116">
        <f>'HIV Model'!AO397</f>
        <v>87.423553524297631</v>
      </c>
      <c r="CK25" s="298">
        <f>(CF25/CJ25)*CO25</f>
        <v>28.023001202232823</v>
      </c>
      <c r="CL25" s="298">
        <f>(CG25/CJ25)*CO25</f>
        <v>22.585702461501082</v>
      </c>
      <c r="CM25" s="298">
        <f>(CH25/CJ25)*CO25</f>
        <v>16.73014997148228</v>
      </c>
      <c r="CN25" s="298">
        <f>(CI25/CJ25)*CO25</f>
        <v>14.220627475759938</v>
      </c>
      <c r="CO25" s="116">
        <f>'HIV Model'!AP397</f>
        <v>81.559481110976122</v>
      </c>
      <c r="CP25" s="298">
        <f>(CK25/CO25)*CT25</f>
        <v>27.433886022085577</v>
      </c>
      <c r="CQ25" s="298">
        <f>(CL25/CO25)*CT25</f>
        <v>22.110893211830167</v>
      </c>
      <c r="CR25" s="298">
        <f>(CM25/CO25)*CT25</f>
        <v>16.378439416170494</v>
      </c>
      <c r="CS25" s="298">
        <f>(CN25/CO25)*CT25</f>
        <v>13.921673503744918</v>
      </c>
      <c r="CT25" s="116">
        <f>'HIV Model'!AQ397</f>
        <v>79.844892153831154</v>
      </c>
      <c r="CU25" s="298">
        <f>(CP25/CT25)*CY25</f>
        <v>26.888253821565911</v>
      </c>
      <c r="CV25" s="298">
        <f>(CQ25/CT25)*CY25</f>
        <v>21.67112994573969</v>
      </c>
      <c r="CW25" s="298">
        <f>(CR25/CT25)*CY25</f>
        <v>16.052688848696068</v>
      </c>
      <c r="CX25" s="298">
        <f>(CS25/CT25)*CY25</f>
        <v>13.644785521391656</v>
      </c>
      <c r="CY25" s="116">
        <f>'HIV Model'!AR397</f>
        <v>78.256858137393323</v>
      </c>
      <c r="CZ25" s="298">
        <f>(CU25/CY25)*DD25</f>
        <v>26.378608531212684</v>
      </c>
      <c r="DA25" s="298">
        <f>(CV25/CY25)*DD25</f>
        <v>21.260371055007237</v>
      </c>
      <c r="DB25" s="298">
        <f>(CW25/CY25)*DD25</f>
        <v>15.748423003709066</v>
      </c>
      <c r="DC25" s="298">
        <f>(CX25/CY25)*DD25</f>
        <v>13.386159553152705</v>
      </c>
      <c r="DD25" s="116">
        <f>'HIV Model'!AS397</f>
        <v>76.773562143081691</v>
      </c>
      <c r="DE25" s="298">
        <f>(CZ25/DD25)*DI25</f>
        <v>25.99947794793016</v>
      </c>
      <c r="DF25" s="298">
        <f>(DA25/DD25)*DI25</f>
        <v>20.954803122212372</v>
      </c>
      <c r="DG25" s="298">
        <f>(DB25/DD25)*DI25</f>
        <v>15.522076386823979</v>
      </c>
      <c r="DH25" s="298">
        <f>(DC25/DD25)*DI25</f>
        <v>13.19376492880038</v>
      </c>
      <c r="DI25" s="116">
        <f>'HIV Model'!AT397</f>
        <v>75.670122385766888</v>
      </c>
      <c r="DJ25" s="298">
        <f>(DE25/DI25)*DN25</f>
        <v>26.270067600026636</v>
      </c>
      <c r="DK25" s="298">
        <f>(DF25/DI25)*DN25</f>
        <v>21.172890304499081</v>
      </c>
      <c r="DL25" s="298">
        <f>(DG25/DI25)*DN25</f>
        <v>15.683622447777099</v>
      </c>
      <c r="DM25" s="298">
        <f>(DH25/DI25)*DN25</f>
        <v>13.331079080610531</v>
      </c>
      <c r="DN25" s="116">
        <f>'HIV Model'!AU397</f>
        <v>76.457659432913346</v>
      </c>
      <c r="DO25" s="298">
        <f>(DJ25/DN25)*DS25</f>
        <v>25.892536897693493</v>
      </c>
      <c r="DP25" s="298">
        <f>(DK25/DN25)*DS25</f>
        <v>20.868611827991771</v>
      </c>
      <c r="DQ25" s="298">
        <f>(DL25/DN25)*DS25</f>
        <v>15.458230983697609</v>
      </c>
      <c r="DR25" s="298">
        <f>(DM25/DN25)*DS25</f>
        <v>13.139496336142965</v>
      </c>
      <c r="DS25" s="116">
        <f>'HIV Model'!AV397</f>
        <v>75.358876045525832</v>
      </c>
      <c r="DT25" s="298">
        <f>(DO25/DS25)*DX25</f>
        <v>25.520562734824146</v>
      </c>
      <c r="DU25" s="298">
        <f>(DP25/DS25)*DX25</f>
        <v>20.568811756425433</v>
      </c>
      <c r="DV25" s="298">
        <f>(DQ25/DS25)*DX25</f>
        <v>15.236156856611432</v>
      </c>
      <c r="DW25" s="298">
        <f>(DR25/DS25)*DX25</f>
        <v>12.950733328119716</v>
      </c>
      <c r="DX25" s="116">
        <f>'HIV Model'!AW397</f>
        <v>74.276264675980727</v>
      </c>
      <c r="DY25" s="298">
        <f>(DT25/DX25)*EC25</f>
        <v>25.154062798373687</v>
      </c>
      <c r="DZ25" s="298">
        <f>(DU25/DX25)*EC25</f>
        <v>20.273423747942971</v>
      </c>
      <c r="EA25" s="298">
        <f>(DV25/DX25)*EC25</f>
        <v>15.017350924402201</v>
      </c>
      <c r="EB25" s="298">
        <f>(DW25/DX25)*EC25</f>
        <v>12.76474828574187</v>
      </c>
      <c r="EC25" s="116">
        <f>'HIV Model'!AX397</f>
        <v>73.209585756460726</v>
      </c>
      <c r="ED25" s="298">
        <f>(DY25/EC25)*EH25</f>
        <v>24.33297389689524</v>
      </c>
      <c r="EE25" s="298">
        <f>(DZ25/EC25)*EH25</f>
        <v>19.611650603467805</v>
      </c>
      <c r="EF25" s="298">
        <f>(EA25/EC25)*EH25</f>
        <v>14.527148595161337</v>
      </c>
      <c r="EG25" s="298">
        <f>(EB25/EC25)*EH25</f>
        <v>12.348076305887135</v>
      </c>
      <c r="EH25" s="116">
        <f>'HIV Model'!AY397</f>
        <v>70.819849401411517</v>
      </c>
      <c r="EI25" s="298">
        <f>(ED25/EH25)*EM25</f>
        <v>2.4589187966141761</v>
      </c>
      <c r="EJ25" s="298">
        <f>(EE25/EH25)*EM25</f>
        <v>1.9818151495099332</v>
      </c>
      <c r="EK25" s="298">
        <f>(EF25/EH25)*EM25</f>
        <v>1.4680112218592098</v>
      </c>
      <c r="EL25" s="298">
        <f>(EG25/EH25)*EM25</f>
        <v>1.2478095385803283</v>
      </c>
      <c r="EM25" s="116">
        <f>'HIV Model'!AZ397</f>
        <v>7.1565547065636474</v>
      </c>
      <c r="EN25" s="298">
        <f>(EI25/EM25)*ER25</f>
        <v>0.24848093019383516</v>
      </c>
      <c r="EO25" s="298">
        <f>(EJ25/EM25)*ER25</f>
        <v>0.20026821239503131</v>
      </c>
      <c r="EP25" s="298">
        <f>(EK25/EM25)*ER25</f>
        <v>0.14834682399631952</v>
      </c>
      <c r="EQ25" s="298">
        <f>(EL25/EM25)*ER25</f>
        <v>0.12609480039687157</v>
      </c>
      <c r="ER25" s="116">
        <f>'HIV Model'!BA397</f>
        <v>0.72319076698205753</v>
      </c>
    </row>
    <row r="26" spans="2:148">
      <c r="B26" s="231" t="s">
        <v>81</v>
      </c>
      <c r="D26" s="297"/>
      <c r="E26" s="297"/>
      <c r="F26" s="297"/>
      <c r="G26" s="297"/>
      <c r="I26" s="297"/>
      <c r="J26" s="297"/>
      <c r="K26" s="297"/>
      <c r="L26" s="297"/>
      <c r="N26" s="297"/>
      <c r="O26" s="297"/>
      <c r="P26" s="297"/>
      <c r="Q26" s="297"/>
      <c r="S26" s="297"/>
      <c r="T26" s="297"/>
      <c r="U26" s="297"/>
      <c r="V26" s="297"/>
      <c r="X26" s="297"/>
      <c r="Y26" s="297"/>
      <c r="Z26" s="297"/>
      <c r="AA26" s="297"/>
      <c r="AC26" s="297"/>
      <c r="AD26" s="297"/>
      <c r="AE26" s="297"/>
      <c r="AF26" s="297"/>
      <c r="AH26" s="297"/>
      <c r="AI26" s="297"/>
      <c r="AJ26" s="297"/>
      <c r="AK26" s="297"/>
      <c r="AM26" s="297"/>
      <c r="AN26" s="297"/>
      <c r="AO26" s="297"/>
      <c r="AP26" s="297"/>
      <c r="AR26" s="297"/>
      <c r="AS26" s="297"/>
      <c r="AT26" s="297"/>
      <c r="AU26" s="297"/>
      <c r="AW26" s="297"/>
      <c r="AX26" s="297"/>
      <c r="AY26" s="297"/>
      <c r="AZ26" s="297"/>
      <c r="BB26" s="298"/>
      <c r="BC26" s="298"/>
      <c r="BD26" s="298"/>
      <c r="BE26" s="298">
        <v>3.0000000000000001E-3</v>
      </c>
      <c r="BF26" s="116">
        <f>SUM(BB26:BE26)</f>
        <v>3.0000000000000001E-3</v>
      </c>
      <c r="BG26" s="298">
        <v>0.17</v>
      </c>
      <c r="BH26" s="298">
        <v>0.58499999999999996</v>
      </c>
      <c r="BI26" s="298">
        <v>1.3420000000000001</v>
      </c>
      <c r="BJ26" s="299">
        <v>2.9820000000000002</v>
      </c>
      <c r="BK26" s="116">
        <f>SUM(BG26:BJ26)</f>
        <v>5.0790000000000006</v>
      </c>
      <c r="BL26" s="299">
        <v>4.5510000000000002</v>
      </c>
      <c r="BM26" s="299">
        <v>8.7949999999999999</v>
      </c>
      <c r="BN26" s="299">
        <v>10.852</v>
      </c>
      <c r="BO26" s="299">
        <v>14</v>
      </c>
      <c r="BP26" s="116">
        <f>SUM(BL26:BO26)</f>
        <v>38.198</v>
      </c>
      <c r="BQ26" s="299">
        <v>13</v>
      </c>
      <c r="BR26" s="299">
        <v>18</v>
      </c>
      <c r="BS26" s="299">
        <v>16</v>
      </c>
      <c r="BT26" s="299">
        <v>20</v>
      </c>
      <c r="BU26" s="116">
        <f>SUM(BQ26:BT26)</f>
        <v>67</v>
      </c>
      <c r="BV26" s="299">
        <v>20</v>
      </c>
      <c r="BW26" s="299">
        <v>19</v>
      </c>
      <c r="BX26" s="299">
        <v>18</v>
      </c>
      <c r="BY26" s="299">
        <v>20</v>
      </c>
      <c r="BZ26" s="696">
        <f>SUM(BV26:BY26)</f>
        <v>77</v>
      </c>
      <c r="CA26" s="299">
        <v>16</v>
      </c>
      <c r="CB26" s="299">
        <v>14</v>
      </c>
      <c r="CC26" s="299">
        <v>8</v>
      </c>
      <c r="CD26" s="996">
        <v>9</v>
      </c>
      <c r="CE26" s="116">
        <f t="shared" si="19"/>
        <v>47</v>
      </c>
      <c r="CF26" s="298">
        <f>(CA26/CE26)*CJ26</f>
        <v>20.236465021276597</v>
      </c>
      <c r="CG26" s="298">
        <f>(CB26/CE26)*CJ26</f>
        <v>17.706906893617024</v>
      </c>
      <c r="CH26" s="298">
        <f>(CC26/CE26)*CJ26</f>
        <v>10.118232510638299</v>
      </c>
      <c r="CI26" s="298">
        <f>(CD26/CE26)*CJ26</f>
        <v>11.383011574468087</v>
      </c>
      <c r="CJ26" s="116">
        <f>'HIV Model'!AO445</f>
        <v>59.444616000000011</v>
      </c>
      <c r="CK26" s="298">
        <f>(CF26/CJ26)*CO26</f>
        <v>19.224641770212767</v>
      </c>
      <c r="CL26" s="298">
        <f>(CG26/CJ26)*CO26</f>
        <v>16.82156154893617</v>
      </c>
      <c r="CM26" s="298">
        <f>(CH26/CJ26)*CO26</f>
        <v>9.6123208851063833</v>
      </c>
      <c r="CN26" s="298">
        <f>(CI26/CJ26)*CO26</f>
        <v>10.813860995744681</v>
      </c>
      <c r="CO26" s="116">
        <f>'HIV Model'!AP445</f>
        <v>56.472385200000005</v>
      </c>
      <c r="CP26" s="298">
        <f>(CK26/CO26)*CT26</f>
        <v>18.263409681702129</v>
      </c>
      <c r="CQ26" s="298">
        <f>(CL26/CO26)*CT26</f>
        <v>15.980483471489363</v>
      </c>
      <c r="CR26" s="298">
        <f>(CM26/CO26)*CT26</f>
        <v>9.1317048408510644</v>
      </c>
      <c r="CS26" s="298">
        <f>(CN26/CO26)*CT26</f>
        <v>10.273167945957448</v>
      </c>
      <c r="CT26" s="116">
        <f>'HIV Model'!AQ445</f>
        <v>53.648765940000004</v>
      </c>
      <c r="CU26" s="298">
        <f>(CP26/CT26)*CY26</f>
        <v>17.350239197617022</v>
      </c>
      <c r="CV26" s="298">
        <f>(CQ26/CT26)*CY26</f>
        <v>15.181459297914893</v>
      </c>
      <c r="CW26" s="298">
        <f>(CR26/CT26)*CY26</f>
        <v>8.6751195988085108</v>
      </c>
      <c r="CX26" s="298">
        <f>(CS26/CT26)*CY26</f>
        <v>9.759509548659576</v>
      </c>
      <c r="CY26" s="116">
        <f>'HIV Model'!AR445</f>
        <v>50.966327643</v>
      </c>
      <c r="CZ26" s="298">
        <f>(CU26/CY26)*DD26</f>
        <v>16.482727237736167</v>
      </c>
      <c r="DA26" s="298">
        <f>(CV26/CY26)*DD26</f>
        <v>14.422386333019146</v>
      </c>
      <c r="DB26" s="298">
        <f>(CW26/CY26)*DD26</f>
        <v>8.2413636188680837</v>
      </c>
      <c r="DC26" s="298">
        <f>(CX26/CY26)*DD26</f>
        <v>9.2715340712265952</v>
      </c>
      <c r="DD26" s="116">
        <f>'HIV Model'!AS445</f>
        <v>48.418011260849994</v>
      </c>
      <c r="DE26" s="298">
        <f>(CZ26/DD26)*DI26</f>
        <v>15.658590875849359</v>
      </c>
      <c r="DF26" s="298">
        <f>(DA26/DD26)*DI26</f>
        <v>13.701267016368188</v>
      </c>
      <c r="DG26" s="298">
        <f>(DB26/DD26)*DI26</f>
        <v>7.8292954379246797</v>
      </c>
      <c r="DH26" s="298">
        <f>(DC26/DD26)*DI26</f>
        <v>8.8079573676652654</v>
      </c>
      <c r="DI26" s="116">
        <f>'HIV Model'!AT445</f>
        <v>45.997110697807493</v>
      </c>
      <c r="DJ26" s="298">
        <f>(DE26/DI26)*DN26</f>
        <v>14.87566133205689</v>
      </c>
      <c r="DK26" s="298">
        <f>(DF26/DI26)*DN26</f>
        <v>13.016203665549778</v>
      </c>
      <c r="DL26" s="298">
        <f>(DG26/DI26)*DN26</f>
        <v>7.4378306660284448</v>
      </c>
      <c r="DM26" s="298">
        <f>(DH26/DI26)*DN26</f>
        <v>8.3675594992820024</v>
      </c>
      <c r="DN26" s="116">
        <f>'HIV Model'!AU445</f>
        <v>43.697255162917116</v>
      </c>
      <c r="DO26" s="298">
        <f>(DJ26/DN26)*DS26</f>
        <v>14.131878265454047</v>
      </c>
      <c r="DP26" s="298">
        <f>(DK26/DN26)*DS26</f>
        <v>12.365393482272291</v>
      </c>
      <c r="DQ26" s="298">
        <f>(DL26/DN26)*DS26</f>
        <v>7.0659391327270233</v>
      </c>
      <c r="DR26" s="298">
        <f>(DM26/DN26)*DS26</f>
        <v>7.9491815243179023</v>
      </c>
      <c r="DS26" s="116">
        <f>'HIV Model'!AV445</f>
        <v>41.512392404771262</v>
      </c>
      <c r="DT26" s="298">
        <f>(DO26/DS26)*DX26</f>
        <v>13.425284352181345</v>
      </c>
      <c r="DU26" s="298">
        <f>(DP26/DS26)*DX26</f>
        <v>11.747123808158676</v>
      </c>
      <c r="DV26" s="298">
        <f>(DQ26/DS26)*DX26</f>
        <v>6.7126421760906725</v>
      </c>
      <c r="DW26" s="298">
        <f>(DR26/DS26)*DX26</f>
        <v>7.5517224481020078</v>
      </c>
      <c r="DX26" s="116">
        <f>'HIV Model'!AW445</f>
        <v>39.4367727845327</v>
      </c>
      <c r="DY26" s="298">
        <f>(DT26/DX26)*EC26</f>
        <v>12.754020134572276</v>
      </c>
      <c r="DZ26" s="298">
        <f>(DU26/DX26)*EC26</f>
        <v>11.15976761775074</v>
      </c>
      <c r="EA26" s="298">
        <f>(DV26/DX26)*EC26</f>
        <v>6.3770100672861378</v>
      </c>
      <c r="EB26" s="298">
        <f>(DW26/DX26)*EC26</f>
        <v>7.1741363256969057</v>
      </c>
      <c r="EC26" s="116">
        <f>'HIV Model'!AX445</f>
        <v>37.46493414530606</v>
      </c>
      <c r="ED26" s="298">
        <f>(DY26/EC26)*EH26</f>
        <v>3.1885050336430689</v>
      </c>
      <c r="EE26" s="298">
        <f>(DZ26/EC26)*EH26</f>
        <v>2.789941904437685</v>
      </c>
      <c r="EF26" s="298">
        <f>(EA26/EC26)*EH26</f>
        <v>1.5942525168215345</v>
      </c>
      <c r="EG26" s="298">
        <f>(EB26/EC26)*EH26</f>
        <v>1.7935340814242264</v>
      </c>
      <c r="EH26" s="116">
        <f>'HIV Model'!AY445</f>
        <v>9.366233536326515</v>
      </c>
      <c r="EI26" s="298">
        <f>(ED26/EH26)*EM26</f>
        <v>0.79712625841076723</v>
      </c>
      <c r="EJ26" s="298">
        <f>(EE26/EH26)*EM26</f>
        <v>0.69748547610942124</v>
      </c>
      <c r="EK26" s="298">
        <f>(EF26/EH26)*EM26</f>
        <v>0.39856312920538361</v>
      </c>
      <c r="EL26" s="298">
        <f>(EG26/EH26)*EM26</f>
        <v>0.44838352035605661</v>
      </c>
      <c r="EM26" s="116">
        <f>'HIV Model'!AZ445</f>
        <v>2.3415583840816288</v>
      </c>
      <c r="EN26" s="298">
        <f>(EI26/EM26)*ER26</f>
        <v>0.19928156460269181</v>
      </c>
      <c r="EO26" s="298">
        <f>(EJ26/EM26)*ER26</f>
        <v>0.17437136902735531</v>
      </c>
      <c r="EP26" s="298">
        <f>(EK26/EM26)*ER26</f>
        <v>9.9640782301345904E-2</v>
      </c>
      <c r="EQ26" s="298">
        <f>(EL26/EM26)*ER26</f>
        <v>0.11209588008901415</v>
      </c>
      <c r="ER26" s="116">
        <f>'HIV Model'!BA445</f>
        <v>0.58538959602040719</v>
      </c>
    </row>
    <row r="27" spans="2:148">
      <c r="B27" s="231"/>
      <c r="D27" s="297"/>
      <c r="E27" s="297"/>
      <c r="F27" s="297"/>
      <c r="G27" s="297"/>
      <c r="I27" s="297"/>
      <c r="J27" s="297"/>
      <c r="K27" s="297"/>
      <c r="L27" s="297"/>
      <c r="N27" s="297"/>
      <c r="O27" s="297"/>
      <c r="P27" s="297"/>
      <c r="Q27" s="297"/>
      <c r="S27" s="297"/>
      <c r="T27" s="297"/>
      <c r="U27" s="297"/>
      <c r="V27" s="297"/>
      <c r="X27" s="297"/>
      <c r="Y27" s="297"/>
      <c r="Z27" s="297"/>
      <c r="AA27" s="297"/>
      <c r="AC27" s="297"/>
      <c r="AD27" s="297"/>
      <c r="AE27" s="297"/>
      <c r="AF27" s="297"/>
      <c r="AH27" s="297"/>
      <c r="AI27" s="297"/>
      <c r="AJ27" s="297"/>
      <c r="AK27" s="297"/>
      <c r="AM27" s="297"/>
      <c r="AN27" s="297"/>
      <c r="AO27" s="297"/>
      <c r="AP27" s="297"/>
      <c r="AR27" s="297"/>
      <c r="AS27" s="297"/>
      <c r="AT27" s="297"/>
      <c r="AU27" s="297"/>
      <c r="AW27" s="297"/>
      <c r="AX27" s="297"/>
      <c r="AY27" s="297"/>
      <c r="AZ27" s="297"/>
      <c r="BB27" s="298"/>
      <c r="BC27" s="298"/>
      <c r="BD27" s="298"/>
      <c r="BE27" s="298"/>
      <c r="BG27" s="298"/>
      <c r="BH27" s="298"/>
      <c r="BI27" s="298"/>
      <c r="BJ27" s="299"/>
      <c r="BL27" s="298"/>
      <c r="BM27" s="298"/>
      <c r="BN27" s="298"/>
      <c r="BO27" s="298"/>
      <c r="BQ27" s="298"/>
      <c r="BR27" s="298"/>
      <c r="BS27" s="298"/>
      <c r="BT27" s="298"/>
      <c r="BV27" s="298"/>
      <c r="BW27" s="298"/>
      <c r="BX27" s="298"/>
      <c r="BY27" s="298"/>
      <c r="CA27" s="298"/>
      <c r="CB27" s="298"/>
      <c r="CC27" s="298"/>
      <c r="CD27" s="298"/>
      <c r="CF27" s="298"/>
      <c r="CG27" s="298"/>
      <c r="CH27" s="298"/>
      <c r="CI27" s="298"/>
      <c r="CK27" s="298"/>
      <c r="CL27" s="298"/>
      <c r="CM27" s="298"/>
      <c r="CN27" s="298"/>
      <c r="CP27" s="298"/>
      <c r="CQ27" s="298"/>
      <c r="CR27" s="298"/>
      <c r="CS27" s="298"/>
      <c r="CU27" s="298"/>
      <c r="CV27" s="298"/>
      <c r="CW27" s="298"/>
      <c r="CX27" s="298"/>
      <c r="CZ27" s="298"/>
      <c r="DA27" s="298"/>
      <c r="DB27" s="298"/>
      <c r="DC27" s="298"/>
      <c r="DE27" s="298"/>
      <c r="DF27" s="298"/>
      <c r="DG27" s="298"/>
      <c r="DH27" s="298"/>
      <c r="DJ27" s="298"/>
      <c r="DK27" s="298"/>
      <c r="DL27" s="298"/>
      <c r="DM27" s="298"/>
      <c r="DO27" s="298"/>
      <c r="DP27" s="298"/>
      <c r="DQ27" s="298"/>
      <c r="DR27" s="298"/>
      <c r="DT27" s="298"/>
      <c r="DU27" s="298"/>
      <c r="DV27" s="298"/>
      <c r="DW27" s="298"/>
      <c r="DY27" s="298"/>
      <c r="DZ27" s="298"/>
      <c r="EA27" s="298"/>
      <c r="EB27" s="298"/>
      <c r="ED27" s="298"/>
      <c r="EE27" s="298"/>
      <c r="EF27" s="298"/>
      <c r="EG27" s="298"/>
      <c r="EI27" s="298"/>
      <c r="EJ27" s="298"/>
      <c r="EK27" s="298"/>
      <c r="EL27" s="298"/>
      <c r="EN27" s="298"/>
      <c r="EO27" s="298"/>
      <c r="EP27" s="298"/>
      <c r="EQ27" s="298"/>
    </row>
    <row r="28" spans="2:148">
      <c r="B28" s="230" t="s">
        <v>854</v>
      </c>
      <c r="D28" s="297"/>
      <c r="E28" s="297"/>
      <c r="F28" s="297"/>
      <c r="G28" s="297"/>
      <c r="I28" s="297"/>
      <c r="J28" s="297"/>
      <c r="K28" s="297"/>
      <c r="L28" s="297"/>
      <c r="N28" s="297"/>
      <c r="O28" s="297"/>
      <c r="P28" s="297"/>
      <c r="Q28" s="297"/>
      <c r="S28" s="297"/>
      <c r="T28" s="297"/>
      <c r="U28" s="297"/>
      <c r="V28" s="297"/>
      <c r="X28" s="297"/>
      <c r="Y28" s="297"/>
      <c r="Z28" s="297"/>
      <c r="AA28" s="297"/>
      <c r="AC28" s="297"/>
      <c r="AD28" s="297"/>
      <c r="AE28" s="297"/>
      <c r="AF28" s="297"/>
      <c r="AH28" s="297"/>
      <c r="AI28" s="297"/>
      <c r="AJ28" s="297"/>
      <c r="AK28" s="297"/>
      <c r="AM28" s="297"/>
      <c r="AN28" s="297"/>
      <c r="AO28" s="297"/>
      <c r="AP28" s="297"/>
      <c r="AQ28" s="230"/>
      <c r="AR28" s="297"/>
      <c r="AS28" s="297"/>
      <c r="AT28" s="297"/>
      <c r="AU28" s="297"/>
      <c r="AV28" s="230"/>
      <c r="AW28" s="352"/>
      <c r="AX28" s="352"/>
      <c r="AY28" s="352"/>
      <c r="AZ28" s="352"/>
      <c r="BA28" s="230"/>
      <c r="BB28" s="353"/>
      <c r="BC28" s="353"/>
      <c r="BD28" s="353">
        <f t="shared" ref="BD28:CT28" si="20">BD29+BD30+BD31</f>
        <v>17.510999999999999</v>
      </c>
      <c r="BE28" s="353">
        <f t="shared" si="20"/>
        <v>40.024999999999999</v>
      </c>
      <c r="BF28" s="230"/>
      <c r="BG28" s="353"/>
      <c r="BH28" s="353"/>
      <c r="BI28" s="353"/>
      <c r="BJ28" s="353"/>
      <c r="BK28" s="230"/>
      <c r="BL28" s="353"/>
      <c r="BM28" s="353"/>
      <c r="BN28" s="353"/>
      <c r="BO28" s="353"/>
      <c r="BP28" s="230"/>
      <c r="BQ28" s="353"/>
      <c r="BR28" s="353"/>
      <c r="BS28" s="353"/>
      <c r="BT28" s="353">
        <f>BT29+BT30+BT31</f>
        <v>45</v>
      </c>
      <c r="BU28" s="230">
        <f>BU29+BU30+BU31</f>
        <v>45</v>
      </c>
      <c r="BV28" s="353">
        <f t="shared" si="20"/>
        <v>158</v>
      </c>
      <c r="BW28" s="353">
        <f t="shared" si="20"/>
        <v>302</v>
      </c>
      <c r="BX28" s="353">
        <f t="shared" si="20"/>
        <v>461</v>
      </c>
      <c r="BY28" s="353">
        <f t="shared" si="20"/>
        <v>563</v>
      </c>
      <c r="BZ28" s="230">
        <f t="shared" si="20"/>
        <v>1484</v>
      </c>
      <c r="CA28" s="353">
        <f t="shared" si="20"/>
        <v>769</v>
      </c>
      <c r="CB28" s="353">
        <f t="shared" si="20"/>
        <v>857</v>
      </c>
      <c r="CC28" s="353">
        <f t="shared" si="20"/>
        <v>988</v>
      </c>
      <c r="CD28" s="353">
        <f t="shared" si="20"/>
        <v>1060</v>
      </c>
      <c r="CE28" s="230">
        <f t="shared" si="20"/>
        <v>3674</v>
      </c>
      <c r="CF28" s="353">
        <f t="shared" si="20"/>
        <v>1122.875151553186</v>
      </c>
      <c r="CG28" s="353">
        <f t="shared" si="20"/>
        <v>1178.7117949361609</v>
      </c>
      <c r="CH28" s="353">
        <f t="shared" si="20"/>
        <v>1226.3080653616887</v>
      </c>
      <c r="CI28" s="353">
        <f t="shared" si="20"/>
        <v>1272.4794154005299</v>
      </c>
      <c r="CJ28" s="230">
        <f t="shared" si="20"/>
        <v>4800.3744272515651</v>
      </c>
      <c r="CK28" s="353">
        <f t="shared" si="20"/>
        <v>1130.4504503259502</v>
      </c>
      <c r="CL28" s="353">
        <f t="shared" si="20"/>
        <v>1201.433054067787</v>
      </c>
      <c r="CM28" s="353">
        <f t="shared" si="20"/>
        <v>1265.8050213895458</v>
      </c>
      <c r="CN28" s="353">
        <f t="shared" si="20"/>
        <v>1322.8673001810239</v>
      </c>
      <c r="CO28" s="230">
        <f t="shared" si="20"/>
        <v>4920.5558259643076</v>
      </c>
      <c r="CP28" s="353">
        <f t="shared" si="20"/>
        <v>1178.9771830200755</v>
      </c>
      <c r="CQ28" s="353">
        <f t="shared" si="20"/>
        <v>1272.7848024636771</v>
      </c>
      <c r="CR28" s="353">
        <f t="shared" si="20"/>
        <v>1361.9548839952006</v>
      </c>
      <c r="CS28" s="353">
        <f t="shared" si="20"/>
        <v>1435.6339047185902</v>
      </c>
      <c r="CT28" s="230">
        <f t="shared" si="20"/>
        <v>5249.3507741975436</v>
      </c>
      <c r="CU28" s="353">
        <f t="shared" ref="CU28:DZ28" si="21">CU29+CU30+CU31</f>
        <v>956.50558624954544</v>
      </c>
      <c r="CV28" s="353">
        <f t="shared" si="21"/>
        <v>1032.835252584448</v>
      </c>
      <c r="CW28" s="353">
        <f t="shared" si="21"/>
        <v>1105.4279750252149</v>
      </c>
      <c r="CX28" s="353">
        <f t="shared" si="21"/>
        <v>1165.3639005310849</v>
      </c>
      <c r="CY28" s="230">
        <f t="shared" si="21"/>
        <v>4260.1327143902936</v>
      </c>
      <c r="CZ28" s="353">
        <f t="shared" si="21"/>
        <v>776.65807705472173</v>
      </c>
      <c r="DA28" s="353">
        <f t="shared" si="21"/>
        <v>838.8156379331848</v>
      </c>
      <c r="DB28" s="353">
        <f t="shared" si="21"/>
        <v>897.95941569999161</v>
      </c>
      <c r="DC28" s="353">
        <f t="shared" si="21"/>
        <v>946.75466487836297</v>
      </c>
      <c r="DD28" s="230">
        <f t="shared" si="21"/>
        <v>3460.1877955662612</v>
      </c>
      <c r="DE28" s="353">
        <f t="shared" si="21"/>
        <v>697.2819466287857</v>
      </c>
      <c r="DF28" s="353">
        <f t="shared" si="21"/>
        <v>749.04428970872084</v>
      </c>
      <c r="DG28" s="353">
        <f t="shared" si="21"/>
        <v>797.63956375174462</v>
      </c>
      <c r="DH28" s="353">
        <f t="shared" si="21"/>
        <v>838.55207362123429</v>
      </c>
      <c r="DI28" s="230">
        <f t="shared" si="21"/>
        <v>3082.5178737104852</v>
      </c>
      <c r="DJ28" s="353">
        <f t="shared" si="21"/>
        <v>662.97034703956365</v>
      </c>
      <c r="DK28" s="353">
        <f t="shared" si="21"/>
        <v>712.36277798946787</v>
      </c>
      <c r="DL28" s="353">
        <f t="shared" si="21"/>
        <v>758.76420321768978</v>
      </c>
      <c r="DM28" s="353">
        <f t="shared" si="21"/>
        <v>797.79042924167447</v>
      </c>
      <c r="DN28" s="230">
        <f t="shared" si="21"/>
        <v>2931.8877574883954</v>
      </c>
      <c r="DO28" s="353">
        <f t="shared" si="21"/>
        <v>630.50529777414818</v>
      </c>
      <c r="DP28" s="353">
        <f t="shared" si="21"/>
        <v>677.6490836980837</v>
      </c>
      <c r="DQ28" s="353">
        <f t="shared" si="21"/>
        <v>721.96773599588778</v>
      </c>
      <c r="DR28" s="353">
        <f t="shared" si="21"/>
        <v>759.20469784353327</v>
      </c>
      <c r="DS28" s="230">
        <f t="shared" si="21"/>
        <v>2789.3268153116533</v>
      </c>
      <c r="DT28" s="353">
        <f t="shared" si="21"/>
        <v>599.77288880296521</v>
      </c>
      <c r="DU28" s="353">
        <f t="shared" si="21"/>
        <v>644.78199327340428</v>
      </c>
      <c r="DV28" s="353">
        <f t="shared" si="21"/>
        <v>687.12229388962317</v>
      </c>
      <c r="DW28" s="353">
        <f t="shared" si="21"/>
        <v>722.66115320686208</v>
      </c>
      <c r="DX28" s="230">
        <f t="shared" si="21"/>
        <v>2654.3383291728546</v>
      </c>
      <c r="DY28" s="353">
        <f t="shared" si="21"/>
        <v>570.66744802520225</v>
      </c>
      <c r="DZ28" s="353">
        <f t="shared" si="21"/>
        <v>613.64905569268956</v>
      </c>
      <c r="EA28" s="353">
        <f t="shared" ref="EA28:ER28" si="22">EA29+EA30+EA31</f>
        <v>654.10924851397033</v>
      </c>
      <c r="EB28" s="353">
        <f t="shared" si="22"/>
        <v>688.03573000984227</v>
      </c>
      <c r="EC28" s="230">
        <f t="shared" si="22"/>
        <v>2526.4614822417047</v>
      </c>
      <c r="ED28" s="353">
        <f t="shared" si="22"/>
        <v>532.23443037283084</v>
      </c>
      <c r="EE28" s="353">
        <f t="shared" si="22"/>
        <v>571.30024245176992</v>
      </c>
      <c r="EF28" s="353">
        <f t="shared" si="22"/>
        <v>607.89793324138145</v>
      </c>
      <c r="EG28" s="353">
        <f t="shared" si="22"/>
        <v>638.80812818107427</v>
      </c>
      <c r="EH28" s="230">
        <f t="shared" si="22"/>
        <v>2350.2407342470565</v>
      </c>
      <c r="EI28" s="353">
        <f t="shared" si="22"/>
        <v>72.961206227150825</v>
      </c>
      <c r="EJ28" s="353">
        <f t="shared" si="22"/>
        <v>77.228423675118492</v>
      </c>
      <c r="EK28" s="353">
        <f t="shared" si="22"/>
        <v>81.033134796410835</v>
      </c>
      <c r="EL28" s="353">
        <f t="shared" si="22"/>
        <v>84.491022281914709</v>
      </c>
      <c r="EM28" s="230">
        <f t="shared" si="22"/>
        <v>315.71378698059488</v>
      </c>
      <c r="EN28" s="353">
        <f t="shared" si="22"/>
        <v>9.2517832686084009</v>
      </c>
      <c r="EO28" s="353">
        <f t="shared" si="22"/>
        <v>10.020345756384673</v>
      </c>
      <c r="EP28" s="353">
        <f t="shared" si="22"/>
        <v>10.75621629285108</v>
      </c>
      <c r="EQ28" s="353">
        <f t="shared" si="22"/>
        <v>11.357624831976743</v>
      </c>
      <c r="ER28" s="230">
        <f t="shared" si="22"/>
        <v>41.385970149820892</v>
      </c>
    </row>
    <row r="29" spans="2:148">
      <c r="B29" s="699" t="s">
        <v>726</v>
      </c>
      <c r="D29" s="297"/>
      <c r="E29" s="297"/>
      <c r="F29" s="297"/>
      <c r="G29" s="297"/>
      <c r="I29" s="297"/>
      <c r="J29" s="297"/>
      <c r="K29" s="297"/>
      <c r="L29" s="297"/>
      <c r="N29" s="297"/>
      <c r="O29" s="297"/>
      <c r="P29" s="297"/>
      <c r="Q29" s="297"/>
      <c r="S29" s="297"/>
      <c r="T29" s="297"/>
      <c r="U29" s="297"/>
      <c r="V29" s="297"/>
      <c r="X29" s="297"/>
      <c r="Y29" s="297"/>
      <c r="Z29" s="297"/>
      <c r="AA29" s="297"/>
      <c r="AC29" s="297"/>
      <c r="AD29" s="297"/>
      <c r="AE29" s="297"/>
      <c r="AF29" s="297"/>
      <c r="AH29" s="297"/>
      <c r="AI29" s="297"/>
      <c r="AJ29" s="297"/>
      <c r="AK29" s="297"/>
      <c r="AM29" s="297"/>
      <c r="AN29" s="297"/>
      <c r="AO29" s="297"/>
      <c r="AP29" s="297"/>
      <c r="AR29" s="297"/>
      <c r="AS29" s="297"/>
      <c r="AT29" s="297"/>
      <c r="AU29" s="297"/>
      <c r="AW29" s="297"/>
      <c r="AX29" s="297"/>
      <c r="AY29" s="297"/>
      <c r="AZ29" s="297"/>
      <c r="BB29" s="298"/>
      <c r="BC29" s="298"/>
      <c r="BD29" s="298">
        <v>17.510999999999999</v>
      </c>
      <c r="BE29" s="298">
        <v>40.021999999999998</v>
      </c>
      <c r="BG29" s="298"/>
      <c r="BH29" s="298"/>
      <c r="BI29" s="298"/>
      <c r="BJ29" s="299"/>
      <c r="BL29" s="298"/>
      <c r="BM29" s="298"/>
      <c r="BN29" s="298"/>
      <c r="BO29" s="298"/>
      <c r="BQ29" s="298"/>
      <c r="BR29" s="298"/>
      <c r="BS29" s="298"/>
      <c r="BT29" s="299">
        <v>44</v>
      </c>
      <c r="BU29" s="116">
        <f>SUM(BQ29:BT29)</f>
        <v>44</v>
      </c>
      <c r="BV29" s="299">
        <v>141</v>
      </c>
      <c r="BW29" s="299">
        <v>268</v>
      </c>
      <c r="BX29" s="299">
        <v>407</v>
      </c>
      <c r="BY29" s="299">
        <v>485</v>
      </c>
      <c r="BZ29" s="696">
        <f>SUM(BV29:BY29)</f>
        <v>1301</v>
      </c>
      <c r="CA29" s="299">
        <v>669</v>
      </c>
      <c r="CB29" s="299">
        <v>710</v>
      </c>
      <c r="CC29" s="299">
        <v>810</v>
      </c>
      <c r="CD29" s="996">
        <v>844</v>
      </c>
      <c r="CE29" s="116">
        <f>SUM(CA29:CD29)</f>
        <v>3033</v>
      </c>
      <c r="CF29" s="299">
        <v>900</v>
      </c>
      <c r="CG29" s="298">
        <v>915</v>
      </c>
      <c r="CH29" s="298">
        <v>920</v>
      </c>
      <c r="CI29" s="298">
        <f>CJ29-CF29-CG29-CH29</f>
        <v>935.69386593268746</v>
      </c>
      <c r="CJ29" s="116">
        <f>'HIV Model'!AO201</f>
        <v>3670.6938659326875</v>
      </c>
      <c r="CK29" s="298">
        <f>(CF29/CJ29)*CO29</f>
        <v>817.39928655800418</v>
      </c>
      <c r="CL29" s="298">
        <f>(CG29/CJ29)*CO29</f>
        <v>831.02260800063755</v>
      </c>
      <c r="CM29" s="298">
        <f>(CH29/CJ29)*CO29</f>
        <v>835.56371514818193</v>
      </c>
      <c r="CN29" s="298">
        <f>(CI29/CJ29)*CO29</f>
        <v>849.8172205000883</v>
      </c>
      <c r="CO29" s="116">
        <f>'HIV Model'!AP201</f>
        <v>3333.8028302069119</v>
      </c>
      <c r="CP29" s="298">
        <f>(CK29/CO29)*CT29</f>
        <v>733.74390311982609</v>
      </c>
      <c r="CQ29" s="298">
        <f>(CL29/CO29)*CT29</f>
        <v>745.97296817182314</v>
      </c>
      <c r="CR29" s="298">
        <f>(CM29/CO29)*CT29</f>
        <v>750.04932318915553</v>
      </c>
      <c r="CS29" s="298">
        <f>(CN29/CO29)*CT29</f>
        <v>762.84407701636599</v>
      </c>
      <c r="CT29" s="116">
        <f>'HIV Model'!AQ201</f>
        <v>2992.6102714971707</v>
      </c>
      <c r="CU29" s="298">
        <f>(CP29/CT29)*CY29</f>
        <v>593.94583807730032</v>
      </c>
      <c r="CV29" s="298">
        <f>(CQ29/CT29)*CY29</f>
        <v>603.84493537858862</v>
      </c>
      <c r="CW29" s="298">
        <f>(CR29/CT29)*CY29</f>
        <v>607.14463447901812</v>
      </c>
      <c r="CX29" s="298">
        <f>(CS29/CT29)*CY29</f>
        <v>617.50164153908793</v>
      </c>
      <c r="CY29" s="116">
        <f>'HIV Model'!AR201</f>
        <v>2422.4370494739951</v>
      </c>
      <c r="CZ29" s="298">
        <f>(CU29/CY29)*DD29</f>
        <v>481.18919892293502</v>
      </c>
      <c r="DA29" s="298">
        <f>(CV29/CY29)*DD29</f>
        <v>489.20901890498385</v>
      </c>
      <c r="DB29" s="298">
        <f>(CW29/CY29)*DD29</f>
        <v>491.88229223233355</v>
      </c>
      <c r="DC29" s="298">
        <f>(CX29/CY29)*DD29</f>
        <v>500.2730908725045</v>
      </c>
      <c r="DD29" s="116">
        <f>'HIV Model'!AS201</f>
        <v>1962.553600932757</v>
      </c>
      <c r="DE29" s="298">
        <f>(CZ29/DD29)*DI29</f>
        <v>456.28166279141857</v>
      </c>
      <c r="DF29" s="298">
        <f>(DA29/DD29)*DI29</f>
        <v>463.88635717127551</v>
      </c>
      <c r="DG29" s="298">
        <f>(DB29/DD29)*DI29</f>
        <v>466.4212552978945</v>
      </c>
      <c r="DH29" s="298">
        <f>(DC29/DD29)*DI29</f>
        <v>474.37772556833039</v>
      </c>
      <c r="DI29" s="116">
        <f>'HIV Model'!AT201</f>
        <v>1860.967000828919</v>
      </c>
      <c r="DJ29" s="298">
        <f>(DE29/DI29)*DN29</f>
        <v>432.7652930261529</v>
      </c>
      <c r="DK29" s="298">
        <f>(DF29/DI29)*DN29</f>
        <v>439.97804790992205</v>
      </c>
      <c r="DL29" s="298">
        <f>(DG29/DI29)*DN29</f>
        <v>442.38229953784514</v>
      </c>
      <c r="DM29" s="298">
        <f>(DH29/DI29)*DN29</f>
        <v>449.92870008125925</v>
      </c>
      <c r="DN29" s="116">
        <f>'HIV Model'!AU201</f>
        <v>1765.0543405551794</v>
      </c>
      <c r="DO29" s="298">
        <f>(DJ29/DN29)*DS29</f>
        <v>410.55217787803122</v>
      </c>
      <c r="DP29" s="298">
        <f>(DK29/DN29)*DS29</f>
        <v>417.39471417599833</v>
      </c>
      <c r="DQ29" s="298">
        <f>(DL29/DN29)*DS29</f>
        <v>419.67555960865411</v>
      </c>
      <c r="DR29" s="298">
        <f>(DM29/DN29)*DS29</f>
        <v>426.83461609531042</v>
      </c>
      <c r="DS29" s="116">
        <f>'HIV Model'!AV201</f>
        <v>1674.4570677579941</v>
      </c>
      <c r="DT29" s="298">
        <f>(DO29/DS29)*DX29</f>
        <v>389.56085829690301</v>
      </c>
      <c r="DU29" s="298">
        <f>(DP29/DS29)*DX29</f>
        <v>396.05353926851802</v>
      </c>
      <c r="DV29" s="298">
        <f>(DQ29/DS29)*DX29</f>
        <v>398.21776625905642</v>
      </c>
      <c r="DW29" s="298">
        <f>(DR29/DS29)*DX29</f>
        <v>405.01078390653896</v>
      </c>
      <c r="DX29" s="116">
        <f>'HIV Model'!AW201</f>
        <v>1588.8429477310165</v>
      </c>
      <c r="DY29" s="298">
        <f>(DT29/DX29)*EC29</f>
        <v>369.71578780632126</v>
      </c>
      <c r="DZ29" s="298">
        <f>(DU29/DX29)*EC29</f>
        <v>375.87771760309329</v>
      </c>
      <c r="EA29" s="298">
        <f>(DV29/DX29)*EC29</f>
        <v>377.9316942020173</v>
      </c>
      <c r="EB29" s="298">
        <f>(DW29/DX29)*EC29</f>
        <v>384.37866087649547</v>
      </c>
      <c r="EC29" s="116">
        <f>'HIV Model'!AX201</f>
        <v>1507.9038604879274</v>
      </c>
      <c r="ED29" s="298">
        <f>(DY29/EC29)*EH29</f>
        <v>350.94684159943029</v>
      </c>
      <c r="EE29" s="298">
        <f>(DZ29/EC29)*EH29</f>
        <v>356.79595562608745</v>
      </c>
      <c r="EF29" s="298">
        <f>(EA29/EC29)*EH29</f>
        <v>358.74566030163987</v>
      </c>
      <c r="EG29" s="298">
        <f>(EB29/EC29)*EH29</f>
        <v>364.86534105893054</v>
      </c>
      <c r="EH29" s="116">
        <f>'HIV Model'!AY201</f>
        <v>1431.3537985860883</v>
      </c>
      <c r="EI29" s="298">
        <f>(ED29/EH29)*EM29</f>
        <v>54.642284382152532</v>
      </c>
      <c r="EJ29" s="298">
        <f>(EE29/EH29)*EM29</f>
        <v>55.552989121855077</v>
      </c>
      <c r="EK29" s="298">
        <f>(EF29/EH29)*EM29</f>
        <v>55.856557368422592</v>
      </c>
      <c r="EL29" s="298">
        <f>(EG29/EH29)*EM29</f>
        <v>56.809389241032918</v>
      </c>
      <c r="EM29" s="116">
        <f>'HIV Model'!AZ201</f>
        <v>222.86122011346313</v>
      </c>
      <c r="EN29" s="298">
        <f>(EI29/EM29)*ER29</f>
        <v>5.5632232379185771</v>
      </c>
      <c r="EO29" s="298">
        <f>(EJ29/EM29)*ER29</f>
        <v>5.6559436252172199</v>
      </c>
      <c r="EP29" s="298">
        <f>(EK29/EM29)*ER29</f>
        <v>5.6868504209834354</v>
      </c>
      <c r="EQ29" s="298">
        <f>(EL29/EM29)*ER29</f>
        <v>5.7838598428162191</v>
      </c>
      <c r="ER29" s="116">
        <f>'HIV Model'!BA201</f>
        <v>22.689877126935453</v>
      </c>
    </row>
    <row r="30" spans="2:148">
      <c r="B30" s="699" t="s">
        <v>810</v>
      </c>
      <c r="D30" s="297"/>
      <c r="E30" s="297"/>
      <c r="F30" s="297"/>
      <c r="G30" s="297"/>
      <c r="I30" s="297"/>
      <c r="J30" s="297"/>
      <c r="K30" s="297"/>
      <c r="L30" s="297"/>
      <c r="N30" s="297"/>
      <c r="O30" s="297"/>
      <c r="P30" s="297"/>
      <c r="Q30" s="297"/>
      <c r="S30" s="297"/>
      <c r="T30" s="297"/>
      <c r="U30" s="297"/>
      <c r="V30" s="297"/>
      <c r="X30" s="297"/>
      <c r="Y30" s="297"/>
      <c r="Z30" s="297"/>
      <c r="AA30" s="297"/>
      <c r="AC30" s="297"/>
      <c r="AD30" s="297"/>
      <c r="AE30" s="297"/>
      <c r="AF30" s="297"/>
      <c r="AH30" s="297"/>
      <c r="AI30" s="297"/>
      <c r="AJ30" s="297"/>
      <c r="AK30" s="297"/>
      <c r="AM30" s="297"/>
      <c r="AN30" s="297"/>
      <c r="AO30" s="297"/>
      <c r="AP30" s="297"/>
      <c r="AR30" s="297"/>
      <c r="AS30" s="297"/>
      <c r="AT30" s="297"/>
      <c r="AU30" s="297"/>
      <c r="AW30" s="297"/>
      <c r="AX30" s="297"/>
      <c r="AY30" s="297"/>
      <c r="AZ30" s="297"/>
      <c r="BB30" s="298"/>
      <c r="BC30" s="298"/>
      <c r="BD30" s="298"/>
      <c r="BE30" s="298"/>
      <c r="BG30" s="298"/>
      <c r="BH30" s="298"/>
      <c r="BI30" s="298"/>
      <c r="BJ30" s="299"/>
      <c r="BL30" s="298"/>
      <c r="BM30" s="298"/>
      <c r="BN30" s="298"/>
      <c r="BO30" s="298"/>
      <c r="BQ30" s="298"/>
      <c r="BR30" s="298"/>
      <c r="BS30" s="298"/>
      <c r="BT30" s="299">
        <v>1</v>
      </c>
      <c r="BU30" s="116">
        <f>SUM(BQ30:BT30)</f>
        <v>1</v>
      </c>
      <c r="BV30" s="299">
        <v>16</v>
      </c>
      <c r="BW30" s="299">
        <v>30</v>
      </c>
      <c r="BX30" s="299">
        <v>46</v>
      </c>
      <c r="BY30" s="299">
        <v>68</v>
      </c>
      <c r="BZ30" s="696">
        <f>SUM(BV30:BY30)</f>
        <v>160</v>
      </c>
      <c r="CA30" s="299">
        <v>87</v>
      </c>
      <c r="CB30" s="299">
        <v>125</v>
      </c>
      <c r="CC30" s="299">
        <v>146</v>
      </c>
      <c r="CD30" s="996">
        <v>176</v>
      </c>
      <c r="CE30" s="116">
        <f t="shared" ref="CE30:CE31" si="23">SUM(CA30:CD30)</f>
        <v>534</v>
      </c>
      <c r="CF30" s="298">
        <v>200</v>
      </c>
      <c r="CG30" s="298">
        <v>225</v>
      </c>
      <c r="CH30" s="298">
        <v>250</v>
      </c>
      <c r="CI30" s="298">
        <f>CJ30-CF30-CG30-CH30</f>
        <v>266.40046776573172</v>
      </c>
      <c r="CJ30" s="116">
        <f>'HIV Model'!AO405</f>
        <v>941.40046776573172</v>
      </c>
      <c r="CK30" s="298">
        <f>(CF30/CJ30)*CO30</f>
        <v>280.92065139279634</v>
      </c>
      <c r="CL30" s="298">
        <f>(CG30/CJ30)*CO30</f>
        <v>316.03573281689586</v>
      </c>
      <c r="CM30" s="298">
        <f>(CH30/CJ30)*CO30</f>
        <v>351.15081424099537</v>
      </c>
      <c r="CN30" s="298">
        <f>(CI30/CJ30)*CO30</f>
        <v>374.18696468047494</v>
      </c>
      <c r="CO30" s="116">
        <f>'HIV Model'!AP405</f>
        <v>1322.2941631311626</v>
      </c>
      <c r="CP30" s="298">
        <f>(CK30/CO30)*CT30</f>
        <v>399.53604230662808</v>
      </c>
      <c r="CQ30" s="298">
        <f>(CL30/CO30)*CT30</f>
        <v>449.47804759495654</v>
      </c>
      <c r="CR30" s="298">
        <f>(CM30/CO30)*CT30</f>
        <v>499.420052883285</v>
      </c>
      <c r="CS30" s="298">
        <f>(CN30/CO30)*CT30</f>
        <v>532.18294279877432</v>
      </c>
      <c r="CT30" s="116">
        <f>'HIV Model'!AQ405</f>
        <v>1880.617085583644</v>
      </c>
      <c r="CU30" s="298">
        <f>(CP30/CT30)*CY30</f>
        <v>325.34784218484344</v>
      </c>
      <c r="CV30" s="298">
        <f>(CQ30/CT30)*CY30</f>
        <v>366.01632245794883</v>
      </c>
      <c r="CW30" s="298">
        <f>(CR30/CT30)*CY30</f>
        <v>406.68480273105422</v>
      </c>
      <c r="CX30" s="298">
        <f>(CS30/CT30)*CY30</f>
        <v>433.36408672306862</v>
      </c>
      <c r="CY30" s="116">
        <f>'HIV Model'!AR405</f>
        <v>1531.4130540969152</v>
      </c>
      <c r="CZ30" s="298">
        <f>(CU30/CY30)*DD30</f>
        <v>265.14295207222972</v>
      </c>
      <c r="DA30" s="298">
        <f>(CV30/CY30)*DD30</f>
        <v>298.2858210812584</v>
      </c>
      <c r="DB30" s="298">
        <f>(CW30/CY30)*DD30</f>
        <v>331.42869009028709</v>
      </c>
      <c r="DC30" s="298">
        <f>(CX30/CY30)*DD30</f>
        <v>353.17103228414481</v>
      </c>
      <c r="DD30" s="116">
        <f>'HIV Model'!AS405</f>
        <v>1248.0284955279201</v>
      </c>
      <c r="DE30" s="298">
        <f>(CZ30/DD30)*DI30</f>
        <v>216.26483002512356</v>
      </c>
      <c r="DF30" s="298">
        <f>(DA30/DD30)*DI30</f>
        <v>243.297933778264</v>
      </c>
      <c r="DG30" s="298">
        <f>(DB30/DD30)*DI30</f>
        <v>270.33103753140443</v>
      </c>
      <c r="DH30" s="298">
        <f>(DC30/DD30)*DI30</f>
        <v>288.06525939984681</v>
      </c>
      <c r="DI30" s="116">
        <f>'HIV Model'!AT405</f>
        <v>1017.9590607346388</v>
      </c>
      <c r="DJ30" s="298">
        <f>(DE30/DI30)*DN30</f>
        <v>206.57758606928022</v>
      </c>
      <c r="DK30" s="298">
        <f>(DF30/DI30)*DN30</f>
        <v>232.39978432794021</v>
      </c>
      <c r="DL30" s="298">
        <f>(DG30/DI30)*DN30</f>
        <v>258.22198258660023</v>
      </c>
      <c r="DM30" s="298">
        <f>(DH30/DI30)*DN30</f>
        <v>275.16182779385969</v>
      </c>
      <c r="DN30" s="116">
        <f>'HIV Model'!AU405</f>
        <v>972.36118077768037</v>
      </c>
      <c r="DO30" s="298">
        <f>(DJ30/DN30)*DS30</f>
        <v>197.37787578677504</v>
      </c>
      <c r="DP30" s="298">
        <f>(DK30/DN30)*DS30</f>
        <v>222.0501102601219</v>
      </c>
      <c r="DQ30" s="298">
        <f>(DL30/DN30)*DS30</f>
        <v>246.72234473346876</v>
      </c>
      <c r="DR30" s="298">
        <f>(DM30/DN30)*DS30</f>
        <v>262.9077921810167</v>
      </c>
      <c r="DS30" s="116">
        <f>'HIV Model'!AV405</f>
        <v>929.05812296138242</v>
      </c>
      <c r="DT30" s="298">
        <f>(DO30/DS30)*DX30</f>
        <v>188.63657885692842</v>
      </c>
      <c r="DU30" s="298">
        <f>(DP30/DS30)*DX30</f>
        <v>212.21615121404446</v>
      </c>
      <c r="DV30" s="298">
        <f>(DQ30/DS30)*DX30</f>
        <v>235.79572357116049</v>
      </c>
      <c r="DW30" s="298">
        <f>(DR30/DS30)*DX30</f>
        <v>251.26436422606525</v>
      </c>
      <c r="DX30" s="116">
        <f>'HIV Model'!AW405</f>
        <v>887.91281786819866</v>
      </c>
      <c r="DY30" s="298">
        <f>(DT30/DX30)*EC30</f>
        <v>180.32666164754272</v>
      </c>
      <c r="DZ30" s="298">
        <f>(DU30/DX30)*EC30</f>
        <v>202.86749435348554</v>
      </c>
      <c r="EA30" s="298">
        <f>(DV30/DX30)*EC30</f>
        <v>225.40832705942836</v>
      </c>
      <c r="EB30" s="298">
        <f>(DW30/DX30)*EC30</f>
        <v>240.19553506769097</v>
      </c>
      <c r="EC30" s="116">
        <f>'HIV Model'!AX405</f>
        <v>848.79801812814765</v>
      </c>
      <c r="ED30" s="298">
        <f>(DY30/EC30)*EH30</f>
        <v>162.68084397029676</v>
      </c>
      <c r="EE30" s="298">
        <f>(DZ30/EC30)*EH30</f>
        <v>183.01594946658383</v>
      </c>
      <c r="EF30" s="298">
        <f>(EA30/EC30)*EH30</f>
        <v>203.35105496287093</v>
      </c>
      <c r="EG30" s="298">
        <f>(EB30/EC30)*EH30</f>
        <v>216.69126465105529</v>
      </c>
      <c r="EH30" s="116">
        <f>'HIV Model'!AY405</f>
        <v>765.73911305080685</v>
      </c>
      <c r="EI30" s="298">
        <f>(ED30/EH30)*EM30</f>
        <v>16.438729681022103</v>
      </c>
      <c r="EJ30" s="298">
        <f>(EE30/EH30)*EM30</f>
        <v>18.493570891149865</v>
      </c>
      <c r="EK30" s="298">
        <f>(EF30/EH30)*EM30</f>
        <v>20.548412101277627</v>
      </c>
      <c r="EL30" s="298">
        <f>(EG30/EH30)*EM30</f>
        <v>21.896426382493523</v>
      </c>
      <c r="EM30" s="116">
        <f>'HIV Model'!AZ405</f>
        <v>77.377139055943118</v>
      </c>
      <c r="EN30" s="298">
        <f>(EI30/EM30)*ER30</f>
        <v>3.3099787077965037</v>
      </c>
      <c r="EO30" s="298">
        <f>(EJ30/EM30)*ER30</f>
        <v>3.7237260462710666</v>
      </c>
      <c r="EP30" s="298">
        <f>(EK30/EM30)*ER30</f>
        <v>4.1374733847456291</v>
      </c>
      <c r="EQ30" s="298">
        <f>(EL30/EM30)*ER30</f>
        <v>4.4088993802580028</v>
      </c>
      <c r="ER30" s="116">
        <f>'HIV Model'!BA405</f>
        <v>15.580077519071203</v>
      </c>
    </row>
    <row r="31" spans="2:148">
      <c r="B31" s="231" t="s">
        <v>81</v>
      </c>
      <c r="D31" s="297"/>
      <c r="E31" s="297"/>
      <c r="F31" s="297"/>
      <c r="G31" s="297"/>
      <c r="I31" s="297"/>
      <c r="J31" s="297"/>
      <c r="K31" s="297"/>
      <c r="L31" s="297"/>
      <c r="N31" s="297"/>
      <c r="O31" s="297"/>
      <c r="P31" s="297"/>
      <c r="Q31" s="297"/>
      <c r="S31" s="297"/>
      <c r="T31" s="297"/>
      <c r="U31" s="297"/>
      <c r="V31" s="297"/>
      <c r="X31" s="297"/>
      <c r="Y31" s="297"/>
      <c r="Z31" s="297"/>
      <c r="AA31" s="297"/>
      <c r="AC31" s="297"/>
      <c r="AD31" s="297"/>
      <c r="AE31" s="297"/>
      <c r="AF31" s="297"/>
      <c r="AH31" s="297"/>
      <c r="AI31" s="297"/>
      <c r="AJ31" s="297"/>
      <c r="AK31" s="297"/>
      <c r="AM31" s="297"/>
      <c r="AN31" s="297"/>
      <c r="AO31" s="297"/>
      <c r="AP31" s="297"/>
      <c r="AR31" s="297"/>
      <c r="AS31" s="297"/>
      <c r="AT31" s="297"/>
      <c r="AU31" s="297"/>
      <c r="AW31" s="297"/>
      <c r="AX31" s="297"/>
      <c r="AY31" s="297"/>
      <c r="AZ31" s="297"/>
      <c r="BB31" s="298"/>
      <c r="BC31" s="298"/>
      <c r="BD31" s="298"/>
      <c r="BE31" s="298">
        <v>3.0000000000000001E-3</v>
      </c>
      <c r="BG31" s="298"/>
      <c r="BH31" s="298"/>
      <c r="BI31" s="298"/>
      <c r="BJ31" s="299"/>
      <c r="BL31" s="298"/>
      <c r="BM31" s="609"/>
      <c r="BN31" s="298"/>
      <c r="BO31" s="298"/>
      <c r="BQ31" s="298"/>
      <c r="BR31" s="298"/>
      <c r="BS31" s="298"/>
      <c r="BT31" s="299">
        <v>0</v>
      </c>
      <c r="BU31" s="116">
        <f>SUM(BQ31:BT31)</f>
        <v>0</v>
      </c>
      <c r="BV31" s="299">
        <v>1</v>
      </c>
      <c r="BW31" s="299">
        <v>4</v>
      </c>
      <c r="BX31" s="299">
        <v>8</v>
      </c>
      <c r="BY31" s="299">
        <v>10</v>
      </c>
      <c r="BZ31" s="696">
        <f>SUM(BV31:BY31)</f>
        <v>23</v>
      </c>
      <c r="CA31" s="299">
        <v>13</v>
      </c>
      <c r="CB31" s="299">
        <v>22</v>
      </c>
      <c r="CC31" s="299">
        <v>32</v>
      </c>
      <c r="CD31" s="996">
        <v>40</v>
      </c>
      <c r="CE31" s="116">
        <f t="shared" si="23"/>
        <v>107</v>
      </c>
      <c r="CF31" s="298">
        <f>(CA31/CE31)*CJ31</f>
        <v>22.875151553186004</v>
      </c>
      <c r="CG31" s="298">
        <f>(CB31/CE31)*CJ31</f>
        <v>38.711794936160928</v>
      </c>
      <c r="CH31" s="298">
        <f>(CC31/CE31)*CJ31</f>
        <v>56.30806536168862</v>
      </c>
      <c r="CI31" s="298">
        <f>(CD31/CE31)*CJ31</f>
        <v>70.385081702110782</v>
      </c>
      <c r="CJ31" s="116">
        <f>'HIV Model'!AO448</f>
        <v>188.28009355314634</v>
      </c>
      <c r="CK31" s="298">
        <f>(CF31/CJ31)*CO31</f>
        <v>32.130512375149749</v>
      </c>
      <c r="CL31" s="298">
        <f>(CG31/CJ31)*CO31</f>
        <v>54.374713250253421</v>
      </c>
      <c r="CM31" s="298">
        <f>(CH31/CJ31)*CO31</f>
        <v>79.090492000368613</v>
      </c>
      <c r="CN31" s="298">
        <f>(CI31/CJ31)*CO31</f>
        <v>98.863115000460766</v>
      </c>
      <c r="CO31" s="116">
        <f>'HIV Model'!AP448</f>
        <v>264.45883262623255</v>
      </c>
      <c r="CP31" s="298">
        <f>(CK31/CO31)*CT31</f>
        <v>45.69723759362126</v>
      </c>
      <c r="CQ31" s="298">
        <f>(CL31/CO31)*CT31</f>
        <v>77.333786696897519</v>
      </c>
      <c r="CR31" s="298">
        <f>(CM31/CO31)*CT31</f>
        <v>112.48550792276002</v>
      </c>
      <c r="CS31" s="298">
        <f>(CN31/CO31)*CT31</f>
        <v>140.60688490345004</v>
      </c>
      <c r="CT31" s="116">
        <f>'HIV Model'!AQ448</f>
        <v>376.12341711672883</v>
      </c>
      <c r="CU31" s="298">
        <f>(CP31/CT31)*CY31</f>
        <v>37.211905987401678</v>
      </c>
      <c r="CV31" s="298">
        <f>(CQ31/CT31)*CY31</f>
        <v>62.973994747910524</v>
      </c>
      <c r="CW31" s="298">
        <f>(CR31/CT31)*CY31</f>
        <v>91.598537815142578</v>
      </c>
      <c r="CX31" s="298">
        <f>(CS31/CT31)*CY31</f>
        <v>114.49817226892824</v>
      </c>
      <c r="CY31" s="116">
        <f>'HIV Model'!AR448</f>
        <v>306.28261081938302</v>
      </c>
      <c r="CZ31" s="298">
        <f>(CU31/CY31)*DD31</f>
        <v>30.325926059556942</v>
      </c>
      <c r="DA31" s="298">
        <f>(CV31/CY31)*DD31</f>
        <v>51.320797946942506</v>
      </c>
      <c r="DB31" s="298">
        <f>(CW31/CY31)*DD31</f>
        <v>74.648433377370921</v>
      </c>
      <c r="DC31" s="298">
        <f>(CX31/CY31)*DD31</f>
        <v>93.310541721713662</v>
      </c>
      <c r="DD31" s="116">
        <f>'HIV Model'!AS448</f>
        <v>249.60569910558402</v>
      </c>
      <c r="DE31" s="298">
        <f>(CZ31/DD31)*DI31</f>
        <v>24.735453812243563</v>
      </c>
      <c r="DF31" s="298">
        <f>(DA31/DD31)*DI31</f>
        <v>41.859998759181408</v>
      </c>
      <c r="DG31" s="298">
        <f>(DB31/DD31)*DI31</f>
        <v>60.88727092244568</v>
      </c>
      <c r="DH31" s="298">
        <f>(DC31/DD31)*DI31</f>
        <v>76.109088653057114</v>
      </c>
      <c r="DI31" s="116">
        <f>'HIV Model'!AT448</f>
        <v>203.59181214692777</v>
      </c>
      <c r="DJ31" s="298">
        <f>(DE31/DI31)*DN31</f>
        <v>23.627467944130554</v>
      </c>
      <c r="DK31" s="298">
        <f>(DF31/DI31)*DN31</f>
        <v>39.984945751605551</v>
      </c>
      <c r="DL31" s="298">
        <f>(DG31/DI31)*DN31</f>
        <v>58.159921093244428</v>
      </c>
      <c r="DM31" s="298">
        <f>(DH31/DI31)*DN31</f>
        <v>72.699901366555551</v>
      </c>
      <c r="DN31" s="116">
        <f>'HIV Model'!AU448</f>
        <v>194.47223615553608</v>
      </c>
      <c r="DO31" s="298">
        <f>(DJ31/DN31)*DS31</f>
        <v>22.575244109342009</v>
      </c>
      <c r="DP31" s="298">
        <f>(DK31/DN31)*DS31</f>
        <v>38.204259261963394</v>
      </c>
      <c r="DQ31" s="298">
        <f>(DL31/DN31)*DS31</f>
        <v>55.569831653764929</v>
      </c>
      <c r="DR31" s="298">
        <f>(DM31/DN31)*DS31</f>
        <v>69.46228956720617</v>
      </c>
      <c r="DS31" s="116">
        <f>'HIV Model'!AV448</f>
        <v>185.8116245922765</v>
      </c>
      <c r="DT31" s="298">
        <f>(DO31/DS31)*DX31</f>
        <v>21.575451649133804</v>
      </c>
      <c r="DU31" s="298">
        <f>(DP31/DS31)*DX31</f>
        <v>36.512302790841815</v>
      </c>
      <c r="DV31" s="298">
        <f>(DQ31/DS31)*DX31</f>
        <v>53.108804059406268</v>
      </c>
      <c r="DW31" s="298">
        <f>(DR31/DS31)*DX31</f>
        <v>66.386005074257838</v>
      </c>
      <c r="DX31" s="116">
        <f>'HIV Model'!AW448</f>
        <v>177.58256357363973</v>
      </c>
      <c r="DY31" s="298">
        <f>(DT31/DX31)*EC31</f>
        <v>20.624998571338175</v>
      </c>
      <c r="DZ31" s="298">
        <f>(DU31/DX31)*EC31</f>
        <v>34.903843736110751</v>
      </c>
      <c r="EA31" s="298">
        <f>(DV31/DX31)*EC31</f>
        <v>50.769227252524722</v>
      </c>
      <c r="EB31" s="298">
        <f>(DW31/DX31)*EC31</f>
        <v>63.461534065655904</v>
      </c>
      <c r="EC31" s="116">
        <f>'HIV Model'!AX448</f>
        <v>169.75960362562955</v>
      </c>
      <c r="ED31" s="298">
        <f>(DY31/EC31)*EH31</f>
        <v>18.606744803103723</v>
      </c>
      <c r="EE31" s="298">
        <f>(DZ31/EC31)*EH31</f>
        <v>31.488337359098605</v>
      </c>
      <c r="EF31" s="298">
        <f>(EA31/EC31)*EH31</f>
        <v>45.801217976870689</v>
      </c>
      <c r="EG31" s="298">
        <f>(EB31/EC31)*EH31</f>
        <v>57.251522471088357</v>
      </c>
      <c r="EH31" s="116">
        <f>'HIV Model'!AY448</f>
        <v>153.14782261016137</v>
      </c>
      <c r="EI31" s="298">
        <f>(ED31/EH31)*EM31</f>
        <v>1.8801921639761883</v>
      </c>
      <c r="EJ31" s="298">
        <f>(EE31/EH31)*EM31</f>
        <v>3.1818636621135492</v>
      </c>
      <c r="EK31" s="298">
        <f>(EF31/EH31)*EM31</f>
        <v>4.628165326710616</v>
      </c>
      <c r="EL31" s="298">
        <f>(EG31/EH31)*EM31</f>
        <v>5.7852066583882706</v>
      </c>
      <c r="EM31" s="116">
        <f>'HIV Model'!AZ448</f>
        <v>15.475427811188624</v>
      </c>
      <c r="EN31" s="298">
        <f>(EI31/EM31)*ER31</f>
        <v>0.37858132289331908</v>
      </c>
      <c r="EO31" s="298">
        <f>(EJ31/EM31)*ER31</f>
        <v>0.64067608489638606</v>
      </c>
      <c r="EP31" s="298">
        <f>(EK31/EM31)*ER31</f>
        <v>0.93189248712201589</v>
      </c>
      <c r="EQ31" s="298">
        <f>(EL31/EM31)*ER31</f>
        <v>1.16486560890252</v>
      </c>
      <c r="ER31" s="116">
        <f>'HIV Model'!BA448</f>
        <v>3.116015503814241</v>
      </c>
    </row>
    <row r="32" spans="2:148">
      <c r="B32" s="231"/>
      <c r="D32" s="297"/>
      <c r="E32" s="297"/>
      <c r="F32" s="297"/>
      <c r="G32" s="297"/>
      <c r="I32" s="297"/>
      <c r="J32" s="297"/>
      <c r="K32" s="297"/>
      <c r="L32" s="297"/>
      <c r="N32" s="297"/>
      <c r="O32" s="297"/>
      <c r="P32" s="297"/>
      <c r="Q32" s="297"/>
      <c r="S32" s="297"/>
      <c r="T32" s="297"/>
      <c r="U32" s="297"/>
      <c r="V32" s="297"/>
      <c r="X32" s="297"/>
      <c r="Y32" s="297"/>
      <c r="Z32" s="297"/>
      <c r="AA32" s="297"/>
      <c r="AC32" s="297"/>
      <c r="AD32" s="297"/>
      <c r="AE32" s="297"/>
      <c r="AF32" s="297"/>
      <c r="AH32" s="297"/>
      <c r="AI32" s="297"/>
      <c r="AJ32" s="297"/>
      <c r="AK32" s="297"/>
      <c r="AM32" s="297"/>
      <c r="AN32" s="297"/>
      <c r="AO32" s="297"/>
      <c r="AP32" s="297"/>
      <c r="AR32" s="297"/>
      <c r="AS32" s="297"/>
      <c r="AT32" s="297"/>
      <c r="AU32" s="297"/>
      <c r="AW32" s="297"/>
      <c r="AX32" s="297"/>
      <c r="AY32" s="297"/>
      <c r="AZ32" s="297"/>
      <c r="BB32" s="298"/>
      <c r="BC32" s="298"/>
      <c r="BD32" s="298"/>
      <c r="BE32" s="298"/>
      <c r="BG32" s="298"/>
      <c r="BH32" s="298"/>
      <c r="BI32" s="298"/>
      <c r="BJ32" s="299"/>
      <c r="BL32" s="298"/>
      <c r="BM32" s="298"/>
      <c r="BN32" s="298"/>
      <c r="BO32" s="298"/>
      <c r="BQ32" s="298"/>
      <c r="BR32" s="298"/>
      <c r="BS32" s="298"/>
      <c r="BT32" s="298"/>
      <c r="BV32" s="298"/>
      <c r="BW32" s="298"/>
      <c r="BX32" s="298"/>
      <c r="BY32" s="298"/>
      <c r="CA32" s="298"/>
      <c r="CB32" s="298"/>
      <c r="CC32" s="298"/>
      <c r="CD32" s="298"/>
      <c r="CF32" s="298"/>
      <c r="CG32" s="298"/>
      <c r="CH32" s="298"/>
      <c r="CI32" s="298"/>
      <c r="CK32" s="298"/>
      <c r="CL32" s="298"/>
      <c r="CM32" s="298"/>
      <c r="CN32" s="298"/>
      <c r="CP32" s="298"/>
      <c r="CQ32" s="298"/>
      <c r="CR32" s="298"/>
      <c r="CS32" s="298"/>
      <c r="CU32" s="298"/>
      <c r="CV32" s="298"/>
      <c r="CW32" s="298"/>
      <c r="CX32" s="298"/>
      <c r="CZ32" s="298"/>
      <c r="DA32" s="298"/>
      <c r="DB32" s="298"/>
      <c r="DC32" s="298"/>
      <c r="DE32" s="298"/>
      <c r="DF32" s="298"/>
      <c r="DG32" s="298"/>
      <c r="DH32" s="298"/>
      <c r="DJ32" s="298"/>
      <c r="DK32" s="298"/>
      <c r="DL32" s="298"/>
      <c r="DM32" s="298"/>
      <c r="DO32" s="298"/>
      <c r="DP32" s="298"/>
      <c r="DQ32" s="298"/>
      <c r="DR32" s="298"/>
      <c r="DT32" s="298"/>
      <c r="DU32" s="298"/>
      <c r="DV32" s="298"/>
      <c r="DW32" s="298"/>
      <c r="DY32" s="298"/>
      <c r="DZ32" s="298"/>
      <c r="EA32" s="298"/>
      <c r="EB32" s="298"/>
      <c r="ED32" s="298"/>
      <c r="EE32" s="298"/>
      <c r="EF32" s="298"/>
      <c r="EG32" s="298"/>
      <c r="EI32" s="298"/>
      <c r="EJ32" s="298"/>
      <c r="EK32" s="298"/>
      <c r="EL32" s="298"/>
      <c r="EN32" s="298"/>
      <c r="EO32" s="298"/>
      <c r="EP32" s="298"/>
      <c r="EQ32" s="298"/>
    </row>
    <row r="33" spans="2:148">
      <c r="B33" s="230" t="s">
        <v>853</v>
      </c>
      <c r="D33" s="297"/>
      <c r="E33" s="297"/>
      <c r="F33" s="297"/>
      <c r="G33" s="297"/>
      <c r="I33" s="297"/>
      <c r="J33" s="297"/>
      <c r="K33" s="297"/>
      <c r="L33" s="297"/>
      <c r="N33" s="297"/>
      <c r="O33" s="297"/>
      <c r="P33" s="297"/>
      <c r="Q33" s="297"/>
      <c r="S33" s="297"/>
      <c r="T33" s="297"/>
      <c r="U33" s="297"/>
      <c r="V33" s="297"/>
      <c r="X33" s="297"/>
      <c r="Y33" s="297"/>
      <c r="Z33" s="297"/>
      <c r="AA33" s="297"/>
      <c r="AC33" s="297"/>
      <c r="AD33" s="297"/>
      <c r="AE33" s="297"/>
      <c r="AF33" s="297"/>
      <c r="AH33" s="297"/>
      <c r="AI33" s="297"/>
      <c r="AJ33" s="297"/>
      <c r="AK33" s="297"/>
      <c r="AM33" s="297"/>
      <c r="AN33" s="297"/>
      <c r="AO33" s="297"/>
      <c r="AP33" s="297"/>
      <c r="AQ33" s="230"/>
      <c r="AR33" s="297"/>
      <c r="AS33" s="297"/>
      <c r="AT33" s="297"/>
      <c r="AU33" s="297"/>
      <c r="AV33" s="230"/>
      <c r="AW33" s="352"/>
      <c r="AX33" s="352"/>
      <c r="AY33" s="352"/>
      <c r="AZ33" s="352"/>
      <c r="BA33" s="230"/>
      <c r="BB33" s="353"/>
      <c r="BC33" s="353"/>
      <c r="BD33" s="353">
        <f>BD34+BD35+BD36</f>
        <v>17.510999999999999</v>
      </c>
      <c r="BE33" s="353">
        <f>BE34+BE35+BE36</f>
        <v>40.024999999999999</v>
      </c>
      <c r="BF33" s="230"/>
      <c r="BG33" s="353"/>
      <c r="BH33" s="353"/>
      <c r="BI33" s="353"/>
      <c r="BJ33" s="353"/>
      <c r="BK33" s="230"/>
      <c r="BL33" s="353"/>
      <c r="BM33" s="353"/>
      <c r="BN33" s="353"/>
      <c r="BO33" s="353"/>
      <c r="BP33" s="230"/>
      <c r="BQ33" s="353"/>
      <c r="BR33" s="353"/>
      <c r="BS33" s="353"/>
      <c r="BT33" s="353"/>
      <c r="BU33" s="230"/>
      <c r="BV33" s="353"/>
      <c r="BW33" s="712">
        <f t="shared" ref="BW33:EH33" si="24">BW34+BW35+BW36</f>
        <v>58</v>
      </c>
      <c r="BX33" s="712">
        <f t="shared" si="24"/>
        <v>105</v>
      </c>
      <c r="BY33" s="712">
        <f t="shared" si="24"/>
        <v>155</v>
      </c>
      <c r="BZ33" s="698">
        <f t="shared" si="24"/>
        <v>318</v>
      </c>
      <c r="CA33" s="712">
        <f t="shared" si="24"/>
        <v>227</v>
      </c>
      <c r="CB33" s="712">
        <f t="shared" si="24"/>
        <v>258</v>
      </c>
      <c r="CC33" s="712">
        <f t="shared" si="24"/>
        <v>296</v>
      </c>
      <c r="CD33" s="712">
        <f t="shared" si="24"/>
        <v>325</v>
      </c>
      <c r="CE33" s="698">
        <f t="shared" si="24"/>
        <v>1106</v>
      </c>
      <c r="CF33" s="712">
        <f t="shared" si="24"/>
        <v>336.45785212679812</v>
      </c>
      <c r="CG33" s="712">
        <f t="shared" si="24"/>
        <v>399.92131464765311</v>
      </c>
      <c r="CH33" s="712">
        <f t="shared" si="24"/>
        <v>459.47886122972307</v>
      </c>
      <c r="CI33" s="712">
        <f t="shared" si="24"/>
        <v>510.18660322227959</v>
      </c>
      <c r="CJ33" s="698">
        <f t="shared" si="24"/>
        <v>1706.0446312264539</v>
      </c>
      <c r="CK33" s="712">
        <f t="shared" si="24"/>
        <v>434.48986941425818</v>
      </c>
      <c r="CL33" s="712">
        <f t="shared" si="24"/>
        <v>515.8719516749735</v>
      </c>
      <c r="CM33" s="712">
        <f t="shared" si="24"/>
        <v>602.19276264223981</v>
      </c>
      <c r="CN33" s="712">
        <f t="shared" si="24"/>
        <v>671.89979913540469</v>
      </c>
      <c r="CO33" s="698">
        <f t="shared" si="24"/>
        <v>2224.4543828668761</v>
      </c>
      <c r="CP33" s="712">
        <f t="shared" si="24"/>
        <v>503.36585846232731</v>
      </c>
      <c r="CQ33" s="712">
        <f t="shared" si="24"/>
        <v>597.16534518287756</v>
      </c>
      <c r="CR33" s="712">
        <f t="shared" si="24"/>
        <v>705.11697605972699</v>
      </c>
      <c r="CS33" s="712">
        <f t="shared" si="24"/>
        <v>789.44201017595299</v>
      </c>
      <c r="CT33" s="698">
        <f t="shared" si="24"/>
        <v>2595.0901898808847</v>
      </c>
      <c r="CU33" s="712">
        <f t="shared" si="24"/>
        <v>531.66762790907728</v>
      </c>
      <c r="CV33" s="712">
        <f t="shared" si="24"/>
        <v>630.12088361660051</v>
      </c>
      <c r="CW33" s="712">
        <f t="shared" si="24"/>
        <v>754.33663523686414</v>
      </c>
      <c r="CX33" s="712">
        <f t="shared" si="24"/>
        <v>847.97978236214635</v>
      </c>
      <c r="CY33" s="698">
        <f t="shared" si="24"/>
        <v>2764.1049291246882</v>
      </c>
      <c r="CZ33" s="712">
        <f t="shared" si="24"/>
        <v>563.09779505449274</v>
      </c>
      <c r="DA33" s="712">
        <f t="shared" si="24"/>
        <v>666.72482075475205</v>
      </c>
      <c r="DB33" s="712">
        <f t="shared" si="24"/>
        <v>808.91064163275701</v>
      </c>
      <c r="DC33" s="712">
        <f t="shared" si="24"/>
        <v>912.86066656472678</v>
      </c>
      <c r="DD33" s="698">
        <f t="shared" si="24"/>
        <v>2951.5939240067282</v>
      </c>
      <c r="DE33" s="712">
        <f t="shared" si="24"/>
        <v>564.85945891163215</v>
      </c>
      <c r="DF33" s="712">
        <f t="shared" si="24"/>
        <v>668.78514118380508</v>
      </c>
      <c r="DG33" s="712">
        <f t="shared" si="24"/>
        <v>811.83571404294776</v>
      </c>
      <c r="DH33" s="712">
        <f t="shared" si="24"/>
        <v>916.29947624148645</v>
      </c>
      <c r="DI33" s="698">
        <f t="shared" si="24"/>
        <v>2961.7797903798714</v>
      </c>
      <c r="DJ33" s="712">
        <f t="shared" si="24"/>
        <v>566.83150258195872</v>
      </c>
      <c r="DK33" s="712">
        <f t="shared" si="24"/>
        <v>671.09426551755666</v>
      </c>
      <c r="DL33" s="712">
        <f t="shared" si="24"/>
        <v>815.06751563391754</v>
      </c>
      <c r="DM33" s="712">
        <f t="shared" si="24"/>
        <v>920.08600838479117</v>
      </c>
      <c r="DN33" s="698">
        <f t="shared" si="24"/>
        <v>2973.0792921182237</v>
      </c>
      <c r="DO33" s="712">
        <f t="shared" si="24"/>
        <v>130.33960746445612</v>
      </c>
      <c r="DP33" s="712">
        <f t="shared" si="24"/>
        <v>152.88394432710408</v>
      </c>
      <c r="DQ33" s="712">
        <f t="shared" si="24"/>
        <v>209.50331338054224</v>
      </c>
      <c r="DR33" s="712">
        <f t="shared" si="24"/>
        <v>244.20834128616306</v>
      </c>
      <c r="DS33" s="698">
        <f t="shared" si="24"/>
        <v>736.9352064582655</v>
      </c>
      <c r="DT33" s="712">
        <f t="shared" si="24"/>
        <v>16.991596733920385</v>
      </c>
      <c r="DU33" s="712">
        <f t="shared" si="24"/>
        <v>20.007067317079546</v>
      </c>
      <c r="DV33" s="712">
        <f t="shared" si="24"/>
        <v>26.130549967368871</v>
      </c>
      <c r="DW33" s="712">
        <f t="shared" si="24"/>
        <v>30.090204884064306</v>
      </c>
      <c r="DX33" s="698">
        <f t="shared" si="24"/>
        <v>93.219418902433105</v>
      </c>
      <c r="DY33" s="712">
        <f t="shared" si="24"/>
        <v>3.4015198211176449</v>
      </c>
      <c r="DZ33" s="712">
        <f t="shared" si="24"/>
        <v>4.0051518368658536</v>
      </c>
      <c r="EA33" s="712">
        <f t="shared" si="24"/>
        <v>5.231496335839795</v>
      </c>
      <c r="EB33" s="712">
        <f t="shared" si="24"/>
        <v>6.0243951881261841</v>
      </c>
      <c r="EC33" s="698">
        <f t="shared" si="24"/>
        <v>18.662563181949476</v>
      </c>
      <c r="ED33" s="712">
        <f t="shared" si="24"/>
        <v>0.68305544946777697</v>
      </c>
      <c r="EE33" s="712">
        <f t="shared" si="24"/>
        <v>0.80424925920129564</v>
      </c>
      <c r="EF33" s="712">
        <f t="shared" si="24"/>
        <v>1.0508532571767299</v>
      </c>
      <c r="EG33" s="712">
        <f t="shared" si="24"/>
        <v>1.210228444886803</v>
      </c>
      <c r="EH33" s="698">
        <f t="shared" si="24"/>
        <v>3.7483864107326057</v>
      </c>
      <c r="EI33" s="712">
        <f t="shared" ref="EI33:ER33" si="25">EI34+EI35+EI36</f>
        <v>0.17147662157746846</v>
      </c>
      <c r="EJ33" s="712">
        <f t="shared" si="25"/>
        <v>0.20242620695512023</v>
      </c>
      <c r="EK33" s="712">
        <f t="shared" si="25"/>
        <v>0.25570906364024654</v>
      </c>
      <c r="EL33" s="712">
        <f t="shared" si="25"/>
        <v>0.29184667893887073</v>
      </c>
      <c r="EM33" s="698">
        <f t="shared" si="25"/>
        <v>0.92145857111170593</v>
      </c>
      <c r="EN33" s="712">
        <f t="shared" si="25"/>
        <v>3.4787922749525947E-2</v>
      </c>
      <c r="EO33" s="712">
        <f t="shared" si="25"/>
        <v>4.106886533577362E-2</v>
      </c>
      <c r="EP33" s="712">
        <f t="shared" si="25"/>
        <v>5.1843697114905253E-2</v>
      </c>
      <c r="EQ33" s="712">
        <f t="shared" si="25"/>
        <v>5.9159406390945565E-2</v>
      </c>
      <c r="ER33" s="698">
        <f t="shared" si="25"/>
        <v>0.18685989159115038</v>
      </c>
    </row>
    <row r="34" spans="2:148">
      <c r="B34" s="699" t="s">
        <v>905</v>
      </c>
      <c r="D34" s="297"/>
      <c r="E34" s="297"/>
      <c r="F34" s="297"/>
      <c r="G34" s="297"/>
      <c r="I34" s="297"/>
      <c r="J34" s="297"/>
      <c r="K34" s="297"/>
      <c r="L34" s="297"/>
      <c r="N34" s="297"/>
      <c r="O34" s="297"/>
      <c r="P34" s="297"/>
      <c r="Q34" s="297"/>
      <c r="S34" s="297"/>
      <c r="T34" s="297"/>
      <c r="U34" s="297"/>
      <c r="V34" s="297"/>
      <c r="X34" s="297"/>
      <c r="Y34" s="297"/>
      <c r="Z34" s="297"/>
      <c r="AA34" s="297"/>
      <c r="AC34" s="297"/>
      <c r="AD34" s="297"/>
      <c r="AE34" s="297"/>
      <c r="AF34" s="297"/>
      <c r="AH34" s="297"/>
      <c r="AI34" s="297"/>
      <c r="AJ34" s="297"/>
      <c r="AK34" s="297"/>
      <c r="AM34" s="297"/>
      <c r="AN34" s="297"/>
      <c r="AO34" s="297"/>
      <c r="AP34" s="297"/>
      <c r="AR34" s="297"/>
      <c r="AS34" s="297"/>
      <c r="AT34" s="297"/>
      <c r="AU34" s="297"/>
      <c r="AW34" s="297"/>
      <c r="AX34" s="297"/>
      <c r="AY34" s="297"/>
      <c r="AZ34" s="297"/>
      <c r="BB34" s="298"/>
      <c r="BC34" s="298"/>
      <c r="BD34" s="298">
        <v>17.510999999999999</v>
      </c>
      <c r="BE34" s="298">
        <v>40.021999999999998</v>
      </c>
      <c r="BG34" s="298"/>
      <c r="BH34" s="298"/>
      <c r="BI34" s="298"/>
      <c r="BJ34" s="299"/>
      <c r="BL34" s="298"/>
      <c r="BM34" s="298"/>
      <c r="BN34" s="298"/>
      <c r="BO34" s="298"/>
      <c r="BQ34" s="298"/>
      <c r="BR34" s="298"/>
      <c r="BS34" s="298"/>
      <c r="BT34" s="299"/>
      <c r="BV34" s="299"/>
      <c r="BW34" s="299">
        <v>58</v>
      </c>
      <c r="BX34" s="299">
        <v>95</v>
      </c>
      <c r="BY34" s="299">
        <v>138</v>
      </c>
      <c r="BZ34" s="696">
        <f>SUM(BV34:BY34)</f>
        <v>291</v>
      </c>
      <c r="CA34" s="299">
        <v>203</v>
      </c>
      <c r="CB34" s="299">
        <v>230</v>
      </c>
      <c r="CC34" s="299">
        <v>255</v>
      </c>
      <c r="CD34" s="996">
        <v>276</v>
      </c>
      <c r="CE34" s="696">
        <f>SUM(CA34:CD34)</f>
        <v>964</v>
      </c>
      <c r="CF34" s="299">
        <v>285</v>
      </c>
      <c r="CG34" s="711">
        <v>340</v>
      </c>
      <c r="CH34" s="711">
        <f>(CC34/CE34)*CJ34</f>
        <v>370.02006238428612</v>
      </c>
      <c r="CI34" s="711">
        <f>CJ34-CF34-CG34-CH34</f>
        <v>403.80087933513278</v>
      </c>
      <c r="CJ34" s="696">
        <f>'HIV Model'!AO211</f>
        <v>1398.8209417194189</v>
      </c>
      <c r="CK34" s="711">
        <f>(CF34/CJ34)*CO34</f>
        <v>347.96071575514492</v>
      </c>
      <c r="CL34" s="711">
        <f>(CG34/CJ34)*CO34</f>
        <v>415.11102932192722</v>
      </c>
      <c r="CM34" s="711">
        <f>(CH34/CJ34)*CO34</f>
        <v>451.76296754736688</v>
      </c>
      <c r="CN34" s="711">
        <f>(CI34/CJ34)*CO34</f>
        <v>493.00646665266561</v>
      </c>
      <c r="CO34" s="696">
        <f>'HIV Model'!AP211</f>
        <v>1707.8411792771046</v>
      </c>
      <c r="CP34" s="711">
        <f>(CK34/CO34)*CT34</f>
        <v>386.16358153049248</v>
      </c>
      <c r="CQ34" s="711">
        <f>(CL34/CO34)*CT34</f>
        <v>460.68637796620152</v>
      </c>
      <c r="CR34" s="711">
        <f>(CM34/CO34)*CT34</f>
        <v>501.36235974895504</v>
      </c>
      <c r="CS34" s="711">
        <f>(CN34/CO34)*CT34</f>
        <v>547.13401329549856</v>
      </c>
      <c r="CT34" s="696">
        <f>'HIV Model'!AQ211</f>
        <v>1895.3463325411476</v>
      </c>
      <c r="CU34" s="711">
        <f>(CP34/CT34)*CY34</f>
        <v>386.12403918844882</v>
      </c>
      <c r="CV34" s="711">
        <f>(CQ34/CT34)*CY34</f>
        <v>460.63920464586874</v>
      </c>
      <c r="CW34" s="711">
        <f>(CR34/CT34)*CY34</f>
        <v>501.31102129327149</v>
      </c>
      <c r="CX34" s="711">
        <f>(CS34/CT34)*CY34</f>
        <v>547.07798791834705</v>
      </c>
      <c r="CY34" s="696">
        <f>'HIV Model'!AR211</f>
        <v>1895.152253045936</v>
      </c>
      <c r="CZ34" s="711">
        <f>(CU34/CY34)*DD34</f>
        <v>386.27608386394951</v>
      </c>
      <c r="DA34" s="711">
        <f>(CV34/CY34)*DD34</f>
        <v>460.8205912762906</v>
      </c>
      <c r="DB34" s="711">
        <f>(CW34/CY34)*DD34</f>
        <v>501.50842332946075</v>
      </c>
      <c r="DC34" s="711">
        <f>(CX34/CY34)*DD34</f>
        <v>547.29341168559404</v>
      </c>
      <c r="DD34" s="696">
        <f>'HIV Model'!AS211</f>
        <v>1895.8985101552948</v>
      </c>
      <c r="DE34" s="711">
        <f>(CZ34/DD34)*DI34</f>
        <v>386.58859213372762</v>
      </c>
      <c r="DF34" s="711">
        <f>(DA34/DD34)*DI34</f>
        <v>461.19340815953461</v>
      </c>
      <c r="DG34" s="711">
        <f>(DB34/DD34)*DI34</f>
        <v>501.91415781886042</v>
      </c>
      <c r="DH34" s="711">
        <f>(DC34/DD34)*DI34</f>
        <v>547.73618752466734</v>
      </c>
      <c r="DI34" s="696">
        <f>'HIV Model'!AT211</f>
        <v>1897.4323456367899</v>
      </c>
      <c r="DJ34" s="711">
        <f>(DE34/DI34)*DN34</f>
        <v>387.03516961429318</v>
      </c>
      <c r="DK34" s="711">
        <f>(DF34/DI34)*DN34</f>
        <v>461.72616725915668</v>
      </c>
      <c r="DL34" s="711">
        <f>(DG34/DI34)*DN34</f>
        <v>502.49395651085439</v>
      </c>
      <c r="DM34" s="711">
        <f>(DH34/DI34)*DN34</f>
        <v>548.36891868025907</v>
      </c>
      <c r="DN34" s="696">
        <f>'HIV Model'!AU211</f>
        <v>1899.6242120645632</v>
      </c>
      <c r="DO34" s="711">
        <f>(DJ34/DN34)*DS34</f>
        <v>38.826696117943875</v>
      </c>
      <c r="DP34" s="711">
        <f>(DK34/DN34)*DS34</f>
        <v>46.319567298599701</v>
      </c>
      <c r="DQ34" s="711">
        <f>(DL34/DN34)*DS34</f>
        <v>50.409321121885299</v>
      </c>
      <c r="DR34" s="711">
        <f>(DM34/DN34)*DS34</f>
        <v>55.011417663521826</v>
      </c>
      <c r="DS34" s="696">
        <f>'HIV Model'!AV211</f>
        <v>190.56700220195069</v>
      </c>
      <c r="DT34" s="711">
        <f>(DO34/DS34)*DX34</f>
        <v>7.7449869905038611</v>
      </c>
      <c r="DU34" s="711">
        <f>(DP34/DS34)*DX34</f>
        <v>9.239633602706359</v>
      </c>
      <c r="DV34" s="711">
        <f>(DQ34/DS34)*DX34</f>
        <v>10.055440594356922</v>
      </c>
      <c r="DW34" s="711">
        <f>(DR34/DS34)*DX34</f>
        <v>10.973447569139026</v>
      </c>
      <c r="DX34" s="696">
        <f>'HIV Model'!AW211</f>
        <v>38.013508756706166</v>
      </c>
      <c r="DY34" s="711">
        <f>(DT34/DX34)*EC34</f>
        <v>1.5494009690277077</v>
      </c>
      <c r="DZ34" s="711">
        <f>(DU34/DX34)*EC34</f>
        <v>1.848408173576914</v>
      </c>
      <c r="EA34" s="711">
        <f>(DV34/DX34)*EC34</f>
        <v>2.0116120814663359</v>
      </c>
      <c r="EB34" s="711">
        <f>(DW34/DX34)*EC34</f>
        <v>2.1952613113547197</v>
      </c>
      <c r="EC34" s="696">
        <f>'HIV Model'!AX211</f>
        <v>7.6046825354256766</v>
      </c>
      <c r="ED34" s="711">
        <f>(DY34/EC34)*EH34</f>
        <v>0.31040142526163761</v>
      </c>
      <c r="EE34" s="711">
        <f>(DZ34/EC34)*EH34</f>
        <v>0.37030345469809389</v>
      </c>
      <c r="EF34" s="711">
        <f>(EA34/EC34)*EH34</f>
        <v>0.40299913943678056</v>
      </c>
      <c r="EG34" s="711">
        <f>(EB34/EC34)*EH34</f>
        <v>0.43979076655272892</v>
      </c>
      <c r="EH34" s="696">
        <f>'HIV Model'!AY211</f>
        <v>1.5234947859492409</v>
      </c>
      <c r="EI34" s="711">
        <f>(ED34/EH34)*EM34</f>
        <v>9.6328024146084074E-2</v>
      </c>
      <c r="EJ34" s="711">
        <f>(EE34/EH34)*EM34</f>
        <v>0.11491764284094236</v>
      </c>
      <c r="EK34" s="711">
        <f>(EF34/EH34)*EM34</f>
        <v>0.12506421580311944</v>
      </c>
      <c r="EL34" s="711">
        <f>(EG34/EH34)*EM34</f>
        <v>0.13648189773615665</v>
      </c>
      <c r="EM34" s="696">
        <f>'HIV Model'!AZ211</f>
        <v>0.4727917805263025</v>
      </c>
      <c r="EN34" s="711">
        <f>(EI34/EM34)*ER34</f>
        <v>1.9616585624192127E-2</v>
      </c>
      <c r="EO34" s="711">
        <f>(EJ34/EM34)*ER34</f>
        <v>2.3402242499036215E-2</v>
      </c>
      <c r="EP34" s="711">
        <f>(EK34/EM34)*ER34</f>
        <v>2.5468527145369332E-2</v>
      </c>
      <c r="EQ34" s="711">
        <f>(EL34/EM34)*ER34</f>
        <v>2.7793664998602471E-2</v>
      </c>
      <c r="ER34" s="696">
        <f>'HIV Model'!BA211</f>
        <v>9.6281020267200146E-2</v>
      </c>
    </row>
    <row r="35" spans="2:148">
      <c r="B35" s="699" t="s">
        <v>906</v>
      </c>
      <c r="D35" s="297"/>
      <c r="E35" s="297"/>
      <c r="F35" s="297"/>
      <c r="G35" s="297"/>
      <c r="I35" s="297"/>
      <c r="J35" s="297"/>
      <c r="K35" s="297"/>
      <c r="L35" s="297"/>
      <c r="N35" s="297"/>
      <c r="O35" s="297"/>
      <c r="P35" s="297"/>
      <c r="Q35" s="297"/>
      <c r="S35" s="297"/>
      <c r="T35" s="297"/>
      <c r="U35" s="297"/>
      <c r="V35" s="297"/>
      <c r="X35" s="297"/>
      <c r="Y35" s="297"/>
      <c r="Z35" s="297"/>
      <c r="AA35" s="297"/>
      <c r="AC35" s="297"/>
      <c r="AD35" s="297"/>
      <c r="AE35" s="297"/>
      <c r="AF35" s="297"/>
      <c r="AH35" s="297"/>
      <c r="AI35" s="297"/>
      <c r="AJ35" s="297"/>
      <c r="AK35" s="297"/>
      <c r="AM35" s="297"/>
      <c r="AN35" s="297"/>
      <c r="AO35" s="297"/>
      <c r="AP35" s="297"/>
      <c r="AR35" s="297"/>
      <c r="AS35" s="297"/>
      <c r="AT35" s="297"/>
      <c r="AU35" s="297"/>
      <c r="AW35" s="297"/>
      <c r="AX35" s="297"/>
      <c r="AY35" s="297"/>
      <c r="AZ35" s="297"/>
      <c r="BB35" s="298"/>
      <c r="BC35" s="298"/>
      <c r="BD35" s="298"/>
      <c r="BE35" s="298"/>
      <c r="BG35" s="298"/>
      <c r="BH35" s="298"/>
      <c r="BI35" s="298"/>
      <c r="BJ35" s="299"/>
      <c r="BL35" s="298"/>
      <c r="BM35" s="298"/>
      <c r="BN35" s="298"/>
      <c r="BO35" s="298"/>
      <c r="BQ35" s="298"/>
      <c r="BR35" s="298"/>
      <c r="BS35" s="298"/>
      <c r="BT35" s="299"/>
      <c r="BV35" s="299"/>
      <c r="BW35" s="299">
        <v>0</v>
      </c>
      <c r="BX35" s="299">
        <v>10</v>
      </c>
      <c r="BY35" s="299">
        <v>17</v>
      </c>
      <c r="BZ35" s="696">
        <f>SUM(BV35:BY35)</f>
        <v>27</v>
      </c>
      <c r="CA35" s="299">
        <v>23</v>
      </c>
      <c r="CB35" s="299">
        <v>27</v>
      </c>
      <c r="CC35" s="299">
        <v>37</v>
      </c>
      <c r="CD35" s="996">
        <v>45</v>
      </c>
      <c r="CE35" s="696">
        <f t="shared" ref="CE35:CE36" si="26">SUM(CA35:CD35)</f>
        <v>132</v>
      </c>
      <c r="CF35" s="711">
        <f>(CA35/CE35)*CJ35</f>
        <v>48.66490949491601</v>
      </c>
      <c r="CG35" s="711">
        <f>(CB35/CE35)*CJ35</f>
        <v>57.128372015770971</v>
      </c>
      <c r="CH35" s="711">
        <f>(CC35/CE35)*CJ35</f>
        <v>78.287028317908351</v>
      </c>
      <c r="CI35" s="711">
        <f>(CD35/CE35)*CJ35</f>
        <v>95.213953359618273</v>
      </c>
      <c r="CJ35" s="696">
        <f>'HIV Model'!AO413</f>
        <v>279.29426318821362</v>
      </c>
      <c r="CK35" s="711">
        <f>(CF35/CJ35)*CO35</f>
        <v>81.832669990115321</v>
      </c>
      <c r="CL35" s="711">
        <f>(CG35/CJ35)*CO35</f>
        <v>96.064438684048426</v>
      </c>
      <c r="CM35" s="711">
        <f>(CH35/CJ35)*CO35</f>
        <v>131.64386041888116</v>
      </c>
      <c r="CN35" s="711">
        <f>(CI35/CJ35)*CO35</f>
        <v>160.10739780674734</v>
      </c>
      <c r="CO35" s="696">
        <f>'HIV Model'!AP413</f>
        <v>469.64836689979228</v>
      </c>
      <c r="CP35" s="711">
        <f>(CK35/CO35)*CT35</f>
        <v>110.84096913783719</v>
      </c>
      <c r="CQ35" s="711">
        <f>(CL35/CO35)*CT35</f>
        <v>130.11765942267843</v>
      </c>
      <c r="CR35" s="711">
        <f>(CM35/CO35)*CT35</f>
        <v>178.30938513478154</v>
      </c>
      <c r="CS35" s="711">
        <f>(CN35/CO35)*CT35</f>
        <v>216.86276570446404</v>
      </c>
      <c r="CT35" s="696">
        <f>'HIV Model'!AQ413</f>
        <v>636.1307793997612</v>
      </c>
      <c r="CU35" s="711">
        <f>(CP35/CT35)*CY35</f>
        <v>137.64401893809438</v>
      </c>
      <c r="CV35" s="711">
        <f>(CQ35/CT35)*CY35</f>
        <v>161.58210918819773</v>
      </c>
      <c r="CW35" s="711">
        <f>(CR35/CT35)*CY35</f>
        <v>221.42733481345613</v>
      </c>
      <c r="CX35" s="711">
        <f>(CS35/CT35)*CY35</f>
        <v>269.30351531366284</v>
      </c>
      <c r="CY35" s="696">
        <f>'HIV Model'!AR413</f>
        <v>789.95697825341108</v>
      </c>
      <c r="CZ35" s="711">
        <f>(CU35/CY35)*DD35</f>
        <v>167.22448015553016</v>
      </c>
      <c r="DA35" s="711">
        <f>(CV35/CY35)*DD35</f>
        <v>196.30699844344841</v>
      </c>
      <c r="DB35" s="711">
        <f>(CW35/CY35)*DD35</f>
        <v>269.0132941632441</v>
      </c>
      <c r="DC35" s="711">
        <f>(CX35/CY35)*DD35</f>
        <v>327.17833073908065</v>
      </c>
      <c r="DD35" s="696">
        <f>'HIV Model'!AS413</f>
        <v>959.72310350130329</v>
      </c>
      <c r="DE35" s="711">
        <f>(CZ35/DD35)*DI35</f>
        <v>168.59498091660387</v>
      </c>
      <c r="DF35" s="711">
        <f>(DA35/DD35)*DI35</f>
        <v>197.91584716296973</v>
      </c>
      <c r="DG35" s="711">
        <f>(DB35/DD35)*DI35</f>
        <v>271.21801277888443</v>
      </c>
      <c r="DH35" s="711">
        <f>(DC35/DD35)*DI35</f>
        <v>329.85974527161619</v>
      </c>
      <c r="DI35" s="696">
        <f>'HIV Model'!AT413</f>
        <v>967.58858613007419</v>
      </c>
      <c r="DJ35" s="711">
        <f>(DE35/DI35)*DN35</f>
        <v>170.03765042172313</v>
      </c>
      <c r="DK35" s="711">
        <f>(DF35/DI35)*DN35</f>
        <v>199.60941571245755</v>
      </c>
      <c r="DL35" s="711">
        <f>(DG35/DI35)*DN35</f>
        <v>273.53882893929364</v>
      </c>
      <c r="DM35" s="711">
        <f>(DH35/DI35)*DN35</f>
        <v>332.68235952076253</v>
      </c>
      <c r="DN35" s="696">
        <f>'HIV Model'!AU413</f>
        <v>975.86825459423687</v>
      </c>
      <c r="DO35" s="711">
        <f>(DJ35/DN35)*DS35</f>
        <v>86.545927671454848</v>
      </c>
      <c r="DP35" s="711">
        <f>(DK35/DN35)*DS35</f>
        <v>101.59739335344698</v>
      </c>
      <c r="DQ35" s="711">
        <f>(DL35/DN35)*DS35</f>
        <v>139.22605755842733</v>
      </c>
      <c r="DR35" s="711">
        <f>(DM35/DN35)*DS35</f>
        <v>169.32898892241161</v>
      </c>
      <c r="DS35" s="696">
        <f>'HIV Model'!AV413</f>
        <v>496.69836750574075</v>
      </c>
      <c r="DT35" s="711">
        <f>(DO35/DS35)*DX35</f>
        <v>8.7447378330008263</v>
      </c>
      <c r="DU35" s="711">
        <f>(DP35/DS35)*DX35</f>
        <v>10.265561803957489</v>
      </c>
      <c r="DV35" s="711">
        <f>(DQ35/DS35)*DX35</f>
        <v>14.067621731349151</v>
      </c>
      <c r="DW35" s="711">
        <f>(DR35/DS35)*DX35</f>
        <v>17.109269673262482</v>
      </c>
      <c r="DX35" s="696">
        <f>'HIV Model'!AW413</f>
        <v>50.187191041569946</v>
      </c>
      <c r="DY35" s="711">
        <f>(DT35/DX35)*EC35</f>
        <v>1.7515926643942663</v>
      </c>
      <c r="DZ35" s="711">
        <f>(DU35/DX35)*EC35</f>
        <v>2.056217475593269</v>
      </c>
      <c r="EA35" s="711">
        <f>(DV35/DX35)*EC35</f>
        <v>2.8177795035907756</v>
      </c>
      <c r="EB35" s="711">
        <f>(DW35/DX35)*EC35</f>
        <v>3.4270291259887808</v>
      </c>
      <c r="EC35" s="696">
        <f>'HIV Model'!AX413</f>
        <v>10.052618769567092</v>
      </c>
      <c r="ED35" s="711">
        <f>(DY35/EC35)*EH35</f>
        <v>0.35242773670810884</v>
      </c>
      <c r="EE35" s="711">
        <f>(DZ35/EC35)*EH35</f>
        <v>0.41371951700517118</v>
      </c>
      <c r="EF35" s="711">
        <f>(EA35/EC35)*EH35</f>
        <v>0.56694896774782699</v>
      </c>
      <c r="EG35" s="711">
        <f>(EB35/EC35)*EH35</f>
        <v>0.68953252834195178</v>
      </c>
      <c r="EH35" s="696">
        <f>'HIV Model'!AY413</f>
        <v>2.0226287498030588</v>
      </c>
      <c r="EI35" s="711">
        <f>(ED35/EH35)*EM35</f>
        <v>7.1069808426062531E-2</v>
      </c>
      <c r="EJ35" s="711">
        <f>(EE35/EH35)*EM35</f>
        <v>8.3429775108856005E-2</v>
      </c>
      <c r="EK35" s="711">
        <f>(EF35/EH35)*EM35</f>
        <v>0.1143296918158397</v>
      </c>
      <c r="EL35" s="711">
        <f>(EG35/EH35)*EM35</f>
        <v>0.13904962518142666</v>
      </c>
      <c r="EM35" s="696">
        <f>'HIV Model'!AZ413</f>
        <v>0.4078789005321849</v>
      </c>
      <c r="EN35" s="711">
        <f>(EI35/EM35)*ER35</f>
        <v>1.4347892840570631E-2</v>
      </c>
      <c r="EO35" s="711">
        <f>(EJ35/EM35)*ER35</f>
        <v>1.6843178551974217E-2</v>
      </c>
      <c r="EP35" s="711">
        <f>(EK35/EM35)*ER35</f>
        <v>2.3081392830483181E-2</v>
      </c>
      <c r="EQ35" s="711">
        <f>(EL35/EM35)*ER35</f>
        <v>2.8071964253290355E-2</v>
      </c>
      <c r="ER35" s="696">
        <f>'HIV Model'!BA413</f>
        <v>8.2344428476318385E-2</v>
      </c>
    </row>
    <row r="36" spans="2:148">
      <c r="B36" s="231" t="s">
        <v>81</v>
      </c>
      <c r="D36" s="297"/>
      <c r="E36" s="297"/>
      <c r="F36" s="297"/>
      <c r="G36" s="297"/>
      <c r="I36" s="297"/>
      <c r="J36" s="297"/>
      <c r="K36" s="297"/>
      <c r="L36" s="297"/>
      <c r="N36" s="297"/>
      <c r="O36" s="297"/>
      <c r="P36" s="297"/>
      <c r="Q36" s="297"/>
      <c r="S36" s="297"/>
      <c r="T36" s="297"/>
      <c r="U36" s="297"/>
      <c r="V36" s="297"/>
      <c r="X36" s="297"/>
      <c r="Y36" s="297"/>
      <c r="Z36" s="297"/>
      <c r="AA36" s="297"/>
      <c r="AC36" s="297"/>
      <c r="AD36" s="297"/>
      <c r="AE36" s="297"/>
      <c r="AF36" s="297"/>
      <c r="AH36" s="297"/>
      <c r="AI36" s="297"/>
      <c r="AJ36" s="297"/>
      <c r="AK36" s="297"/>
      <c r="AM36" s="297"/>
      <c r="AN36" s="297"/>
      <c r="AO36" s="297"/>
      <c r="AP36" s="297"/>
      <c r="AR36" s="297"/>
      <c r="AS36" s="297"/>
      <c r="AT36" s="297"/>
      <c r="AU36" s="297"/>
      <c r="AW36" s="297"/>
      <c r="AX36" s="297"/>
      <c r="AY36" s="297"/>
      <c r="AZ36" s="297"/>
      <c r="BB36" s="298"/>
      <c r="BC36" s="298"/>
      <c r="BD36" s="298"/>
      <c r="BE36" s="298">
        <v>3.0000000000000001E-3</v>
      </c>
      <c r="BG36" s="298"/>
      <c r="BH36" s="298"/>
      <c r="BI36" s="298"/>
      <c r="BJ36" s="299"/>
      <c r="BL36" s="298"/>
      <c r="BM36" s="609"/>
      <c r="BN36" s="298"/>
      <c r="BO36" s="298"/>
      <c r="BQ36" s="298"/>
      <c r="BR36" s="298"/>
      <c r="BS36" s="298"/>
      <c r="BT36" s="299"/>
      <c r="BV36" s="299"/>
      <c r="BW36" s="299">
        <v>0</v>
      </c>
      <c r="BX36" s="299">
        <v>0</v>
      </c>
      <c r="BY36" s="299">
        <v>0</v>
      </c>
      <c r="BZ36" s="696">
        <f>SUM(BV36:BY36)</f>
        <v>0</v>
      </c>
      <c r="CA36" s="299">
        <v>1</v>
      </c>
      <c r="CB36" s="299">
        <v>1</v>
      </c>
      <c r="CC36" s="299">
        <v>4</v>
      </c>
      <c r="CD36" s="996">
        <v>4</v>
      </c>
      <c r="CE36" s="696">
        <f t="shared" si="26"/>
        <v>10</v>
      </c>
      <c r="CF36" s="711">
        <f>(CA36/CE36)*CJ36</f>
        <v>2.7929426318821364</v>
      </c>
      <c r="CG36" s="711">
        <f>(CB36/CE36)*CJ36</f>
        <v>2.7929426318821364</v>
      </c>
      <c r="CH36" s="711">
        <f>(CC36/CE36)*CJ36</f>
        <v>11.171770527528546</v>
      </c>
      <c r="CI36" s="711">
        <f>(CD36/CE36)*CJ36</f>
        <v>11.171770527528546</v>
      </c>
      <c r="CJ36" s="696">
        <f>'HIV Model'!AO451</f>
        <v>27.929426318821363</v>
      </c>
      <c r="CK36" s="711">
        <f>(CF36/CJ36)*CO36</f>
        <v>4.6964836689979235</v>
      </c>
      <c r="CL36" s="711">
        <f>(CG36/CJ36)*CO36</f>
        <v>4.6964836689979235</v>
      </c>
      <c r="CM36" s="711">
        <f>(CH36/CJ36)*CO36</f>
        <v>18.785934675991694</v>
      </c>
      <c r="CN36" s="711">
        <f>(CI36/CJ36)*CO36</f>
        <v>18.785934675991694</v>
      </c>
      <c r="CO36" s="696">
        <f>'HIV Model'!AP451</f>
        <v>46.964836689979229</v>
      </c>
      <c r="CP36" s="711">
        <f>(CK36/CO36)*CT36</f>
        <v>6.3613077939976126</v>
      </c>
      <c r="CQ36" s="711">
        <f>(CL36/CO36)*CT36</f>
        <v>6.3613077939976126</v>
      </c>
      <c r="CR36" s="711">
        <f>(CM36/CO36)*CT36</f>
        <v>25.44523117599045</v>
      </c>
      <c r="CS36" s="711">
        <f>(CN36/CO36)*CT36</f>
        <v>25.44523117599045</v>
      </c>
      <c r="CT36" s="696">
        <f>'HIV Model'!AQ451</f>
        <v>63.613077939976122</v>
      </c>
      <c r="CU36" s="711">
        <f>(CP36/CT36)*CY36</f>
        <v>7.8995697825341118</v>
      </c>
      <c r="CV36" s="711">
        <f>(CQ36/CT36)*CY36</f>
        <v>7.8995697825341118</v>
      </c>
      <c r="CW36" s="711">
        <f>(CR36/CT36)*CY36</f>
        <v>31.598279130136447</v>
      </c>
      <c r="CX36" s="711">
        <f>(CS36/CT36)*CY36</f>
        <v>31.598279130136447</v>
      </c>
      <c r="CY36" s="696">
        <f>'HIV Model'!AR451</f>
        <v>78.995697825341111</v>
      </c>
      <c r="CZ36" s="711">
        <f>(CU36/CY36)*DD36</f>
        <v>9.5972310350130332</v>
      </c>
      <c r="DA36" s="711">
        <f>(CV36/CY36)*DD36</f>
        <v>9.5972310350130332</v>
      </c>
      <c r="DB36" s="711">
        <f>(CW36/CY36)*DD36</f>
        <v>38.388924140052133</v>
      </c>
      <c r="DC36" s="711">
        <f>(CX36/CY36)*DD36</f>
        <v>38.388924140052133</v>
      </c>
      <c r="DD36" s="696">
        <f>'HIV Model'!AS451</f>
        <v>95.972310350130329</v>
      </c>
      <c r="DE36" s="711">
        <f>(CZ36/DD36)*DI36</f>
        <v>9.6758858613007419</v>
      </c>
      <c r="DF36" s="711">
        <f>(DA36/DD36)*DI36</f>
        <v>9.6758858613007419</v>
      </c>
      <c r="DG36" s="711">
        <f>(DB36/DD36)*DI36</f>
        <v>38.703543445202968</v>
      </c>
      <c r="DH36" s="711">
        <f>(DC36/DD36)*DI36</f>
        <v>38.703543445202968</v>
      </c>
      <c r="DI36" s="696">
        <f>'HIV Model'!AT451</f>
        <v>96.758858613007419</v>
      </c>
      <c r="DJ36" s="711">
        <f>(DE36/DI36)*DN36</f>
        <v>9.7586825459423707</v>
      </c>
      <c r="DK36" s="711">
        <f>(DF36/DI36)*DN36</f>
        <v>9.7586825459423707</v>
      </c>
      <c r="DL36" s="711">
        <f>(DG36/DI36)*DN36</f>
        <v>39.034730183769483</v>
      </c>
      <c r="DM36" s="711">
        <f>(DH36/DI36)*DN36</f>
        <v>39.034730183769483</v>
      </c>
      <c r="DN36" s="696">
        <f>'HIV Model'!AU451</f>
        <v>97.586825459423693</v>
      </c>
      <c r="DO36" s="711">
        <f>(DJ36/DN36)*DS36</f>
        <v>4.966983675057409</v>
      </c>
      <c r="DP36" s="711">
        <f>(DK36/DN36)*DS36</f>
        <v>4.966983675057409</v>
      </c>
      <c r="DQ36" s="711">
        <f>(DL36/DN36)*DS36</f>
        <v>19.867934700229636</v>
      </c>
      <c r="DR36" s="711">
        <f>(DM36/DN36)*DS36</f>
        <v>19.867934700229636</v>
      </c>
      <c r="DS36" s="696">
        <f>'HIV Model'!AV451</f>
        <v>49.669836750574078</v>
      </c>
      <c r="DT36" s="711">
        <f>(DO36/DS36)*DX36</f>
        <v>0.50187191041569956</v>
      </c>
      <c r="DU36" s="711">
        <f>(DP36/DS36)*DX36</f>
        <v>0.50187191041569956</v>
      </c>
      <c r="DV36" s="711">
        <f>(DQ36/DS36)*DX36</f>
        <v>2.0074876416627983</v>
      </c>
      <c r="DW36" s="711">
        <f>(DR36/DS36)*DX36</f>
        <v>2.0074876416627983</v>
      </c>
      <c r="DX36" s="696">
        <f>'HIV Model'!AW451</f>
        <v>5.018719104156995</v>
      </c>
      <c r="DY36" s="711">
        <f>(DT36/DX36)*EC36</f>
        <v>0.10052618769567094</v>
      </c>
      <c r="DZ36" s="711">
        <f>(DU36/DX36)*EC36</f>
        <v>0.10052618769567094</v>
      </c>
      <c r="EA36" s="711">
        <f>(DV36/DX36)*EC36</f>
        <v>0.40210475078268376</v>
      </c>
      <c r="EB36" s="711">
        <f>(DW36/DX36)*EC36</f>
        <v>0.40210475078268376</v>
      </c>
      <c r="EC36" s="696">
        <f>'HIV Model'!AX451</f>
        <v>1.0052618769567092</v>
      </c>
      <c r="ED36" s="711">
        <f>(DY36/EC36)*EH36</f>
        <v>2.0226287498030595E-2</v>
      </c>
      <c r="EE36" s="711">
        <f>(DZ36/EC36)*EH36</f>
        <v>2.0226287498030595E-2</v>
      </c>
      <c r="EF36" s="711">
        <f>(EA36/EC36)*EH36</f>
        <v>8.090514999212238E-2</v>
      </c>
      <c r="EG36" s="711">
        <f>(EB36/EC36)*EH36</f>
        <v>8.090514999212238E-2</v>
      </c>
      <c r="EH36" s="696">
        <f>'HIV Model'!AY451</f>
        <v>0.2022628749803059</v>
      </c>
      <c r="EI36" s="711">
        <f>(ED36/EH36)*EM36</f>
        <v>4.0787890053218499E-3</v>
      </c>
      <c r="EJ36" s="711">
        <f>(EE36/EH36)*EM36</f>
        <v>4.0787890053218499E-3</v>
      </c>
      <c r="EK36" s="711">
        <f>(EF36/EH36)*EM36</f>
        <v>1.63151560212874E-2</v>
      </c>
      <c r="EL36" s="711">
        <f>(EG36/EH36)*EM36</f>
        <v>1.63151560212874E-2</v>
      </c>
      <c r="EM36" s="696">
        <f>'HIV Model'!AZ451</f>
        <v>4.0787890053218492E-2</v>
      </c>
      <c r="EN36" s="711">
        <f>(EI36/EM36)*ER36</f>
        <v>8.2344428476318406E-4</v>
      </c>
      <c r="EO36" s="711">
        <f>(EJ36/EM36)*ER36</f>
        <v>8.2344428476318406E-4</v>
      </c>
      <c r="EP36" s="711">
        <f>(EK36/EM36)*ER36</f>
        <v>3.2937771390527362E-3</v>
      </c>
      <c r="EQ36" s="711">
        <f>(EL36/EM36)*ER36</f>
        <v>3.2937771390527362E-3</v>
      </c>
      <c r="ER36" s="696">
        <f>'HIV Model'!BA451</f>
        <v>8.2344428476318395E-3</v>
      </c>
    </row>
    <row r="37" spans="2:148">
      <c r="B37" s="231"/>
      <c r="D37" s="297"/>
      <c r="E37" s="297"/>
      <c r="F37" s="297"/>
      <c r="G37" s="297"/>
      <c r="I37" s="297"/>
      <c r="J37" s="297"/>
      <c r="K37" s="297"/>
      <c r="L37" s="297"/>
      <c r="N37" s="297"/>
      <c r="O37" s="297"/>
      <c r="P37" s="297"/>
      <c r="Q37" s="297"/>
      <c r="S37" s="297"/>
      <c r="T37" s="297"/>
      <c r="U37" s="297"/>
      <c r="V37" s="297"/>
      <c r="X37" s="297"/>
      <c r="Y37" s="297"/>
      <c r="Z37" s="297"/>
      <c r="AA37" s="297"/>
      <c r="AC37" s="297"/>
      <c r="AD37" s="297"/>
      <c r="AE37" s="297"/>
      <c r="AF37" s="297"/>
      <c r="AH37" s="297"/>
      <c r="AI37" s="297"/>
      <c r="AJ37" s="297"/>
      <c r="AK37" s="297"/>
      <c r="AM37" s="297"/>
      <c r="AN37" s="297"/>
      <c r="AO37" s="297"/>
      <c r="AP37" s="297"/>
      <c r="AR37" s="297"/>
      <c r="AS37" s="297"/>
      <c r="AT37" s="297"/>
      <c r="AU37" s="297"/>
      <c r="AW37" s="297"/>
      <c r="AX37" s="297"/>
      <c r="AY37" s="297"/>
      <c r="AZ37" s="297"/>
      <c r="BB37" s="298"/>
      <c r="BC37" s="298"/>
      <c r="BD37" s="298"/>
      <c r="BE37" s="298"/>
      <c r="BG37" s="298"/>
      <c r="BH37" s="298"/>
      <c r="BI37" s="298"/>
      <c r="BJ37" s="299"/>
      <c r="BL37" s="298"/>
      <c r="BM37" s="298"/>
      <c r="BN37" s="298"/>
      <c r="BO37" s="298"/>
      <c r="BQ37" s="298"/>
      <c r="BR37" s="298"/>
      <c r="BS37" s="298"/>
      <c r="BT37" s="298"/>
      <c r="BV37" s="298"/>
      <c r="BW37" s="298"/>
      <c r="BX37" s="298"/>
      <c r="BY37" s="298"/>
      <c r="CA37" s="298"/>
      <c r="CB37" s="298"/>
      <c r="CC37" s="298"/>
      <c r="CD37" s="298"/>
      <c r="CF37" s="298"/>
      <c r="CG37" s="298"/>
      <c r="CH37" s="298"/>
      <c r="CI37" s="298"/>
      <c r="CK37" s="298"/>
      <c r="CL37" s="298"/>
      <c r="CM37" s="298"/>
      <c r="CN37" s="298"/>
      <c r="CP37" s="298"/>
      <c r="CQ37" s="298"/>
      <c r="CR37" s="298"/>
      <c r="CS37" s="298"/>
      <c r="CU37" s="298"/>
      <c r="CV37" s="298"/>
      <c r="CW37" s="298"/>
      <c r="CX37" s="298"/>
      <c r="CZ37" s="298"/>
      <c r="DA37" s="298"/>
      <c r="DB37" s="298"/>
      <c r="DC37" s="298"/>
      <c r="DE37" s="298"/>
      <c r="DF37" s="298"/>
      <c r="DG37" s="298"/>
      <c r="DH37" s="298"/>
      <c r="DJ37" s="298"/>
      <c r="DK37" s="298"/>
      <c r="DL37" s="298"/>
      <c r="DM37" s="298"/>
      <c r="DO37" s="298"/>
      <c r="DP37" s="298"/>
      <c r="DQ37" s="298"/>
      <c r="DR37" s="298"/>
      <c r="DT37" s="298"/>
      <c r="DU37" s="298"/>
      <c r="DV37" s="298"/>
      <c r="DW37" s="298"/>
      <c r="DY37" s="298"/>
      <c r="DZ37" s="298"/>
      <c r="EA37" s="298"/>
      <c r="EB37" s="298"/>
      <c r="ED37" s="298"/>
      <c r="EE37" s="298"/>
      <c r="EF37" s="298"/>
      <c r="EG37" s="298"/>
      <c r="EI37" s="298"/>
      <c r="EJ37" s="298"/>
      <c r="EK37" s="298"/>
      <c r="EL37" s="298"/>
      <c r="EN37" s="298"/>
      <c r="EO37" s="298"/>
      <c r="EP37" s="298"/>
      <c r="EQ37" s="298"/>
    </row>
    <row r="38" spans="2:148">
      <c r="B38" s="230" t="s">
        <v>847</v>
      </c>
      <c r="D38" s="297"/>
      <c r="E38" s="297"/>
      <c r="F38" s="297"/>
      <c r="G38" s="297"/>
      <c r="I38" s="297"/>
      <c r="J38" s="297"/>
      <c r="K38" s="297"/>
      <c r="L38" s="297"/>
      <c r="N38" s="297"/>
      <c r="O38" s="297"/>
      <c r="P38" s="297"/>
      <c r="Q38" s="297"/>
      <c r="S38" s="297"/>
      <c r="T38" s="297"/>
      <c r="U38" s="297"/>
      <c r="V38" s="297"/>
      <c r="X38" s="297"/>
      <c r="Y38" s="297"/>
      <c r="Z38" s="297"/>
      <c r="AA38" s="297"/>
      <c r="AC38" s="297"/>
      <c r="AD38" s="297"/>
      <c r="AE38" s="297"/>
      <c r="AF38" s="297"/>
      <c r="AH38" s="297"/>
      <c r="AI38" s="297"/>
      <c r="AJ38" s="297"/>
      <c r="AK38" s="297"/>
      <c r="AM38" s="297"/>
      <c r="AN38" s="297"/>
      <c r="AO38" s="297"/>
      <c r="AP38" s="297"/>
      <c r="AQ38" s="230"/>
      <c r="AR38" s="297"/>
      <c r="AS38" s="297"/>
      <c r="AT38" s="297"/>
      <c r="AU38" s="297"/>
      <c r="AV38" s="230"/>
      <c r="AW38" s="352"/>
      <c r="AX38" s="352"/>
      <c r="AY38" s="352"/>
      <c r="AZ38" s="352"/>
      <c r="BA38" s="230"/>
      <c r="BB38" s="353"/>
      <c r="BC38" s="353"/>
      <c r="BD38" s="353">
        <f>BD39+BD40+BD41</f>
        <v>17.510999999999999</v>
      </c>
      <c r="BE38" s="353">
        <f>BE39+BE40+BE41</f>
        <v>40.024999999999999</v>
      </c>
      <c r="BF38" s="230"/>
      <c r="BG38" s="353"/>
      <c r="BH38" s="353"/>
      <c r="BI38" s="353"/>
      <c r="BJ38" s="353"/>
      <c r="BK38" s="230"/>
      <c r="BL38" s="353"/>
      <c r="BM38" s="353"/>
      <c r="BN38" s="353"/>
      <c r="BO38" s="353"/>
      <c r="BP38" s="230"/>
      <c r="BQ38" s="353"/>
      <c r="BR38" s="353"/>
      <c r="BS38" s="353"/>
      <c r="BT38" s="353"/>
      <c r="BU38" s="230"/>
      <c r="BV38" s="353"/>
      <c r="BW38" s="353">
        <f t="shared" ref="BW38:EE38" si="27">BW39+BW40+BW41</f>
        <v>61</v>
      </c>
      <c r="BX38" s="353">
        <f t="shared" si="27"/>
        <v>88</v>
      </c>
      <c r="BY38" s="353">
        <f t="shared" si="27"/>
        <v>149</v>
      </c>
      <c r="BZ38" s="230">
        <f t="shared" si="27"/>
        <v>298</v>
      </c>
      <c r="CA38" s="353">
        <f t="shared" si="27"/>
        <v>251</v>
      </c>
      <c r="CB38" s="353">
        <f t="shared" si="27"/>
        <v>286</v>
      </c>
      <c r="CC38" s="353">
        <f t="shared" si="27"/>
        <v>316</v>
      </c>
      <c r="CD38" s="353">
        <f t="shared" si="27"/>
        <v>365</v>
      </c>
      <c r="CE38" s="230">
        <f t="shared" si="27"/>
        <v>1218</v>
      </c>
      <c r="CF38" s="353">
        <f t="shared" si="27"/>
        <v>390.11291896058526</v>
      </c>
      <c r="CG38" s="353">
        <f t="shared" si="27"/>
        <v>440.54804989798112</v>
      </c>
      <c r="CH38" s="353">
        <f t="shared" si="27"/>
        <v>482.5871240179946</v>
      </c>
      <c r="CI38" s="353">
        <f t="shared" si="27"/>
        <v>535.27729158511693</v>
      </c>
      <c r="CJ38" s="230">
        <f t="shared" si="27"/>
        <v>1848.525384461678</v>
      </c>
      <c r="CK38" s="353">
        <f t="shared" si="27"/>
        <v>526.89534245971765</v>
      </c>
      <c r="CL38" s="353">
        <f t="shared" si="27"/>
        <v>594.37843431975125</v>
      </c>
      <c r="CM38" s="353">
        <f t="shared" si="27"/>
        <v>649.01904621345511</v>
      </c>
      <c r="CN38" s="353">
        <f t="shared" si="27"/>
        <v>721.25441143686714</v>
      </c>
      <c r="CO38" s="230">
        <f t="shared" si="27"/>
        <v>2491.5472344297914</v>
      </c>
      <c r="CP38" s="353">
        <f t="shared" si="27"/>
        <v>668.47591770101872</v>
      </c>
      <c r="CQ38" s="353">
        <f t="shared" si="27"/>
        <v>753.83548739940488</v>
      </c>
      <c r="CR38" s="353">
        <f t="shared" si="27"/>
        <v>822.29496036519402</v>
      </c>
      <c r="CS38" s="353">
        <f t="shared" si="27"/>
        <v>914.37289763132264</v>
      </c>
      <c r="CT38" s="230">
        <f t="shared" si="27"/>
        <v>3158.97926309694</v>
      </c>
      <c r="CU38" s="353">
        <f t="shared" si="27"/>
        <v>769.12778725493263</v>
      </c>
      <c r="CV38" s="353">
        <f t="shared" si="27"/>
        <v>868.18147847577802</v>
      </c>
      <c r="CW38" s="353">
        <f t="shared" si="27"/>
        <v>949.7795751661788</v>
      </c>
      <c r="CX38" s="353">
        <f t="shared" si="27"/>
        <v>1054.3040258828103</v>
      </c>
      <c r="CY38" s="230">
        <f t="shared" si="27"/>
        <v>3641.3928667796995</v>
      </c>
      <c r="CZ38" s="353">
        <f t="shared" si="27"/>
        <v>836.92330654046236</v>
      </c>
      <c r="DA38" s="353">
        <f t="shared" si="27"/>
        <v>946.1041023974459</v>
      </c>
      <c r="DB38" s="353">
        <f t="shared" si="27"/>
        <v>1039.5899398369354</v>
      </c>
      <c r="DC38" s="353">
        <f t="shared" si="27"/>
        <v>1150.9765240498184</v>
      </c>
      <c r="DD38" s="230">
        <f t="shared" si="27"/>
        <v>3973.593872824662</v>
      </c>
      <c r="DE38" s="353">
        <f t="shared" si="27"/>
        <v>861.78426481074814</v>
      </c>
      <c r="DF38" s="353">
        <f t="shared" si="27"/>
        <v>974.22089003031817</v>
      </c>
      <c r="DG38" s="353">
        <f t="shared" si="27"/>
        <v>1070.526101492411</v>
      </c>
      <c r="DH38" s="353">
        <f t="shared" si="27"/>
        <v>1185.2002310128144</v>
      </c>
      <c r="DI38" s="230">
        <f t="shared" si="27"/>
        <v>4091.7314873462915</v>
      </c>
      <c r="DJ38" s="353">
        <f t="shared" si="27"/>
        <v>886.94340093520793</v>
      </c>
      <c r="DK38" s="353">
        <f t="shared" si="27"/>
        <v>1002.6844964853917</v>
      </c>
      <c r="DL38" s="353">
        <f t="shared" si="27"/>
        <v>1101.8751569530148</v>
      </c>
      <c r="DM38" s="353">
        <f t="shared" si="27"/>
        <v>1219.8601067783482</v>
      </c>
      <c r="DN38" s="230">
        <f t="shared" si="27"/>
        <v>4211.3631611519622</v>
      </c>
      <c r="DO38" s="353">
        <f t="shared" si="27"/>
        <v>185.44535851789118</v>
      </c>
      <c r="DP38" s="353">
        <f t="shared" si="27"/>
        <v>215.59252646318669</v>
      </c>
      <c r="DQ38" s="353">
        <f t="shared" si="27"/>
        <v>256.33649654681022</v>
      </c>
      <c r="DR38" s="353">
        <f t="shared" si="27"/>
        <v>270.98713736039832</v>
      </c>
      <c r="DS38" s="230">
        <f t="shared" si="27"/>
        <v>928.36151888828635</v>
      </c>
      <c r="DT38" s="353">
        <f t="shared" si="27"/>
        <v>25.450019178443331</v>
      </c>
      <c r="DU38" s="353">
        <f t="shared" si="27"/>
        <v>29.254036949904538</v>
      </c>
      <c r="DV38" s="353">
        <f t="shared" si="27"/>
        <v>33.724576930008787</v>
      </c>
      <c r="DW38" s="353">
        <f t="shared" si="27"/>
        <v>36.296595460976775</v>
      </c>
      <c r="DX38" s="230">
        <f t="shared" si="27"/>
        <v>124.72522851933343</v>
      </c>
      <c r="DY38" s="353">
        <f t="shared" si="27"/>
        <v>5.0535859602410191</v>
      </c>
      <c r="DZ38" s="353">
        <f t="shared" si="27"/>
        <v>5.8081424426568615</v>
      </c>
      <c r="EA38" s="353">
        <f t="shared" si="27"/>
        <v>6.6931500769945815</v>
      </c>
      <c r="EB38" s="353">
        <f t="shared" si="27"/>
        <v>7.2052270597436365</v>
      </c>
      <c r="EC38" s="230">
        <f t="shared" si="27"/>
        <v>24.760105539636097</v>
      </c>
      <c r="ED38" s="353">
        <f t="shared" si="27"/>
        <v>1.0150053635806513</v>
      </c>
      <c r="EE38" s="353">
        <f t="shared" si="27"/>
        <v>1.1667483756347077</v>
      </c>
      <c r="EF38" s="353">
        <f t="shared" ref="EF38:ER38" si="28">EF39+EF40+EF41</f>
        <v>1.3451447915034018</v>
      </c>
      <c r="EG38" s="353">
        <f t="shared" si="28"/>
        <v>1.4476722394793031</v>
      </c>
      <c r="EH38" s="230">
        <f t="shared" si="28"/>
        <v>4.9745707701980635</v>
      </c>
      <c r="EI38" s="353">
        <f t="shared" si="28"/>
        <v>0.20671586025955152</v>
      </c>
      <c r="EJ38" s="353">
        <f t="shared" si="28"/>
        <v>0.23763150805763969</v>
      </c>
      <c r="EK38" s="353">
        <f t="shared" si="28"/>
        <v>0.27400300394084359</v>
      </c>
      <c r="EL38" s="353">
        <f t="shared" si="28"/>
        <v>0.29486404734409749</v>
      </c>
      <c r="EM38" s="230">
        <f t="shared" si="28"/>
        <v>1.0132144196021322</v>
      </c>
      <c r="EN38" s="353">
        <f t="shared" si="28"/>
        <v>4.2225980183235777E-2</v>
      </c>
      <c r="EO38" s="353">
        <f t="shared" si="28"/>
        <v>4.8547484924358397E-2</v>
      </c>
      <c r="EP38" s="353">
        <f t="shared" si="28"/>
        <v>5.5998457398742457E-2</v>
      </c>
      <c r="EQ38" s="353">
        <f t="shared" si="28"/>
        <v>6.0249067332676765E-2</v>
      </c>
      <c r="ER38" s="230">
        <f t="shared" si="28"/>
        <v>0.2070209898390134</v>
      </c>
    </row>
    <row r="39" spans="2:148">
      <c r="B39" s="699" t="s">
        <v>905</v>
      </c>
      <c r="D39" s="297"/>
      <c r="E39" s="297"/>
      <c r="F39" s="297"/>
      <c r="G39" s="297"/>
      <c r="I39" s="297"/>
      <c r="J39" s="297"/>
      <c r="K39" s="297"/>
      <c r="L39" s="297"/>
      <c r="N39" s="297"/>
      <c r="O39" s="297"/>
      <c r="P39" s="297"/>
      <c r="Q39" s="297"/>
      <c r="S39" s="297"/>
      <c r="T39" s="297"/>
      <c r="U39" s="297"/>
      <c r="V39" s="297"/>
      <c r="X39" s="297"/>
      <c r="Y39" s="297"/>
      <c r="Z39" s="297"/>
      <c r="AA39" s="297"/>
      <c r="AC39" s="297"/>
      <c r="AD39" s="297"/>
      <c r="AE39" s="297"/>
      <c r="AF39" s="297"/>
      <c r="AH39" s="297"/>
      <c r="AI39" s="297"/>
      <c r="AJ39" s="297"/>
      <c r="AK39" s="297"/>
      <c r="AM39" s="297"/>
      <c r="AN39" s="297"/>
      <c r="AO39" s="297"/>
      <c r="AP39" s="297"/>
      <c r="AR39" s="297"/>
      <c r="AS39" s="297"/>
      <c r="AT39" s="297"/>
      <c r="AU39" s="297"/>
      <c r="AW39" s="297"/>
      <c r="AX39" s="297"/>
      <c r="AY39" s="297"/>
      <c r="AZ39" s="297"/>
      <c r="BB39" s="298"/>
      <c r="BC39" s="298"/>
      <c r="BD39" s="298">
        <v>17.510999999999999</v>
      </c>
      <c r="BE39" s="298">
        <v>40.021999999999998</v>
      </c>
      <c r="BG39" s="298"/>
      <c r="BH39" s="298"/>
      <c r="BI39" s="298"/>
      <c r="BJ39" s="299"/>
      <c r="BL39" s="298"/>
      <c r="BM39" s="298"/>
      <c r="BN39" s="298"/>
      <c r="BO39" s="298"/>
      <c r="BQ39" s="298"/>
      <c r="BR39" s="298"/>
      <c r="BS39" s="298"/>
      <c r="BT39" s="299"/>
      <c r="BV39" s="299"/>
      <c r="BW39" s="299">
        <v>49</v>
      </c>
      <c r="BX39" s="299">
        <v>65</v>
      </c>
      <c r="BY39" s="299">
        <v>112</v>
      </c>
      <c r="BZ39" s="696">
        <f>SUM(BV39:BY39)</f>
        <v>226</v>
      </c>
      <c r="CA39" s="299">
        <v>209</v>
      </c>
      <c r="CB39" s="299">
        <v>232</v>
      </c>
      <c r="CC39" s="299">
        <v>241</v>
      </c>
      <c r="CD39" s="996">
        <v>276</v>
      </c>
      <c r="CE39" s="116">
        <f t="shared" ref="CE39:CE41" si="29">SUM(CA39:CD39)</f>
        <v>958</v>
      </c>
      <c r="CF39" s="298">
        <f>(CA39/CE39)*CJ39</f>
        <v>298.70458183480503</v>
      </c>
      <c r="CG39" s="298">
        <f>(CB39/CE39)*CJ39</f>
        <v>331.57637792188882</v>
      </c>
      <c r="CH39" s="298">
        <f>(CC39/CE39)*CJ39</f>
        <v>344.43925465161726</v>
      </c>
      <c r="CI39" s="298">
        <f>(CD39/CE39)*CJ39</f>
        <v>394.46155304500564</v>
      </c>
      <c r="CJ39" s="116">
        <f>'HIV Model'!AO221</f>
        <v>1369.1817674533168</v>
      </c>
      <c r="CK39" s="298">
        <f>(CF39/CJ39)*CO39</f>
        <v>411.18123149555896</v>
      </c>
      <c r="CL39" s="298">
        <f>(CG39/CJ39)*CO39</f>
        <v>456.43084070320424</v>
      </c>
      <c r="CM39" s="298">
        <f>(CH39/CJ39)*CO39</f>
        <v>474.1372095235871</v>
      </c>
      <c r="CN39" s="298">
        <f>(CI39/CJ39)*CO39</f>
        <v>542.99531049174288</v>
      </c>
      <c r="CO39" s="116">
        <f>'HIV Model'!AP221</f>
        <v>1884.7445922140932</v>
      </c>
      <c r="CP39" s="298">
        <f>(CK39/CO39)*CT39</f>
        <v>524.79569324537795</v>
      </c>
      <c r="CQ39" s="298">
        <f>(CL39/CO39)*CT39</f>
        <v>582.54832934415151</v>
      </c>
      <c r="CR39" s="298">
        <f>(CM39/CO39)*CT39</f>
        <v>605.14718694801945</v>
      </c>
      <c r="CS39" s="298">
        <f>(CN39/CO39)*CT39</f>
        <v>693.03163318528368</v>
      </c>
      <c r="CT39" s="116">
        <f>'HIV Model'!AQ221</f>
        <v>2405.5228427228326</v>
      </c>
      <c r="CU39" s="298">
        <f>(CP39/CT39)*CY39</f>
        <v>593.56202782318303</v>
      </c>
      <c r="CV39" s="298">
        <f>(CQ39/CT39)*CY39</f>
        <v>658.88225098075804</v>
      </c>
      <c r="CW39" s="298">
        <f>(CR39/CT39)*CY39</f>
        <v>684.44233830328744</v>
      </c>
      <c r="CX39" s="298">
        <f>(CS39/CT39)*CY39</f>
        <v>783.84267789090177</v>
      </c>
      <c r="CY39" s="116">
        <f>'HIV Model'!AR221</f>
        <v>2720.7292949981302</v>
      </c>
      <c r="CZ39" s="298">
        <f>(CU39/CY39)*DD39</f>
        <v>628.87813286723667</v>
      </c>
      <c r="DA39" s="298">
        <f>(CV39/CY39)*DD39</f>
        <v>698.0848173454491</v>
      </c>
      <c r="DB39" s="298">
        <f>(CW39/CY39)*DD39</f>
        <v>725.16569388040182</v>
      </c>
      <c r="DC39" s="298">
        <f>(CX39/CY39)*DD39</f>
        <v>830.48021373855147</v>
      </c>
      <c r="DD39" s="116">
        <f>'HIV Model'!AS221</f>
        <v>2882.6088578316389</v>
      </c>
      <c r="DE39" s="298">
        <f>(CZ39/DD39)*DI39</f>
        <v>647.40566066465567</v>
      </c>
      <c r="DF39" s="298">
        <f>(DA39/DD39)*DI39</f>
        <v>718.65125968516782</v>
      </c>
      <c r="DG39" s="298">
        <f>(DB39/DD39)*DI39</f>
        <v>746.52997234536826</v>
      </c>
      <c r="DH39" s="298">
        <f>(DC39/DD39)*DI39</f>
        <v>854.9471882461479</v>
      </c>
      <c r="DI39" s="116">
        <f>'HIV Model'!AT221</f>
        <v>2967.5340809413397</v>
      </c>
      <c r="DJ39" s="298">
        <f>(DE39/DI39)*DN39</f>
        <v>666.03857263588441</v>
      </c>
      <c r="DK39" s="298">
        <f>(DF39/DI39)*DN39</f>
        <v>739.33468350012015</v>
      </c>
      <c r="DL39" s="298">
        <f>(DG39/DI39)*DN39</f>
        <v>768.01577036003869</v>
      </c>
      <c r="DM39" s="298">
        <f>(DH39/DI39)*DN39</f>
        <v>879.55333037083255</v>
      </c>
      <c r="DN39" s="116">
        <f>'HIV Model'!AU221</f>
        <v>3052.9423568668758</v>
      </c>
      <c r="DO39" s="298">
        <f>(DJ39/DN39)*DS39</f>
        <v>66.808833522723774</v>
      </c>
      <c r="DP39" s="298">
        <f>(DK39/DN39)*DS39</f>
        <v>74.161001805128748</v>
      </c>
      <c r="DQ39" s="298">
        <f>(DL39/DN39)*DS39</f>
        <v>77.037937219982879</v>
      </c>
      <c r="DR39" s="298">
        <f>(DM39/DN39)*DS39</f>
        <v>88.226019388860067</v>
      </c>
      <c r="DS39" s="116">
        <f>'HIV Model'!AV221</f>
        <v>306.23379193669547</v>
      </c>
      <c r="DT39" s="298">
        <f>(DO39/DS39)*DX39</f>
        <v>13.228636152839819</v>
      </c>
      <c r="DU39" s="298">
        <f>(DP39/DS39)*DX39</f>
        <v>14.684419078750414</v>
      </c>
      <c r="DV39" s="298">
        <f>(DQ39/DS39)*DX39</f>
        <v>15.254073267150215</v>
      </c>
      <c r="DW39" s="298">
        <f>(DR39/DS39)*DX39</f>
        <v>17.469395110927216</v>
      </c>
      <c r="DX39" s="116">
        <f>'HIV Model'!AW221</f>
        <v>60.636523609667663</v>
      </c>
      <c r="DY39" s="298">
        <f>(DT39/DX39)*EC39</f>
        <v>2.6365875070511362</v>
      </c>
      <c r="DZ39" s="298">
        <f>(DU39/DX39)*EC39</f>
        <v>2.9267382853390584</v>
      </c>
      <c r="EA39" s="298">
        <f>(DV39/DX39)*EC39</f>
        <v>3.0402755464082465</v>
      </c>
      <c r="EB39" s="298">
        <f>(DW39/DX39)*EC39</f>
        <v>3.4818093394550869</v>
      </c>
      <c r="EC39" s="116">
        <f>'HIV Model'!AX221</f>
        <v>12.085410678253528</v>
      </c>
      <c r="ED39" s="298">
        <f>(DY39/EC39)*EH39</f>
        <v>0.52722273320775104</v>
      </c>
      <c r="EE39" s="298">
        <f>(DZ39/EC39)*EH39</f>
        <v>0.58524245982869927</v>
      </c>
      <c r="EF39" s="298">
        <f>(EA39/EC39)*EH39</f>
        <v>0.60794583111515754</v>
      </c>
      <c r="EG39" s="298">
        <f>(EB39/EC39)*EH39</f>
        <v>0.69623671945138366</v>
      </c>
      <c r="EH39" s="116">
        <f>'HIV Model'!AY221</f>
        <v>2.4166477436029914</v>
      </c>
      <c r="EI39" s="298">
        <f>(ED39/EH39)*EM39</f>
        <v>0.10723176714663007</v>
      </c>
      <c r="EJ39" s="298">
        <f>(EE39/EH39)*EM39</f>
        <v>0.11903239223932133</v>
      </c>
      <c r="EK39" s="298">
        <f>(EF39/EH39)*EM39</f>
        <v>0.12365002814515709</v>
      </c>
      <c r="EL39" s="298">
        <f>(EG39/EH39)*EM39</f>
        <v>0.14160750111229609</v>
      </c>
      <c r="EM39" s="116">
        <f>'HIV Model'!AZ221</f>
        <v>0.49152168864340456</v>
      </c>
      <c r="EN39" s="298">
        <f>(EI39/EM39)*ER39</f>
        <v>2.1827002785406328E-2</v>
      </c>
      <c r="EO39" s="298">
        <f>(EJ39/EM39)*ER39</f>
        <v>2.4229017446001266E-2</v>
      </c>
      <c r="EP39" s="298">
        <f>(EK39/EM39)*ER39</f>
        <v>2.5168936226234076E-2</v>
      </c>
      <c r="EQ39" s="298">
        <f>(EL39/EM39)*ER39</f>
        <v>2.8824175927139439E-2</v>
      </c>
      <c r="ER39" s="116">
        <f>'HIV Model'!BA221</f>
        <v>0.10004913238478111</v>
      </c>
    </row>
    <row r="40" spans="2:148">
      <c r="B40" s="699" t="s">
        <v>906</v>
      </c>
      <c r="D40" s="297"/>
      <c r="E40" s="297"/>
      <c r="F40" s="297"/>
      <c r="G40" s="297"/>
      <c r="I40" s="297"/>
      <c r="J40" s="297"/>
      <c r="K40" s="297"/>
      <c r="L40" s="297"/>
      <c r="N40" s="297"/>
      <c r="O40" s="297"/>
      <c r="P40" s="297"/>
      <c r="Q40" s="297"/>
      <c r="S40" s="297"/>
      <c r="T40" s="297"/>
      <c r="U40" s="297"/>
      <c r="V40" s="297"/>
      <c r="X40" s="297"/>
      <c r="Y40" s="297"/>
      <c r="Z40" s="297"/>
      <c r="AA40" s="297"/>
      <c r="AC40" s="297"/>
      <c r="AD40" s="297"/>
      <c r="AE40" s="297"/>
      <c r="AF40" s="297"/>
      <c r="AH40" s="297"/>
      <c r="AI40" s="297"/>
      <c r="AJ40" s="297"/>
      <c r="AK40" s="297"/>
      <c r="AM40" s="297"/>
      <c r="AN40" s="297"/>
      <c r="AO40" s="297"/>
      <c r="AP40" s="297"/>
      <c r="AR40" s="297"/>
      <c r="AS40" s="297"/>
      <c r="AT40" s="297"/>
      <c r="AU40" s="297"/>
      <c r="AW40" s="297"/>
      <c r="AX40" s="297"/>
      <c r="AY40" s="297"/>
      <c r="AZ40" s="297"/>
      <c r="BB40" s="298"/>
      <c r="BC40" s="298"/>
      <c r="BD40" s="298"/>
      <c r="BE40" s="298"/>
      <c r="BG40" s="298"/>
      <c r="BH40" s="298"/>
      <c r="BI40" s="298"/>
      <c r="BJ40" s="299"/>
      <c r="BL40" s="298"/>
      <c r="BM40" s="298"/>
      <c r="BN40" s="298"/>
      <c r="BO40" s="298"/>
      <c r="BQ40" s="298"/>
      <c r="BR40" s="298"/>
      <c r="BS40" s="298"/>
      <c r="BT40" s="299"/>
      <c r="BV40" s="299"/>
      <c r="BW40" s="299">
        <v>12</v>
      </c>
      <c r="BX40" s="299">
        <v>23</v>
      </c>
      <c r="BY40" s="299">
        <v>34</v>
      </c>
      <c r="BZ40" s="696">
        <f>SUM(BV40:BY40)</f>
        <v>69</v>
      </c>
      <c r="CA40" s="299">
        <v>37</v>
      </c>
      <c r="CB40" s="299">
        <v>47</v>
      </c>
      <c r="CC40" s="299">
        <v>65</v>
      </c>
      <c r="CD40" s="996">
        <v>77</v>
      </c>
      <c r="CE40" s="116">
        <f t="shared" si="29"/>
        <v>226</v>
      </c>
      <c r="CF40" s="298">
        <v>85</v>
      </c>
      <c r="CG40" s="298">
        <v>100</v>
      </c>
      <c r="CH40" s="298">
        <f>(CC40/CE40)*CJ40</f>
        <v>125.33119511481685</v>
      </c>
      <c r="CI40" s="298">
        <f>CJ40-CF40-CG40-CH40</f>
        <v>125.43572943823865</v>
      </c>
      <c r="CJ40" s="116">
        <f>'HIV Model'!AO421</f>
        <v>435.7669245530555</v>
      </c>
      <c r="CK40" s="298">
        <f>(CF40/CJ40)*CO40</f>
        <v>107.60177617517888</v>
      </c>
      <c r="CL40" s="298">
        <f>(CG40/CJ40)*CO40</f>
        <v>126.59032491197516</v>
      </c>
      <c r="CM40" s="298">
        <f>(CH40/CJ40)*CO40</f>
        <v>158.65716711190817</v>
      </c>
      <c r="CN40" s="298">
        <f>(CI40/CJ40)*CO40</f>
        <v>158.78949745157237</v>
      </c>
      <c r="CO40" s="116">
        <f>'HIV Model'!AP421</f>
        <v>551.63876565063458</v>
      </c>
      <c r="CP40" s="298">
        <f>(CK40/CO40)*CT40</f>
        <v>133.60727765919543</v>
      </c>
      <c r="CQ40" s="298">
        <f>(CL40/CO40)*CT40</f>
        <v>157.18503254022991</v>
      </c>
      <c r="CR40" s="298">
        <f>(CM40/CO40)*CT40</f>
        <v>197.00187982428392</v>
      </c>
      <c r="CS40" s="298">
        <f>(CN40/CO40)*CT40</f>
        <v>197.1661921345702</v>
      </c>
      <c r="CT40" s="116">
        <f>'HIV Model'!AQ421</f>
        <v>684.96038215827946</v>
      </c>
      <c r="CU40" s="298">
        <f>(CP40/CT40)*CY40</f>
        <v>163.25742291060567</v>
      </c>
      <c r="CV40" s="298">
        <f>(CQ40/CT40)*CY40</f>
        <v>192.06755636541843</v>
      </c>
      <c r="CW40" s="298">
        <f>(CR40/CT40)*CY40</f>
        <v>240.72056382060342</v>
      </c>
      <c r="CX40" s="298">
        <f>(CS40/CT40)*CY40</f>
        <v>240.92134034116282</v>
      </c>
      <c r="CY40" s="116">
        <f>'HIV Model'!AR421</f>
        <v>836.96688343779033</v>
      </c>
      <c r="CZ40" s="298">
        <f>(CU40/CY40)*DD40</f>
        <v>193.45981251021735</v>
      </c>
      <c r="DA40" s="298">
        <f>(CV40/CY40)*DD40</f>
        <v>227.59977942378509</v>
      </c>
      <c r="DB40" s="298">
        <f>(CW40/CY40)*DD40</f>
        <v>285.2535236305169</v>
      </c>
      <c r="DC40" s="298">
        <f>(CX40/CY40)*DD40</f>
        <v>285.49144352004708</v>
      </c>
      <c r="DD40" s="116">
        <f>'HIV Model'!AS421</f>
        <v>991.80455908456645</v>
      </c>
      <c r="DE40" s="298">
        <f>(CZ40/DD40)*DI40</f>
        <v>199.34922705511718</v>
      </c>
      <c r="DF40" s="298">
        <f>(DA40/DD40)*DI40</f>
        <v>234.52850241778492</v>
      </c>
      <c r="DG40" s="298">
        <f>(DB40/DD40)*DI40</f>
        <v>293.93737496509198</v>
      </c>
      <c r="DH40" s="298">
        <f>(DC40/DD40)*DI40</f>
        <v>294.18253774832573</v>
      </c>
      <c r="DI40" s="116">
        <f>'HIV Model'!AT421</f>
        <v>1021.9976421863198</v>
      </c>
      <c r="DJ40" s="298">
        <f>(DE40/DI40)*DN40</f>
        <v>205.41791915112719</v>
      </c>
      <c r="DK40" s="298">
        <f>(DF40/DI40)*DN40</f>
        <v>241.66814017779669</v>
      </c>
      <c r="DL40" s="298">
        <f>(DG40/DI40)*DN40</f>
        <v>302.88556829658347</v>
      </c>
      <c r="DM40" s="298">
        <f>(DH40/DI40)*DN40</f>
        <v>303.13819445184441</v>
      </c>
      <c r="DN40" s="116">
        <f>'HIV Model'!AU421</f>
        <v>1053.1098220773517</v>
      </c>
      <c r="DO40" s="298">
        <f>(DJ40/DN40)*DS40</f>
        <v>110.31930939421031</v>
      </c>
      <c r="DP40" s="298">
        <f>(DK40/DN40)*DS40</f>
        <v>129.78742281671799</v>
      </c>
      <c r="DQ40" s="298">
        <f>(DL40/DN40)*DS40</f>
        <v>162.66412812491316</v>
      </c>
      <c r="DR40" s="298">
        <f>(DM40/DN40)*DS40</f>
        <v>162.79980052924122</v>
      </c>
      <c r="DS40" s="116">
        <f>'HIV Model'!AV421</f>
        <v>565.57066086508269</v>
      </c>
      <c r="DT40" s="298">
        <f>(DO40/DS40)*DX40</f>
        <v>11.364582157827233</v>
      </c>
      <c r="DU40" s="298">
        <f>(DP40/DS40)*DX40</f>
        <v>13.37009665626733</v>
      </c>
      <c r="DV40" s="298">
        <f>(DQ40/DS40)*DX40</f>
        <v>16.756901927306014</v>
      </c>
      <c r="DW40" s="298">
        <f>(DR40/DS40)*DX40</f>
        <v>16.770878267386486</v>
      </c>
      <c r="DX40" s="116">
        <f>'HIV Model'!AW421</f>
        <v>58.262459008787062</v>
      </c>
      <c r="DY40" s="298">
        <f>(DT40/DX40)*EC40</f>
        <v>2.2475506609254099</v>
      </c>
      <c r="DZ40" s="298">
        <f>(DU40/DX40)*EC40</f>
        <v>2.6441772481475407</v>
      </c>
      <c r="EA40" s="298">
        <f>(DV40/DX40)*EC40</f>
        <v>3.3139789460573894</v>
      </c>
      <c r="EB40" s="298">
        <f>(DW40/DX40)*EC40</f>
        <v>3.3167430188538143</v>
      </c>
      <c r="EC40" s="116">
        <f>'HIV Model'!AX421</f>
        <v>11.522449873984154</v>
      </c>
      <c r="ED40" s="298">
        <f>(DY40/EC40)*EH40</f>
        <v>0.45358579846654912</v>
      </c>
      <c r="EE40" s="298">
        <f>(DZ40/EC40)*EH40</f>
        <v>0.53363035113711654</v>
      </c>
      <c r="EF40" s="298">
        <f>(EA40/EC40)*EH40</f>
        <v>0.66880529657554189</v>
      </c>
      <c r="EG40" s="298">
        <f>(EB40/EC40)*EH40</f>
        <v>0.66936312345267646</v>
      </c>
      <c r="EH40" s="116">
        <f>'HIV Model'!AY421</f>
        <v>2.325384569631884</v>
      </c>
      <c r="EI40" s="298">
        <f>(ED40/EH40)*EM40</f>
        <v>9.2509591362136309E-2</v>
      </c>
      <c r="EJ40" s="298">
        <f>(EE40/EH40)*EM40</f>
        <v>0.10883481336721919</v>
      </c>
      <c r="EK40" s="298">
        <f>(EF40/EH40)*EM40</f>
        <v>0.13640397229411627</v>
      </c>
      <c r="EL40" s="298">
        <f>(EG40/EH40)*EM40</f>
        <v>0.13651774202991707</v>
      </c>
      <c r="EM40" s="116">
        <f>'HIV Model'!AZ421</f>
        <v>0.47426611905338883</v>
      </c>
      <c r="EN40" s="298">
        <f>(EI40/EM40)*ER40</f>
        <v>1.8968872351649874E-2</v>
      </c>
      <c r="EO40" s="298">
        <f>(EJ40/EM40)*ER40</f>
        <v>2.231632041370573E-2</v>
      </c>
      <c r="EP40" s="298">
        <f>(EK40/EM40)*ER40</f>
        <v>2.7969311080149235E-2</v>
      </c>
      <c r="EQ40" s="298">
        <f>(EL40/EM40)*ER40</f>
        <v>2.7992639294706346E-2</v>
      </c>
      <c r="ER40" s="116">
        <f>'HIV Model'!BA421</f>
        <v>9.7247143140211184E-2</v>
      </c>
    </row>
    <row r="41" spans="2:148">
      <c r="B41" s="231" t="s">
        <v>81</v>
      </c>
      <c r="D41" s="297"/>
      <c r="E41" s="297"/>
      <c r="F41" s="297"/>
      <c r="G41" s="297"/>
      <c r="I41" s="297"/>
      <c r="J41" s="297"/>
      <c r="K41" s="297"/>
      <c r="L41" s="297"/>
      <c r="N41" s="297"/>
      <c r="O41" s="297"/>
      <c r="P41" s="297"/>
      <c r="Q41" s="297"/>
      <c r="S41" s="297"/>
      <c r="T41" s="297"/>
      <c r="U41" s="297"/>
      <c r="V41" s="297"/>
      <c r="X41" s="297"/>
      <c r="Y41" s="297"/>
      <c r="Z41" s="297"/>
      <c r="AA41" s="297"/>
      <c r="AC41" s="297"/>
      <c r="AD41" s="297"/>
      <c r="AE41" s="297"/>
      <c r="AF41" s="297"/>
      <c r="AH41" s="297"/>
      <c r="AI41" s="297"/>
      <c r="AJ41" s="297"/>
      <c r="AK41" s="297"/>
      <c r="AM41" s="297"/>
      <c r="AN41" s="297"/>
      <c r="AO41" s="297"/>
      <c r="AP41" s="297"/>
      <c r="AR41" s="297"/>
      <c r="AS41" s="297"/>
      <c r="AT41" s="297"/>
      <c r="AU41" s="297"/>
      <c r="AW41" s="297"/>
      <c r="AX41" s="297"/>
      <c r="AY41" s="297"/>
      <c r="AZ41" s="297"/>
      <c r="BB41" s="298"/>
      <c r="BC41" s="298"/>
      <c r="BD41" s="298"/>
      <c r="BE41" s="298">
        <v>3.0000000000000001E-3</v>
      </c>
      <c r="BG41" s="298"/>
      <c r="BH41" s="298"/>
      <c r="BI41" s="298"/>
      <c r="BJ41" s="299"/>
      <c r="BL41" s="298"/>
      <c r="BM41" s="609"/>
      <c r="BN41" s="298"/>
      <c r="BO41" s="298"/>
      <c r="BQ41" s="298"/>
      <c r="BR41" s="298"/>
      <c r="BS41" s="298"/>
      <c r="BT41" s="299"/>
      <c r="BV41" s="299"/>
      <c r="BW41" s="299">
        <v>0</v>
      </c>
      <c r="BX41" s="299">
        <v>0</v>
      </c>
      <c r="BY41" s="299">
        <v>3</v>
      </c>
      <c r="BZ41" s="696">
        <f>SUM(BV41:BY41)</f>
        <v>3</v>
      </c>
      <c r="CA41" s="299">
        <v>5</v>
      </c>
      <c r="CB41" s="299">
        <v>7</v>
      </c>
      <c r="CC41" s="299">
        <v>10</v>
      </c>
      <c r="CD41" s="996">
        <v>12</v>
      </c>
      <c r="CE41" s="116">
        <f t="shared" si="29"/>
        <v>34</v>
      </c>
      <c r="CF41" s="298">
        <f>(CA41/CE41)*CJ41</f>
        <v>6.4083371257802284</v>
      </c>
      <c r="CG41" s="298">
        <f>(CB41/CE41)*CJ41</f>
        <v>8.9716719760923205</v>
      </c>
      <c r="CH41" s="298">
        <f>(CC41/CE41)*CJ41</f>
        <v>12.816674251560457</v>
      </c>
      <c r="CI41" s="298">
        <f>(CD41/CE41)*CJ41</f>
        <v>15.380009101872549</v>
      </c>
      <c r="CJ41" s="116">
        <f>'HIV Model'!AO454</f>
        <v>43.576692455305555</v>
      </c>
      <c r="CK41" s="298">
        <f>(CF41/CJ41)*CO41</f>
        <v>8.1123347889799202</v>
      </c>
      <c r="CL41" s="298">
        <f>(CG41/CJ41)*CO41</f>
        <v>11.35726870457189</v>
      </c>
      <c r="CM41" s="298">
        <f>(CH41/CJ41)*CO41</f>
        <v>16.22466957795984</v>
      </c>
      <c r="CN41" s="298">
        <f>(CI41/CJ41)*CO41</f>
        <v>19.469603493551812</v>
      </c>
      <c r="CO41" s="116">
        <f>'HIV Model'!AP454</f>
        <v>55.163876565063461</v>
      </c>
      <c r="CP41" s="298">
        <f>(CK41/CO41)*CT41</f>
        <v>10.072946796445285</v>
      </c>
      <c r="CQ41" s="298">
        <f>(CL41/CO41)*CT41</f>
        <v>14.102125515023403</v>
      </c>
      <c r="CR41" s="298">
        <f>(CM41/CO41)*CT41</f>
        <v>20.14589359289057</v>
      </c>
      <c r="CS41" s="298">
        <f>(CN41/CO41)*CT41</f>
        <v>24.175072311468689</v>
      </c>
      <c r="CT41" s="116">
        <f>'HIV Model'!AQ454</f>
        <v>68.496038215827951</v>
      </c>
      <c r="CU41" s="298">
        <f>(CP41/CT41)*CY41</f>
        <v>12.308336521143975</v>
      </c>
      <c r="CV41" s="298">
        <f>(CQ41/CT41)*CY41</f>
        <v>17.231671129601569</v>
      </c>
      <c r="CW41" s="298">
        <f>(CR41/CT41)*CY41</f>
        <v>24.61667304228795</v>
      </c>
      <c r="CX41" s="298">
        <f>(CS41/CT41)*CY41</f>
        <v>29.540007650745547</v>
      </c>
      <c r="CY41" s="116">
        <f>'HIV Model'!AR454</f>
        <v>83.696688343779044</v>
      </c>
      <c r="CZ41" s="298">
        <f>(CU41/CY41)*DD41</f>
        <v>14.585361163008329</v>
      </c>
      <c r="DA41" s="298">
        <f>(CV41/CY41)*DD41</f>
        <v>20.419505628211667</v>
      </c>
      <c r="DB41" s="298">
        <f>(CW41/CY41)*DD41</f>
        <v>29.170722326016659</v>
      </c>
      <c r="DC41" s="298">
        <f>(CX41/CY41)*DD41</f>
        <v>35.004866791219996</v>
      </c>
      <c r="DD41" s="116">
        <f>'HIV Model'!AS454</f>
        <v>99.180455908456651</v>
      </c>
      <c r="DE41" s="298">
        <f>(CZ41/DD41)*DI41</f>
        <v>15.02937709097529</v>
      </c>
      <c r="DF41" s="298">
        <f>(DA41/DD41)*DI41</f>
        <v>21.041127927365412</v>
      </c>
      <c r="DG41" s="298">
        <f>(DB41/DD41)*DI41</f>
        <v>30.058754181950579</v>
      </c>
      <c r="DH41" s="298">
        <f>(DC41/DD41)*DI41</f>
        <v>36.070505018340704</v>
      </c>
      <c r="DI41" s="116">
        <f>'HIV Model'!AT454</f>
        <v>102.19976421863198</v>
      </c>
      <c r="DJ41" s="298">
        <f>(DE41/DI41)*DN41</f>
        <v>15.486909148196348</v>
      </c>
      <c r="DK41" s="298">
        <f>(DF41/DI41)*DN41</f>
        <v>21.681672807474893</v>
      </c>
      <c r="DL41" s="298">
        <f>(DG41/DI41)*DN41</f>
        <v>30.973818296392697</v>
      </c>
      <c r="DM41" s="298">
        <f>(DH41/DI41)*DN41</f>
        <v>37.168581955671243</v>
      </c>
      <c r="DN41" s="116">
        <f>'HIV Model'!AU454</f>
        <v>105.31098220773518</v>
      </c>
      <c r="DO41" s="298">
        <f>(DJ41/DN41)*DS41</f>
        <v>8.3172156009570983</v>
      </c>
      <c r="DP41" s="298">
        <f>(DK41/DN41)*DS41</f>
        <v>11.644101841339939</v>
      </c>
      <c r="DQ41" s="298">
        <f>(DL41/DN41)*DS41</f>
        <v>16.634431201914197</v>
      </c>
      <c r="DR41" s="298">
        <f>(DM41/DN41)*DS41</f>
        <v>19.961317442297037</v>
      </c>
      <c r="DS41" s="116">
        <f>'HIV Model'!AV454</f>
        <v>56.557066086508271</v>
      </c>
      <c r="DT41" s="298">
        <f>(DO41/DS41)*DX41</f>
        <v>0.85680086777628039</v>
      </c>
      <c r="DU41" s="298">
        <f>(DP41/DS41)*DX41</f>
        <v>1.1995212148867926</v>
      </c>
      <c r="DV41" s="298">
        <f>(DQ41/DS41)*DX41</f>
        <v>1.7136017355525608</v>
      </c>
      <c r="DW41" s="298">
        <f>(DR41/DS41)*DX41</f>
        <v>2.056322082663073</v>
      </c>
      <c r="DX41" s="696">
        <f>'HIV Model'!AW454</f>
        <v>5.8262459008787069</v>
      </c>
      <c r="DY41" s="298">
        <f>(DT41/DX41)*EC41</f>
        <v>0.16944779226447287</v>
      </c>
      <c r="DZ41" s="298">
        <f>(DU41/DX41)*EC41</f>
        <v>0.23722690917026204</v>
      </c>
      <c r="EA41" s="298">
        <f>(DV41/DX41)*EC41</f>
        <v>0.33889558452894575</v>
      </c>
      <c r="EB41" s="298">
        <f>(DW41/DX41)*EC41</f>
        <v>0.40667470143473494</v>
      </c>
      <c r="EC41" s="116">
        <f>'HIV Model'!AX454</f>
        <v>1.1522449873984155</v>
      </c>
      <c r="ED41" s="298">
        <f>(DY41/EC41)*EH41</f>
        <v>3.4196831906351241E-2</v>
      </c>
      <c r="EE41" s="298">
        <f>(DZ41/EC41)*EH41</f>
        <v>4.7875564668891736E-2</v>
      </c>
      <c r="EF41" s="298">
        <f>(EA41/EC41)*EH41</f>
        <v>6.8393663812702482E-2</v>
      </c>
      <c r="EG41" s="298">
        <f>(EB41/EC41)*EH41</f>
        <v>8.2072396575242984E-2</v>
      </c>
      <c r="EH41" s="116">
        <f>'HIV Model'!AY454</f>
        <v>0.23253845696318842</v>
      </c>
      <c r="EI41" s="298">
        <f>(ED41/EH41)*EM41</f>
        <v>6.9745017507851304E-3</v>
      </c>
      <c r="EJ41" s="298">
        <f>(EE41/EH41)*EM41</f>
        <v>9.7643024510991831E-3</v>
      </c>
      <c r="EK41" s="298">
        <f>(EF41/EH41)*EM41</f>
        <v>1.3949003501570261E-2</v>
      </c>
      <c r="EL41" s="298">
        <f>(EG41/EH41)*EM41</f>
        <v>1.6738804201884314E-2</v>
      </c>
      <c r="EM41" s="116">
        <f>'HIV Model'!AZ454</f>
        <v>4.7426611905338888E-2</v>
      </c>
      <c r="EN41" s="298">
        <f>(EI41/EM41)*ER41</f>
        <v>1.4301050461795763E-3</v>
      </c>
      <c r="EO41" s="298">
        <f>(EJ41/EM41)*ER41</f>
        <v>2.0021470646514072E-3</v>
      </c>
      <c r="EP41" s="298">
        <f>(EK41/EM41)*ER41</f>
        <v>2.8602100923591526E-3</v>
      </c>
      <c r="EQ41" s="298">
        <f>(EL41/EM41)*ER41</f>
        <v>3.4322521108309835E-3</v>
      </c>
      <c r="ER41" s="116">
        <f>'HIV Model'!BA454</f>
        <v>9.7247143140211188E-3</v>
      </c>
    </row>
    <row r="42" spans="2:148">
      <c r="B42" s="231"/>
      <c r="D42" s="297"/>
      <c r="E42" s="297"/>
      <c r="F42" s="297"/>
      <c r="G42" s="297"/>
      <c r="I42" s="297"/>
      <c r="J42" s="297"/>
      <c r="K42" s="297"/>
      <c r="L42" s="297"/>
      <c r="N42" s="297"/>
      <c r="O42" s="297"/>
      <c r="P42" s="297"/>
      <c r="Q42" s="297"/>
      <c r="S42" s="297"/>
      <c r="T42" s="297"/>
      <c r="U42" s="297"/>
      <c r="V42" s="297"/>
      <c r="X42" s="297"/>
      <c r="Y42" s="297"/>
      <c r="Z42" s="297"/>
      <c r="AA42" s="297"/>
      <c r="AC42" s="297"/>
      <c r="AD42" s="297"/>
      <c r="AE42" s="297"/>
      <c r="AF42" s="297"/>
      <c r="AH42" s="297"/>
      <c r="AI42" s="297"/>
      <c r="AJ42" s="297"/>
      <c r="AK42" s="297"/>
      <c r="AM42" s="297"/>
      <c r="AN42" s="297"/>
      <c r="AO42" s="297"/>
      <c r="AP42" s="297"/>
      <c r="AR42" s="297"/>
      <c r="AS42" s="297"/>
      <c r="AT42" s="297"/>
      <c r="AU42" s="297"/>
      <c r="AW42" s="297"/>
      <c r="AX42" s="297"/>
      <c r="AY42" s="297"/>
      <c r="AZ42" s="297"/>
      <c r="BB42" s="298"/>
      <c r="BC42" s="298"/>
      <c r="BD42" s="298"/>
      <c r="BE42" s="298"/>
      <c r="BG42" s="298"/>
      <c r="BH42" s="298"/>
      <c r="BI42" s="298"/>
      <c r="BJ42" s="299"/>
      <c r="BL42" s="298"/>
      <c r="BM42" s="298"/>
      <c r="BN42" s="298"/>
      <c r="BO42" s="298"/>
      <c r="BQ42" s="298"/>
      <c r="BR42" s="298"/>
      <c r="BS42" s="298"/>
      <c r="BT42" s="298"/>
      <c r="BV42" s="298"/>
      <c r="BW42" s="298"/>
      <c r="BX42" s="298"/>
      <c r="BY42" s="298"/>
      <c r="CA42" s="298"/>
      <c r="CB42" s="298"/>
      <c r="CC42" s="298"/>
      <c r="CD42" s="298"/>
      <c r="CF42" s="298"/>
      <c r="CG42" s="298"/>
      <c r="CH42" s="298"/>
      <c r="CI42" s="298"/>
      <c r="CK42" s="298"/>
      <c r="CL42" s="298"/>
      <c r="CM42" s="298"/>
      <c r="CN42" s="298"/>
      <c r="CP42" s="298"/>
      <c r="CQ42" s="298"/>
      <c r="CR42" s="298"/>
      <c r="CS42" s="298"/>
      <c r="CU42" s="298"/>
      <c r="CV42" s="298"/>
      <c r="CW42" s="298"/>
      <c r="CX42" s="298"/>
      <c r="CZ42" s="298"/>
      <c r="DA42" s="298"/>
      <c r="DB42" s="298"/>
      <c r="DC42" s="298"/>
      <c r="DE42" s="298"/>
      <c r="DF42" s="298"/>
      <c r="DG42" s="298"/>
      <c r="DH42" s="298"/>
      <c r="DJ42" s="298"/>
      <c r="DK42" s="298"/>
      <c r="DL42" s="298"/>
      <c r="DM42" s="298"/>
      <c r="DO42" s="298"/>
      <c r="DP42" s="298"/>
      <c r="DQ42" s="298"/>
      <c r="DR42" s="298"/>
      <c r="DT42" s="298"/>
      <c r="DU42" s="298"/>
      <c r="DV42" s="298"/>
      <c r="DW42" s="298"/>
      <c r="DY42" s="298"/>
      <c r="DZ42" s="298"/>
      <c r="EA42" s="298"/>
      <c r="EB42" s="298"/>
      <c r="ED42" s="298"/>
      <c r="EE42" s="298"/>
      <c r="EF42" s="298"/>
      <c r="EG42" s="298"/>
      <c r="EI42" s="298"/>
      <c r="EJ42" s="298"/>
      <c r="EK42" s="298"/>
      <c r="EL42" s="298"/>
      <c r="EN42" s="298"/>
      <c r="EO42" s="298"/>
      <c r="EP42" s="298"/>
      <c r="EQ42" s="298"/>
    </row>
    <row r="43" spans="2:148">
      <c r="B43" s="230" t="s">
        <v>863</v>
      </c>
      <c r="D43" s="297"/>
      <c r="E43" s="297"/>
      <c r="F43" s="297"/>
      <c r="G43" s="297"/>
      <c r="I43" s="297"/>
      <c r="J43" s="297"/>
      <c r="K43" s="297"/>
      <c r="L43" s="297"/>
      <c r="N43" s="297"/>
      <c r="O43" s="297"/>
      <c r="P43" s="297"/>
      <c r="Q43" s="297"/>
      <c r="S43" s="297"/>
      <c r="T43" s="297"/>
      <c r="U43" s="297"/>
      <c r="V43" s="297"/>
      <c r="X43" s="297"/>
      <c r="Y43" s="297"/>
      <c r="Z43" s="297"/>
      <c r="AA43" s="297"/>
      <c r="AC43" s="297"/>
      <c r="AD43" s="297"/>
      <c r="AE43" s="297"/>
      <c r="AF43" s="297"/>
      <c r="AH43" s="297"/>
      <c r="AI43" s="297"/>
      <c r="AJ43" s="297"/>
      <c r="AK43" s="297"/>
      <c r="AM43" s="297"/>
      <c r="AN43" s="297"/>
      <c r="AO43" s="297"/>
      <c r="AP43" s="297"/>
      <c r="AQ43" s="230"/>
      <c r="AR43" s="297"/>
      <c r="AS43" s="297"/>
      <c r="AT43" s="297"/>
      <c r="AU43" s="297"/>
      <c r="AV43" s="230"/>
      <c r="AW43" s="352"/>
      <c r="AX43" s="352"/>
      <c r="AY43" s="352"/>
      <c r="AZ43" s="352"/>
      <c r="BA43" s="230"/>
      <c r="BB43" s="353"/>
      <c r="BC43" s="353"/>
      <c r="BD43" s="353">
        <f>BD44+BD45+BD46</f>
        <v>17.510999999999999</v>
      </c>
      <c r="BE43" s="353">
        <f>BE44+BE45+BE46</f>
        <v>40.024999999999999</v>
      </c>
      <c r="BF43" s="230"/>
      <c r="BG43" s="353"/>
      <c r="BH43" s="353"/>
      <c r="BI43" s="353"/>
      <c r="BJ43" s="353"/>
      <c r="BK43" s="230"/>
      <c r="BL43" s="353"/>
      <c r="BM43" s="353"/>
      <c r="BN43" s="353"/>
      <c r="BO43" s="353"/>
      <c r="BP43" s="230"/>
      <c r="BQ43" s="353"/>
      <c r="BR43" s="353"/>
      <c r="BS43" s="353"/>
      <c r="BT43" s="353"/>
      <c r="BU43" s="230"/>
      <c r="BV43" s="353"/>
      <c r="BW43" s="353">
        <f t="shared" ref="BW43:EH43" si="30">BW44+BW45+BW46</f>
        <v>0</v>
      </c>
      <c r="BX43" s="353">
        <f t="shared" si="30"/>
        <v>0</v>
      </c>
      <c r="BY43" s="353">
        <f t="shared" si="30"/>
        <v>0</v>
      </c>
      <c r="BZ43" s="230">
        <f t="shared" si="30"/>
        <v>0</v>
      </c>
      <c r="CA43" s="353">
        <f t="shared" si="30"/>
        <v>0</v>
      </c>
      <c r="CB43" s="353">
        <f t="shared" si="30"/>
        <v>0</v>
      </c>
      <c r="CC43" s="353">
        <f t="shared" si="30"/>
        <v>0</v>
      </c>
      <c r="CD43" s="353">
        <f t="shared" si="30"/>
        <v>0</v>
      </c>
      <c r="CE43" s="230">
        <f t="shared" si="30"/>
        <v>0</v>
      </c>
      <c r="CF43" s="353">
        <f t="shared" si="30"/>
        <v>30</v>
      </c>
      <c r="CG43" s="353">
        <f t="shared" si="30"/>
        <v>105</v>
      </c>
      <c r="CH43" s="353">
        <f t="shared" si="30"/>
        <v>250</v>
      </c>
      <c r="CI43" s="353">
        <f t="shared" si="30"/>
        <v>388.79266379051319</v>
      </c>
      <c r="CJ43" s="230">
        <f t="shared" si="30"/>
        <v>773.79266379051319</v>
      </c>
      <c r="CK43" s="353" t="e">
        <f t="shared" si="30"/>
        <v>#DIV/0!</v>
      </c>
      <c r="CL43" s="353" t="e">
        <f t="shared" si="30"/>
        <v>#DIV/0!</v>
      </c>
      <c r="CM43" s="353" t="e">
        <f t="shared" si="30"/>
        <v>#DIV/0!</v>
      </c>
      <c r="CN43" s="353" t="e">
        <f t="shared" si="30"/>
        <v>#DIV/0!</v>
      </c>
      <c r="CO43" s="230">
        <f t="shared" si="30"/>
        <v>1431.6239367870887</v>
      </c>
      <c r="CP43" s="353" t="e">
        <f t="shared" si="30"/>
        <v>#DIV/0!</v>
      </c>
      <c r="CQ43" s="353" t="e">
        <f t="shared" si="30"/>
        <v>#DIV/0!</v>
      </c>
      <c r="CR43" s="353" t="e">
        <f t="shared" si="30"/>
        <v>#DIV/0!</v>
      </c>
      <c r="CS43" s="353" t="e">
        <f t="shared" si="30"/>
        <v>#DIV/0!</v>
      </c>
      <c r="CT43" s="230">
        <f t="shared" si="30"/>
        <v>2170.2143156443999</v>
      </c>
      <c r="CU43" s="353" t="e">
        <f t="shared" si="30"/>
        <v>#DIV/0!</v>
      </c>
      <c r="CV43" s="353" t="e">
        <f t="shared" si="30"/>
        <v>#DIV/0!</v>
      </c>
      <c r="CW43" s="353" t="e">
        <f t="shared" si="30"/>
        <v>#DIV/0!</v>
      </c>
      <c r="CX43" s="353" t="e">
        <f t="shared" si="30"/>
        <v>#DIV/0!</v>
      </c>
      <c r="CY43" s="230">
        <f t="shared" si="30"/>
        <v>3124.7352294337779</v>
      </c>
      <c r="CZ43" s="353" t="e">
        <f t="shared" si="30"/>
        <v>#DIV/0!</v>
      </c>
      <c r="DA43" s="353" t="e">
        <f t="shared" si="30"/>
        <v>#DIV/0!</v>
      </c>
      <c r="DB43" s="353" t="e">
        <f t="shared" si="30"/>
        <v>#DIV/0!</v>
      </c>
      <c r="DC43" s="353" t="e">
        <f t="shared" si="30"/>
        <v>#DIV/0!</v>
      </c>
      <c r="DD43" s="230">
        <f t="shared" si="30"/>
        <v>4041.9143467674262</v>
      </c>
      <c r="DE43" s="353" t="e">
        <f t="shared" si="30"/>
        <v>#DIV/0!</v>
      </c>
      <c r="DF43" s="353" t="e">
        <f t="shared" si="30"/>
        <v>#DIV/0!</v>
      </c>
      <c r="DG43" s="353" t="e">
        <f t="shared" si="30"/>
        <v>#DIV/0!</v>
      </c>
      <c r="DH43" s="353" t="e">
        <f t="shared" si="30"/>
        <v>#DIV/0!</v>
      </c>
      <c r="DI43" s="230">
        <f t="shared" si="30"/>
        <v>4412.5378102573586</v>
      </c>
      <c r="DJ43" s="353" t="e">
        <f t="shared" si="30"/>
        <v>#DIV/0!</v>
      </c>
      <c r="DK43" s="353" t="e">
        <f t="shared" si="30"/>
        <v>#DIV/0!</v>
      </c>
      <c r="DL43" s="353" t="e">
        <f t="shared" si="30"/>
        <v>#DIV/0!</v>
      </c>
      <c r="DM43" s="353" t="e">
        <f t="shared" si="30"/>
        <v>#DIV/0!</v>
      </c>
      <c r="DN43" s="230">
        <f t="shared" si="30"/>
        <v>4719.8784081376398</v>
      </c>
      <c r="DO43" s="353" t="e">
        <f t="shared" si="30"/>
        <v>#DIV/0!</v>
      </c>
      <c r="DP43" s="353" t="e">
        <f t="shared" si="30"/>
        <v>#DIV/0!</v>
      </c>
      <c r="DQ43" s="353" t="e">
        <f t="shared" si="30"/>
        <v>#DIV/0!</v>
      </c>
      <c r="DR43" s="353" t="e">
        <f t="shared" si="30"/>
        <v>#DIV/0!</v>
      </c>
      <c r="DS43" s="230">
        <f t="shared" si="30"/>
        <v>4854.2460452381038</v>
      </c>
      <c r="DT43" s="353" t="e">
        <f t="shared" si="30"/>
        <v>#DIV/0!</v>
      </c>
      <c r="DU43" s="353" t="e">
        <f t="shared" si="30"/>
        <v>#DIV/0!</v>
      </c>
      <c r="DV43" s="353" t="e">
        <f t="shared" si="30"/>
        <v>#DIV/0!</v>
      </c>
      <c r="DW43" s="353" t="e">
        <f t="shared" si="30"/>
        <v>#DIV/0!</v>
      </c>
      <c r="DX43" s="230">
        <f t="shared" si="30"/>
        <v>4929.598982635006</v>
      </c>
      <c r="DY43" s="353" t="e">
        <f t="shared" si="30"/>
        <v>#DIV/0!</v>
      </c>
      <c r="DZ43" s="353" t="e">
        <f t="shared" si="30"/>
        <v>#DIV/0!</v>
      </c>
      <c r="EA43" s="353" t="e">
        <f t="shared" si="30"/>
        <v>#DIV/0!</v>
      </c>
      <c r="EB43" s="353" t="e">
        <f t="shared" si="30"/>
        <v>#DIV/0!</v>
      </c>
      <c r="EC43" s="230">
        <f t="shared" si="30"/>
        <v>5007.5093455409988</v>
      </c>
      <c r="ED43" s="353" t="e">
        <f t="shared" si="30"/>
        <v>#DIV/0!</v>
      </c>
      <c r="EE43" s="353" t="e">
        <f t="shared" si="30"/>
        <v>#DIV/0!</v>
      </c>
      <c r="EF43" s="353" t="e">
        <f t="shared" si="30"/>
        <v>#DIV/0!</v>
      </c>
      <c r="EG43" s="353" t="e">
        <f t="shared" si="30"/>
        <v>#DIV/0!</v>
      </c>
      <c r="EH43" s="230">
        <f t="shared" si="30"/>
        <v>5088.0856711916549</v>
      </c>
      <c r="EI43" s="353" t="e">
        <f t="shared" ref="EI43:ER43" si="31">EI44+EI45+EI46</f>
        <v>#DIV/0!</v>
      </c>
      <c r="EJ43" s="353" t="e">
        <f t="shared" si="31"/>
        <v>#DIV/0!</v>
      </c>
      <c r="EK43" s="353" t="e">
        <f t="shared" si="31"/>
        <v>#DIV/0!</v>
      </c>
      <c r="EL43" s="353" t="e">
        <f t="shared" si="31"/>
        <v>#DIV/0!</v>
      </c>
      <c r="EM43" s="230">
        <f t="shared" si="31"/>
        <v>5221.1081403416347</v>
      </c>
      <c r="EN43" s="353" t="e">
        <f t="shared" si="31"/>
        <v>#DIV/0!</v>
      </c>
      <c r="EO43" s="353" t="e">
        <f t="shared" si="31"/>
        <v>#DIV/0!</v>
      </c>
      <c r="EP43" s="353" t="e">
        <f t="shared" si="31"/>
        <v>#DIV/0!</v>
      </c>
      <c r="EQ43" s="353" t="e">
        <f t="shared" si="31"/>
        <v>#DIV/0!</v>
      </c>
      <c r="ER43" s="230">
        <f t="shared" si="31"/>
        <v>5358.0544877595357</v>
      </c>
    </row>
    <row r="44" spans="2:148">
      <c r="B44" s="231" t="s">
        <v>864</v>
      </c>
      <c r="D44" s="297"/>
      <c r="E44" s="297"/>
      <c r="F44" s="297"/>
      <c r="G44" s="297"/>
      <c r="I44" s="297"/>
      <c r="J44" s="297"/>
      <c r="K44" s="297"/>
      <c r="L44" s="297"/>
      <c r="N44" s="297"/>
      <c r="O44" s="297"/>
      <c r="P44" s="297"/>
      <c r="Q44" s="297"/>
      <c r="S44" s="297"/>
      <c r="T44" s="297"/>
      <c r="U44" s="297"/>
      <c r="V44" s="297"/>
      <c r="X44" s="297"/>
      <c r="Y44" s="297"/>
      <c r="Z44" s="297"/>
      <c r="AA44" s="297"/>
      <c r="AC44" s="297"/>
      <c r="AD44" s="297"/>
      <c r="AE44" s="297"/>
      <c r="AF44" s="297"/>
      <c r="AH44" s="297"/>
      <c r="AI44" s="297"/>
      <c r="AJ44" s="297"/>
      <c r="AK44" s="297"/>
      <c r="AM44" s="297"/>
      <c r="AN44" s="297"/>
      <c r="AO44" s="297"/>
      <c r="AP44" s="297"/>
      <c r="AR44" s="297"/>
      <c r="AS44" s="297"/>
      <c r="AT44" s="297"/>
      <c r="AU44" s="297"/>
      <c r="AW44" s="297"/>
      <c r="AX44" s="297"/>
      <c r="AY44" s="297"/>
      <c r="AZ44" s="297"/>
      <c r="BB44" s="298"/>
      <c r="BC44" s="298"/>
      <c r="BD44" s="298">
        <v>17.510999999999999</v>
      </c>
      <c r="BE44" s="298">
        <v>40.021999999999998</v>
      </c>
      <c r="BG44" s="298"/>
      <c r="BH44" s="298"/>
      <c r="BI44" s="298"/>
      <c r="BJ44" s="299"/>
      <c r="BL44" s="298"/>
      <c r="BM44" s="298"/>
      <c r="BN44" s="298"/>
      <c r="BO44" s="298"/>
      <c r="BQ44" s="298"/>
      <c r="BR44" s="298"/>
      <c r="BS44" s="298"/>
      <c r="BT44" s="299"/>
      <c r="BV44" s="299"/>
      <c r="BW44" s="298">
        <v>0</v>
      </c>
      <c r="BX44" s="298">
        <v>0</v>
      </c>
      <c r="BY44" s="298">
        <f>BZ44-BX44-BW44-BV44</f>
        <v>0</v>
      </c>
      <c r="BZ44" s="116">
        <f>'HIV Model'!AM231</f>
        <v>0</v>
      </c>
      <c r="CA44" s="298">
        <v>0</v>
      </c>
      <c r="CB44" s="298">
        <v>0</v>
      </c>
      <c r="CC44" s="298">
        <v>0</v>
      </c>
      <c r="CD44" s="298">
        <v>0</v>
      </c>
      <c r="CE44" s="116">
        <f>SUM(CA44:CD44)</f>
        <v>0</v>
      </c>
      <c r="CF44" s="299">
        <v>30</v>
      </c>
      <c r="CG44" s="298">
        <v>105</v>
      </c>
      <c r="CH44" s="298">
        <v>250</v>
      </c>
      <c r="CI44" s="711">
        <f>CJ44-SUM(CF44:CH44)</f>
        <v>388.79266379051319</v>
      </c>
      <c r="CJ44" s="116">
        <f>'HIV Model'!AO231</f>
        <v>773.79266379051319</v>
      </c>
      <c r="CK44" s="298">
        <f>(CF44/CJ44)*CO44</f>
        <v>52.870952219150112</v>
      </c>
      <c r="CL44" s="298">
        <f>(CG44/CJ44)*CO44</f>
        <v>185.04833276702539</v>
      </c>
      <c r="CM44" s="298">
        <f>(CH44/CJ44)*CO44</f>
        <v>440.59126849291761</v>
      </c>
      <c r="CN44" s="298">
        <f>(CI44/CJ44)*CO44</f>
        <v>685.19461168081057</v>
      </c>
      <c r="CO44" s="116">
        <f>'HIV Model'!AP231</f>
        <v>1363.7051651599036</v>
      </c>
      <c r="CP44" s="298">
        <f>(CK44/CO44)*CT44</f>
        <v>76.341089357339996</v>
      </c>
      <c r="CQ44" s="298">
        <f>(CL44/CO44)*CT44</f>
        <v>267.19381275068997</v>
      </c>
      <c r="CR44" s="298">
        <f>(CM44/CO44)*CT44</f>
        <v>636.17574464450001</v>
      </c>
      <c r="CS44" s="298">
        <f>(CN44/CO44)*CT44</f>
        <v>989.36184959699369</v>
      </c>
      <c r="CT44" s="116">
        <f>'HIV Model'!AQ231</f>
        <v>1969.0724963495236</v>
      </c>
      <c r="CU44" s="298">
        <f>(CP44/CT44)*CY44</f>
        <v>103.29791534572911</v>
      </c>
      <c r="CV44" s="298">
        <f>(CQ44/CT44)*CY44</f>
        <v>361.54270371005185</v>
      </c>
      <c r="CW44" s="298">
        <f>(CR44/CT44)*CY44</f>
        <v>860.8159612144093</v>
      </c>
      <c r="CX44" s="298">
        <f>(CS44/CT44)*CY44</f>
        <v>1338.7157223757649</v>
      </c>
      <c r="CY44" s="116">
        <f>'HIV Model'!AR231</f>
        <v>2664.3723026459552</v>
      </c>
      <c r="CZ44" s="298">
        <f>(CU44/CY44)*DD44</f>
        <v>121.37409070798205</v>
      </c>
      <c r="DA44" s="298">
        <f>(CV44/CY44)*DD44</f>
        <v>424.80931747793716</v>
      </c>
      <c r="DB44" s="298">
        <f>(CW44/CY44)*DD44</f>
        <v>1011.4507558998505</v>
      </c>
      <c r="DC44" s="298">
        <f>(CX44/CY44)*DD44</f>
        <v>1572.9785347169238</v>
      </c>
      <c r="DD44" s="116">
        <f>'HIV Model'!AS231</f>
        <v>3130.6126988026936</v>
      </c>
      <c r="DE44" s="298">
        <f>(CZ44/DD44)*DI44</f>
        <v>122.02680871714711</v>
      </c>
      <c r="DF44" s="298">
        <f>(DA44/DD44)*DI44</f>
        <v>427.09383051001487</v>
      </c>
      <c r="DG44" s="298">
        <f>(DB44/DD44)*DI44</f>
        <v>1016.8900726428926</v>
      </c>
      <c r="DH44" s="298">
        <f>(DC44/DD44)*DI44</f>
        <v>1581.4376004998346</v>
      </c>
      <c r="DI44" s="116">
        <f>'HIV Model'!AT231</f>
        <v>3147.4483123698892</v>
      </c>
      <c r="DJ44" s="298">
        <f>(DE44/DI44)*DN44</f>
        <v>122.67278283690068</v>
      </c>
      <c r="DK44" s="298">
        <f>(DF44/DI44)*DN44</f>
        <v>429.3547399291524</v>
      </c>
      <c r="DL44" s="298">
        <f>(DG44/DI44)*DN44</f>
        <v>1022.2731903075057</v>
      </c>
      <c r="DM44" s="298">
        <f>(DH44/DI44)*DN44</f>
        <v>1589.8092671251254</v>
      </c>
      <c r="DN44" s="116">
        <f>'HIV Model'!AU231</f>
        <v>3164.1099801986843</v>
      </c>
      <c r="DO44" s="298">
        <f>(DJ44/DN44)*DS44</f>
        <v>123.01582027035543</v>
      </c>
      <c r="DP44" s="298">
        <f>(DK44/DN44)*DS44</f>
        <v>430.55537094624401</v>
      </c>
      <c r="DQ44" s="298">
        <f>(DL44/DN44)*DS44</f>
        <v>1025.1318355862952</v>
      </c>
      <c r="DR44" s="298">
        <f>(DM44/DN44)*DS44</f>
        <v>1594.2549483762166</v>
      </c>
      <c r="DS44" s="116">
        <f>'HIV Model'!AV231</f>
        <v>3172.9579751791111</v>
      </c>
      <c r="DT44" s="298">
        <f>(DO44/DS44)*DX44</f>
        <v>123.35438698753718</v>
      </c>
      <c r="DU44" s="298">
        <f>(DP44/DS44)*DX44</f>
        <v>431.74035445638009</v>
      </c>
      <c r="DV44" s="298">
        <f>(DQ44/DS44)*DX44</f>
        <v>1027.9532248961432</v>
      </c>
      <c r="DW44" s="298">
        <f>(DR44/DS44)*DX44</f>
        <v>1598.64269023768</v>
      </c>
      <c r="DX44" s="116">
        <f>'HIV Model'!AW231</f>
        <v>3181.6906565777404</v>
      </c>
      <c r="DY44" s="298">
        <f>(DT44/DX44)*EC44</f>
        <v>123.68849965350998</v>
      </c>
      <c r="DZ44" s="298">
        <f>(DU44/DX44)*EC44</f>
        <v>432.90974878728491</v>
      </c>
      <c r="EA44" s="298">
        <f>(DV44/DX44)*EC44</f>
        <v>1030.7374971125832</v>
      </c>
      <c r="EB44" s="298">
        <f>(DW44/DX44)*EC44</f>
        <v>1602.9727086846704</v>
      </c>
      <c r="EC44" s="116">
        <f>'HIV Model'!AX231</f>
        <v>3190.3084542380484</v>
      </c>
      <c r="ED44" s="298">
        <f>(DY44/EC44)*EH44</f>
        <v>124.01817504357042</v>
      </c>
      <c r="EE44" s="298">
        <f>(DZ44/EC44)*EH44</f>
        <v>434.06361265249649</v>
      </c>
      <c r="EF44" s="298">
        <f>(EA44/EC44)*EH44</f>
        <v>1033.4847920297536</v>
      </c>
      <c r="EG44" s="298">
        <f>(EB44/EC44)*EH44</f>
        <v>1607.2452211209295</v>
      </c>
      <c r="EH44" s="116">
        <f>'HIV Model'!AY231</f>
        <v>3198.81180084675</v>
      </c>
      <c r="EI44" s="298">
        <f>(ED44/EH44)*EM44</f>
        <v>126.26903279047586</v>
      </c>
      <c r="EJ44" s="298">
        <f>(EE44/EH44)*EM44</f>
        <v>441.94161476666551</v>
      </c>
      <c r="EK44" s="298">
        <f>(EF44/EH44)*EM44</f>
        <v>1052.2419399206321</v>
      </c>
      <c r="EL44" s="298">
        <f>(EG44/EH44)*EM44</f>
        <v>1636.4157870953588</v>
      </c>
      <c r="EM44" s="116">
        <f>'HIV Model'!AZ231</f>
        <v>3256.8683745731323</v>
      </c>
      <c r="EN44" s="298">
        <f>(EI44/EM44)*ER44</f>
        <v>128.55532179923034</v>
      </c>
      <c r="EO44" s="298">
        <f>(EJ44/EM44)*ER44</f>
        <v>449.94362629730614</v>
      </c>
      <c r="EP44" s="298">
        <f>(EK44/EM44)*ER44</f>
        <v>1071.2943483269196</v>
      </c>
      <c r="EQ44" s="298">
        <f>(EL44/EM44)*ER44</f>
        <v>1666.0455335589797</v>
      </c>
      <c r="ER44" s="116">
        <f>'HIV Model'!BA231</f>
        <v>3315.8388299824355</v>
      </c>
    </row>
    <row r="45" spans="2:148">
      <c r="B45" s="231" t="s">
        <v>907</v>
      </c>
      <c r="D45" s="297"/>
      <c r="E45" s="297"/>
      <c r="F45" s="297"/>
      <c r="G45" s="297"/>
      <c r="I45" s="297"/>
      <c r="J45" s="297"/>
      <c r="K45" s="297"/>
      <c r="L45" s="297"/>
      <c r="N45" s="297"/>
      <c r="O45" s="297"/>
      <c r="P45" s="297"/>
      <c r="Q45" s="297"/>
      <c r="S45" s="297"/>
      <c r="T45" s="297"/>
      <c r="U45" s="297"/>
      <c r="V45" s="297"/>
      <c r="X45" s="297"/>
      <c r="Y45" s="297"/>
      <c r="Z45" s="297"/>
      <c r="AA45" s="297"/>
      <c r="AC45" s="297"/>
      <c r="AD45" s="297"/>
      <c r="AE45" s="297"/>
      <c r="AF45" s="297"/>
      <c r="AH45" s="297"/>
      <c r="AI45" s="297"/>
      <c r="AJ45" s="297"/>
      <c r="AK45" s="297"/>
      <c r="AM45" s="297"/>
      <c r="AN45" s="297"/>
      <c r="AO45" s="297"/>
      <c r="AP45" s="297"/>
      <c r="AR45" s="297"/>
      <c r="AS45" s="297"/>
      <c r="AT45" s="297"/>
      <c r="AU45" s="297"/>
      <c r="AW45" s="297"/>
      <c r="AX45" s="297"/>
      <c r="AY45" s="297"/>
      <c r="AZ45" s="297"/>
      <c r="BB45" s="298"/>
      <c r="BC45" s="298"/>
      <c r="BD45" s="298"/>
      <c r="BE45" s="298"/>
      <c r="BG45" s="298"/>
      <c r="BH45" s="298"/>
      <c r="BI45" s="298"/>
      <c r="BJ45" s="299"/>
      <c r="BL45" s="298"/>
      <c r="BM45" s="298"/>
      <c r="BN45" s="298"/>
      <c r="BO45" s="298"/>
      <c r="BQ45" s="298"/>
      <c r="BR45" s="298"/>
      <c r="BS45" s="298"/>
      <c r="BT45" s="299"/>
      <c r="BV45" s="299"/>
      <c r="BW45" s="298">
        <v>0</v>
      </c>
      <c r="BX45" s="298">
        <v>0</v>
      </c>
      <c r="BY45" s="298">
        <f>BZ45-BX45</f>
        <v>0</v>
      </c>
      <c r="BZ45" s="116">
        <f>'HIV Model'!AM429</f>
        <v>0</v>
      </c>
      <c r="CA45" s="298">
        <v>0</v>
      </c>
      <c r="CB45" s="298">
        <v>0</v>
      </c>
      <c r="CC45" s="298">
        <v>0</v>
      </c>
      <c r="CD45" s="298">
        <v>0</v>
      </c>
      <c r="CE45" s="116">
        <f t="shared" ref="CE45:CE46" si="32">SUM(CA45:CD45)</f>
        <v>0</v>
      </c>
      <c r="CF45" s="298">
        <v>0</v>
      </c>
      <c r="CG45" s="298">
        <v>0</v>
      </c>
      <c r="CH45" s="298">
        <v>0</v>
      </c>
      <c r="CI45" s="711">
        <f>CJ45-SUM(CF45:CH45)</f>
        <v>0</v>
      </c>
      <c r="CJ45" s="116">
        <f>'HIV Model'!AO429</f>
        <v>0</v>
      </c>
      <c r="CK45" s="298" t="e">
        <f>(CF45/CJ45)*CO45</f>
        <v>#DIV/0!</v>
      </c>
      <c r="CL45" s="298" t="e">
        <f>(CG45/CJ45)*CO45</f>
        <v>#DIV/0!</v>
      </c>
      <c r="CM45" s="298" t="e">
        <f>(CH45/CJ45)*CO45</f>
        <v>#DIV/0!</v>
      </c>
      <c r="CN45" s="298" t="e">
        <f>(CI45/CJ45)*CO45</f>
        <v>#DIV/0!</v>
      </c>
      <c r="CO45" s="116">
        <f>'HIV Model'!AP429</f>
        <v>61.744337842895625</v>
      </c>
      <c r="CP45" s="298" t="e">
        <f>(CK45/CO45)*CT45</f>
        <v>#DIV/0!</v>
      </c>
      <c r="CQ45" s="298" t="e">
        <f>(CL45/CO45)*CT45</f>
        <v>#DIV/0!</v>
      </c>
      <c r="CR45" s="298" t="e">
        <f>(CM45/CO45)*CT45</f>
        <v>#DIV/0!</v>
      </c>
      <c r="CS45" s="298" t="e">
        <f>(CN45/CO45)*CT45</f>
        <v>#DIV/0!</v>
      </c>
      <c r="CT45" s="116">
        <f>'HIV Model'!AQ429</f>
        <v>182.8561993589781</v>
      </c>
      <c r="CU45" s="298" t="e">
        <f>(CP45/CT45)*CY45</f>
        <v>#DIV/0!</v>
      </c>
      <c r="CV45" s="298" t="e">
        <f>(CQ45/CT45)*CY45</f>
        <v>#DIV/0!</v>
      </c>
      <c r="CW45" s="298" t="e">
        <f>(CR45/CT45)*CY45</f>
        <v>#DIV/0!</v>
      </c>
      <c r="CX45" s="298" t="e">
        <f>(CS45/CT45)*CY45</f>
        <v>#DIV/0!</v>
      </c>
      <c r="CY45" s="116">
        <f>'HIV Model'!AR429</f>
        <v>418.51175162529341</v>
      </c>
      <c r="CZ45" s="298" t="e">
        <f>(CU45/CY45)*DD45</f>
        <v>#DIV/0!</v>
      </c>
      <c r="DA45" s="298" t="e">
        <f>(CV45/CY45)*DD45</f>
        <v>#DIV/0!</v>
      </c>
      <c r="DB45" s="298" t="e">
        <f>(CW45/CY45)*DD45</f>
        <v>#DIV/0!</v>
      </c>
      <c r="DC45" s="298" t="e">
        <f>(CX45/CY45)*DD45</f>
        <v>#DIV/0!</v>
      </c>
      <c r="DD45" s="116">
        <f>'HIV Model'!AS429</f>
        <v>828.45604360430252</v>
      </c>
      <c r="DE45" s="298" t="e">
        <f>(CZ45/DD45)*DI45</f>
        <v>#DIV/0!</v>
      </c>
      <c r="DF45" s="298" t="e">
        <f>(DA45/DD45)*DI45</f>
        <v>#DIV/0!</v>
      </c>
      <c r="DG45" s="298" t="e">
        <f>(DB45/DD45)*DI45</f>
        <v>#DIV/0!</v>
      </c>
      <c r="DH45" s="298" t="e">
        <f>(DC45/DD45)*DI45</f>
        <v>#DIV/0!</v>
      </c>
      <c r="DI45" s="116">
        <f>'HIV Model'!AT429</f>
        <v>1150.0813617158813</v>
      </c>
      <c r="DJ45" s="298" t="e">
        <f>(DE45/DI45)*DN45</f>
        <v>#DIV/0!</v>
      </c>
      <c r="DK45" s="298" t="e">
        <f>(DF45/DI45)*DN45</f>
        <v>#DIV/0!</v>
      </c>
      <c r="DL45" s="298" t="e">
        <f>(DG45/DI45)*DN45</f>
        <v>#DIV/0!</v>
      </c>
      <c r="DM45" s="298" t="e">
        <f>(DH45/DI45)*DN45</f>
        <v>#DIV/0!</v>
      </c>
      <c r="DN45" s="116">
        <f>'HIV Model'!AU429</f>
        <v>1414.3349344899598</v>
      </c>
      <c r="DO45" s="298" t="e">
        <f>(DJ45/DN45)*DS45</f>
        <v>#DIV/0!</v>
      </c>
      <c r="DP45" s="298" t="e">
        <f>(DK45/DN45)*DS45</f>
        <v>#DIV/0!</v>
      </c>
      <c r="DQ45" s="298" t="e">
        <f>(DL45/DN45)*DS45</f>
        <v>#DIV/0!</v>
      </c>
      <c r="DR45" s="298" t="e">
        <f>(DM45/DN45)*DS45</f>
        <v>#DIV/0!</v>
      </c>
      <c r="DS45" s="116">
        <f>'HIV Model'!AV429</f>
        <v>1528.4437000536293</v>
      </c>
      <c r="DT45" s="298" t="e">
        <f>(DO45/DS45)*DX45</f>
        <v>#DIV/0!</v>
      </c>
      <c r="DU45" s="298" t="e">
        <f>(DP45/DS45)*DX45</f>
        <v>#DIV/0!</v>
      </c>
      <c r="DV45" s="298" t="e">
        <f>(DQ45/DS45)*DX45</f>
        <v>#DIV/0!</v>
      </c>
      <c r="DW45" s="298" t="e">
        <f>(DR45/DS45)*DX45</f>
        <v>#DIV/0!</v>
      </c>
      <c r="DX45" s="116">
        <f>'HIV Model'!AW429</f>
        <v>1589.0075691429684</v>
      </c>
      <c r="DY45" s="298" t="e">
        <f>(DT45/DX45)*EC45</f>
        <v>#DIV/0!</v>
      </c>
      <c r="DZ45" s="298" t="e">
        <f>(DU45/DX45)*EC45</f>
        <v>#DIV/0!</v>
      </c>
      <c r="EA45" s="298" t="e">
        <f>(DV45/DX45)*EC45</f>
        <v>#DIV/0!</v>
      </c>
      <c r="EB45" s="298" t="e">
        <f>(DW45/DX45)*EC45</f>
        <v>#DIV/0!</v>
      </c>
      <c r="EC45" s="116">
        <f>'HIV Model'!AX429</f>
        <v>1652.0008102754089</v>
      </c>
      <c r="ED45" s="298" t="e">
        <f>(DY45/EC45)*EH45</f>
        <v>#DIV/0!</v>
      </c>
      <c r="EE45" s="298" t="e">
        <f>(DZ45/EC45)*EH45</f>
        <v>#DIV/0!</v>
      </c>
      <c r="EF45" s="298" t="e">
        <f>(EA45/EC45)*EH45</f>
        <v>#DIV/0!</v>
      </c>
      <c r="EG45" s="298" t="e">
        <f>(EB45/EC45)*EH45</f>
        <v>#DIV/0!</v>
      </c>
      <c r="EH45" s="116">
        <f>'HIV Model'!AY429</f>
        <v>1717.5217003135504</v>
      </c>
      <c r="EI45" s="298" t="e">
        <f>(ED45/EH45)*EM45</f>
        <v>#DIV/0!</v>
      </c>
      <c r="EJ45" s="298" t="e">
        <f>(EE45/EH45)*EM45</f>
        <v>#DIV/0!</v>
      </c>
      <c r="EK45" s="298" t="e">
        <f>(EF45/EH45)*EM45</f>
        <v>#DIV/0!</v>
      </c>
      <c r="EL45" s="298" t="e">
        <f>(EG45/EH45)*EM45</f>
        <v>#DIV/0!</v>
      </c>
      <c r="EM45" s="116">
        <f>'HIV Model'!AZ429</f>
        <v>1785.6725143350022</v>
      </c>
      <c r="EN45" s="298" t="e">
        <f>(EI45/EM45)*ER45</f>
        <v>#DIV/0!</v>
      </c>
      <c r="EO45" s="298" t="e">
        <f>(EJ45/EM45)*ER45</f>
        <v>#DIV/0!</v>
      </c>
      <c r="EP45" s="298" t="e">
        <f>(EK45/EM45)*ER45</f>
        <v>#DIV/0!</v>
      </c>
      <c r="EQ45" s="298" t="e">
        <f>(EL45/EM45)*ER45</f>
        <v>#DIV/0!</v>
      </c>
      <c r="ER45" s="116">
        <f>'HIV Model'!BA429</f>
        <v>1856.5596888882724</v>
      </c>
    </row>
    <row r="46" spans="2:148">
      <c r="B46" s="231" t="s">
        <v>81</v>
      </c>
      <c r="D46" s="297"/>
      <c r="E46" s="297"/>
      <c r="F46" s="297"/>
      <c r="G46" s="297"/>
      <c r="I46" s="297"/>
      <c r="J46" s="297"/>
      <c r="K46" s="297"/>
      <c r="L46" s="297"/>
      <c r="N46" s="297"/>
      <c r="O46" s="297"/>
      <c r="P46" s="297"/>
      <c r="Q46" s="297"/>
      <c r="S46" s="297"/>
      <c r="T46" s="297"/>
      <c r="U46" s="297"/>
      <c r="V46" s="297"/>
      <c r="X46" s="297"/>
      <c r="Y46" s="297"/>
      <c r="Z46" s="297"/>
      <c r="AA46" s="297"/>
      <c r="AC46" s="297"/>
      <c r="AD46" s="297"/>
      <c r="AE46" s="297"/>
      <c r="AF46" s="297"/>
      <c r="AH46" s="297"/>
      <c r="AI46" s="297"/>
      <c r="AJ46" s="297"/>
      <c r="AK46" s="297"/>
      <c r="AM46" s="297"/>
      <c r="AN46" s="297"/>
      <c r="AO46" s="297"/>
      <c r="AP46" s="297"/>
      <c r="AR46" s="297"/>
      <c r="AS46" s="297"/>
      <c r="AT46" s="297"/>
      <c r="AU46" s="297"/>
      <c r="AW46" s="297"/>
      <c r="AX46" s="297"/>
      <c r="AY46" s="297"/>
      <c r="AZ46" s="297"/>
      <c r="BB46" s="298"/>
      <c r="BC46" s="298"/>
      <c r="BD46" s="298"/>
      <c r="BE46" s="298">
        <v>3.0000000000000001E-3</v>
      </c>
      <c r="BG46" s="298"/>
      <c r="BH46" s="298"/>
      <c r="BI46" s="298"/>
      <c r="BJ46" s="299"/>
      <c r="BL46" s="298"/>
      <c r="BM46" s="609"/>
      <c r="BN46" s="298"/>
      <c r="BO46" s="298"/>
      <c r="BQ46" s="298"/>
      <c r="BR46" s="298"/>
      <c r="BS46" s="298"/>
      <c r="BT46" s="299"/>
      <c r="BV46" s="299"/>
      <c r="BW46" s="298">
        <v>0</v>
      </c>
      <c r="BX46" s="298">
        <v>0</v>
      </c>
      <c r="BY46" s="298">
        <f>BZ46-BX46</f>
        <v>0</v>
      </c>
      <c r="BZ46" s="116">
        <f>'HIV Model'!AM457</f>
        <v>0</v>
      </c>
      <c r="CA46" s="298">
        <v>0</v>
      </c>
      <c r="CB46" s="298">
        <v>0</v>
      </c>
      <c r="CC46" s="298">
        <v>0</v>
      </c>
      <c r="CD46" s="298">
        <v>0</v>
      </c>
      <c r="CE46" s="116">
        <f t="shared" si="32"/>
        <v>0</v>
      </c>
      <c r="CF46" s="298">
        <v>0</v>
      </c>
      <c r="CG46" s="298">
        <v>0</v>
      </c>
      <c r="CH46" s="298">
        <v>0</v>
      </c>
      <c r="CI46" s="711">
        <f>CJ46-SUM(CF46:CH46)</f>
        <v>0</v>
      </c>
      <c r="CJ46" s="116">
        <f>'HIV Model'!AO457</f>
        <v>0</v>
      </c>
      <c r="CK46" s="298" t="e">
        <f>(CF46/CJ46)*CO46</f>
        <v>#DIV/0!</v>
      </c>
      <c r="CL46" s="298" t="e">
        <f>(CG46/CJ46)*CO46</f>
        <v>#DIV/0!</v>
      </c>
      <c r="CM46" s="298" t="e">
        <f>(CH46/CJ46)*CO46</f>
        <v>#DIV/0!</v>
      </c>
      <c r="CN46" s="298" t="e">
        <f>(CI46/CJ46)*CO46</f>
        <v>#DIV/0!</v>
      </c>
      <c r="CO46" s="116">
        <f>'HIV Model'!AP457</f>
        <v>6.1744337842895627</v>
      </c>
      <c r="CP46" s="298" t="e">
        <f>(CK46/CO46)*CT46</f>
        <v>#DIV/0!</v>
      </c>
      <c r="CQ46" s="298" t="e">
        <f>(CL46/CO46)*CT46</f>
        <v>#DIV/0!</v>
      </c>
      <c r="CR46" s="298" t="e">
        <f>(CM46/CO46)*CT46</f>
        <v>#DIV/0!</v>
      </c>
      <c r="CS46" s="298" t="e">
        <f>(CN46/CO46)*CT46</f>
        <v>#DIV/0!</v>
      </c>
      <c r="CT46" s="116">
        <f>'HIV Model'!AQ457</f>
        <v>18.28561993589781</v>
      </c>
      <c r="CU46" s="298" t="e">
        <f>(CP46/CT46)*CY46</f>
        <v>#DIV/0!</v>
      </c>
      <c r="CV46" s="298" t="e">
        <f>(CQ46/CT46)*CY46</f>
        <v>#DIV/0!</v>
      </c>
      <c r="CW46" s="298" t="e">
        <f>(CR46/CT46)*CY46</f>
        <v>#DIV/0!</v>
      </c>
      <c r="CX46" s="298" t="e">
        <f>(CS46/CT46)*CY46</f>
        <v>#DIV/0!</v>
      </c>
      <c r="CY46" s="116">
        <f>'HIV Model'!AR457</f>
        <v>41.851175162529344</v>
      </c>
      <c r="CZ46" s="298" t="e">
        <f>(CU46/CY46)*DD46</f>
        <v>#DIV/0!</v>
      </c>
      <c r="DA46" s="298" t="e">
        <f>(CV46/CY46)*DD46</f>
        <v>#DIV/0!</v>
      </c>
      <c r="DB46" s="298" t="e">
        <f>(CW46/CY46)*DD46</f>
        <v>#DIV/0!</v>
      </c>
      <c r="DC46" s="298" t="e">
        <f>(CX46/CY46)*DD46</f>
        <v>#DIV/0!</v>
      </c>
      <c r="DD46" s="116">
        <f>'HIV Model'!AS457</f>
        <v>82.845604360430258</v>
      </c>
      <c r="DE46" s="298" t="e">
        <f>(CZ46/DD46)*DI46</f>
        <v>#DIV/0!</v>
      </c>
      <c r="DF46" s="298" t="e">
        <f>(DA46/DD46)*DI46</f>
        <v>#DIV/0!</v>
      </c>
      <c r="DG46" s="298" t="e">
        <f>(DB46/DD46)*DI46</f>
        <v>#DIV/0!</v>
      </c>
      <c r="DH46" s="298" t="e">
        <f>(DC46/DD46)*DI46</f>
        <v>#DIV/0!</v>
      </c>
      <c r="DI46" s="116">
        <f>'HIV Model'!AT457</f>
        <v>115.00813617158813</v>
      </c>
      <c r="DJ46" s="298" t="e">
        <f>(DE46/DI46)*DN46</f>
        <v>#DIV/0!</v>
      </c>
      <c r="DK46" s="298" t="e">
        <f>(DF46/DI46)*DN46</f>
        <v>#DIV/0!</v>
      </c>
      <c r="DL46" s="298" t="e">
        <f>(DG46/DI46)*DN46</f>
        <v>#DIV/0!</v>
      </c>
      <c r="DM46" s="298" t="e">
        <f>(DH46/DI46)*DN46</f>
        <v>#DIV/0!</v>
      </c>
      <c r="DN46" s="116">
        <f>'HIV Model'!AU457</f>
        <v>141.43349344899599</v>
      </c>
      <c r="DO46" s="298" t="e">
        <f>(DJ46/DN46)*DS46</f>
        <v>#DIV/0!</v>
      </c>
      <c r="DP46" s="298" t="e">
        <f>(DK46/DN46)*DS46</f>
        <v>#DIV/0!</v>
      </c>
      <c r="DQ46" s="298" t="e">
        <f>(DL46/DN46)*DS46</f>
        <v>#DIV/0!</v>
      </c>
      <c r="DR46" s="298" t="e">
        <f>(DM46/DN46)*DS46</f>
        <v>#DIV/0!</v>
      </c>
      <c r="DS46" s="116">
        <f>'HIV Model'!AV457</f>
        <v>152.84437000536295</v>
      </c>
      <c r="DT46" s="298" t="e">
        <f>(DO46/DS46)*DX46</f>
        <v>#DIV/0!</v>
      </c>
      <c r="DU46" s="298" t="e">
        <f>(DP46/DS46)*DX46</f>
        <v>#DIV/0!</v>
      </c>
      <c r="DV46" s="298" t="e">
        <f>(DQ46/DS46)*DX46</f>
        <v>#DIV/0!</v>
      </c>
      <c r="DW46" s="298" t="e">
        <f>(DR46/DS46)*DX46</f>
        <v>#DIV/0!</v>
      </c>
      <c r="DX46" s="116">
        <f>'HIV Model'!AW457</f>
        <v>158.90075691429684</v>
      </c>
      <c r="DY46" s="298" t="e">
        <f>(DT46/DX46)*EC46</f>
        <v>#DIV/0!</v>
      </c>
      <c r="DZ46" s="298" t="e">
        <f>(DU46/DX46)*EC46</f>
        <v>#DIV/0!</v>
      </c>
      <c r="EA46" s="298" t="e">
        <f>(DV46/DX46)*EC46</f>
        <v>#DIV/0!</v>
      </c>
      <c r="EB46" s="298" t="e">
        <f>(DW46/DX46)*EC46</f>
        <v>#DIV/0!</v>
      </c>
      <c r="EC46" s="116">
        <f>'HIV Model'!AX457</f>
        <v>165.2000810275409</v>
      </c>
      <c r="ED46" s="298" t="e">
        <f>(DY46/EC46)*EH46</f>
        <v>#DIV/0!</v>
      </c>
      <c r="EE46" s="298" t="e">
        <f>(DZ46/EC46)*EH46</f>
        <v>#DIV/0!</v>
      </c>
      <c r="EF46" s="298" t="e">
        <f>(EA46/EC46)*EH46</f>
        <v>#DIV/0!</v>
      </c>
      <c r="EG46" s="298" t="e">
        <f>(EB46/EC46)*EH46</f>
        <v>#DIV/0!</v>
      </c>
      <c r="EH46" s="116">
        <f>'HIV Model'!AY457</f>
        <v>171.75217003135504</v>
      </c>
      <c r="EI46" s="298" t="e">
        <f>(ED46/EH46)*EM46</f>
        <v>#DIV/0!</v>
      </c>
      <c r="EJ46" s="298" t="e">
        <f>(EE46/EH46)*EM46</f>
        <v>#DIV/0!</v>
      </c>
      <c r="EK46" s="298" t="e">
        <f>(EF46/EH46)*EM46</f>
        <v>#DIV/0!</v>
      </c>
      <c r="EL46" s="298" t="e">
        <f>(EG46/EH46)*EM46</f>
        <v>#DIV/0!</v>
      </c>
      <c r="EM46" s="116">
        <f>'HIV Model'!AZ457</f>
        <v>178.56725143350025</v>
      </c>
      <c r="EN46" s="298" t="e">
        <f>(EI46/EM46)*ER46</f>
        <v>#DIV/0!</v>
      </c>
      <c r="EO46" s="298" t="e">
        <f>(EJ46/EM46)*ER46</f>
        <v>#DIV/0!</v>
      </c>
      <c r="EP46" s="298" t="e">
        <f>(EK46/EM46)*ER46</f>
        <v>#DIV/0!</v>
      </c>
      <c r="EQ46" s="298" t="e">
        <f>(EL46/EM46)*ER46</f>
        <v>#DIV/0!</v>
      </c>
      <c r="ER46" s="116">
        <f>'HIV Model'!BA457</f>
        <v>185.65596888882726</v>
      </c>
    </row>
    <row r="47" spans="2:148">
      <c r="B47" s="231"/>
      <c r="D47" s="297"/>
      <c r="E47" s="297"/>
      <c r="F47" s="297"/>
      <c r="G47" s="297"/>
      <c r="I47" s="297"/>
      <c r="J47" s="297"/>
      <c r="K47" s="297"/>
      <c r="L47" s="297"/>
      <c r="N47" s="297"/>
      <c r="O47" s="297"/>
      <c r="P47" s="297"/>
      <c r="Q47" s="297"/>
      <c r="S47" s="297"/>
      <c r="T47" s="297"/>
      <c r="U47" s="297"/>
      <c r="V47" s="297"/>
      <c r="X47" s="297"/>
      <c r="Y47" s="297"/>
      <c r="Z47" s="297"/>
      <c r="AA47" s="297"/>
      <c r="AC47" s="297"/>
      <c r="AD47" s="297"/>
      <c r="AE47" s="297"/>
      <c r="AF47" s="297"/>
      <c r="AH47" s="297"/>
      <c r="AI47" s="297"/>
      <c r="AJ47" s="297"/>
      <c r="AK47" s="297"/>
      <c r="AM47" s="297"/>
      <c r="AN47" s="297"/>
      <c r="AO47" s="297"/>
      <c r="AP47" s="297"/>
      <c r="AR47" s="297"/>
      <c r="AS47" s="297"/>
      <c r="AT47" s="297"/>
      <c r="AU47" s="297"/>
      <c r="AW47" s="297"/>
      <c r="AX47" s="297"/>
      <c r="AY47" s="297"/>
      <c r="AZ47" s="297"/>
      <c r="BB47" s="298"/>
      <c r="BC47" s="298"/>
      <c r="BD47" s="298"/>
      <c r="BE47" s="298"/>
      <c r="BG47" s="298"/>
      <c r="BH47" s="298"/>
      <c r="BI47" s="298"/>
      <c r="BJ47" s="298"/>
      <c r="BL47" s="298"/>
      <c r="BM47" s="309"/>
      <c r="BN47" s="309"/>
      <c r="BO47" s="309"/>
      <c r="BQ47" s="309"/>
      <c r="BR47" s="309"/>
      <c r="BS47" s="309"/>
      <c r="BT47" s="309"/>
      <c r="BU47" s="657"/>
      <c r="BV47" s="298"/>
      <c r="BW47" s="298"/>
      <c r="BX47" s="298"/>
      <c r="BY47" s="298"/>
      <c r="CA47" s="298"/>
      <c r="CB47" s="298"/>
      <c r="CC47" s="298"/>
      <c r="CD47" s="298"/>
      <c r="CF47" s="298"/>
      <c r="CG47" s="298"/>
      <c r="CH47" s="298"/>
      <c r="CI47" s="298"/>
      <c r="CK47" s="298"/>
      <c r="CL47" s="298"/>
      <c r="CM47" s="298"/>
      <c r="CN47" s="298"/>
      <c r="CP47" s="298"/>
      <c r="CQ47" s="298"/>
      <c r="CR47" s="298"/>
      <c r="CS47" s="298"/>
      <c r="CU47" s="298"/>
      <c r="CV47" s="298"/>
      <c r="CW47" s="298"/>
      <c r="CX47" s="298"/>
      <c r="CZ47" s="298"/>
      <c r="DA47" s="298"/>
      <c r="DB47" s="298"/>
      <c r="DC47" s="298"/>
      <c r="DE47" s="298"/>
      <c r="DF47" s="298"/>
      <c r="DG47" s="298"/>
      <c r="DH47" s="298"/>
      <c r="DJ47" s="298"/>
      <c r="DK47" s="298"/>
      <c r="DL47" s="298"/>
      <c r="DM47" s="298"/>
      <c r="DO47" s="298"/>
      <c r="DP47" s="298"/>
      <c r="DQ47" s="298"/>
      <c r="DR47" s="298"/>
      <c r="DT47" s="298"/>
      <c r="DU47" s="298"/>
      <c r="DV47" s="298"/>
      <c r="DW47" s="298"/>
      <c r="DY47" s="298"/>
      <c r="DZ47" s="298"/>
      <c r="EA47" s="298"/>
      <c r="EB47" s="298"/>
      <c r="ED47" s="298"/>
      <c r="EE47" s="298"/>
      <c r="EF47" s="298"/>
      <c r="EG47" s="298"/>
      <c r="EI47" s="298"/>
      <c r="EJ47" s="298"/>
      <c r="EK47" s="298"/>
      <c r="EL47" s="298"/>
      <c r="EN47" s="298"/>
      <c r="EO47" s="298"/>
      <c r="EP47" s="298"/>
      <c r="EQ47" s="298"/>
    </row>
    <row r="48" spans="2:148">
      <c r="B48" s="230" t="s">
        <v>855</v>
      </c>
      <c r="D48" s="297"/>
      <c r="E48" s="297"/>
      <c r="F48" s="297"/>
      <c r="G48" s="297"/>
      <c r="I48" s="297"/>
      <c r="J48" s="297"/>
      <c r="K48" s="297"/>
      <c r="L48" s="297"/>
      <c r="N48" s="297"/>
      <c r="O48" s="297"/>
      <c r="P48" s="297"/>
      <c r="Q48" s="297"/>
      <c r="S48" s="297"/>
      <c r="T48" s="297"/>
      <c r="U48" s="297"/>
      <c r="V48" s="297"/>
      <c r="X48" s="297"/>
      <c r="Y48" s="297"/>
      <c r="Z48" s="297"/>
      <c r="AA48" s="297"/>
      <c r="AC48" s="297"/>
      <c r="AD48" s="297"/>
      <c r="AE48" s="297"/>
      <c r="AF48" s="297"/>
      <c r="AH48" s="297"/>
      <c r="AI48" s="297"/>
      <c r="AJ48" s="297"/>
      <c r="AK48" s="297"/>
      <c r="AM48" s="297"/>
      <c r="AN48" s="297"/>
      <c r="AO48" s="297"/>
      <c r="AP48" s="297"/>
      <c r="AR48" s="297"/>
      <c r="AS48" s="297"/>
      <c r="AT48" s="297"/>
      <c r="AU48" s="297"/>
      <c r="AW48" s="297"/>
      <c r="AX48" s="297"/>
      <c r="AY48" s="297"/>
      <c r="AZ48" s="297"/>
      <c r="BB48" s="298"/>
      <c r="BC48" s="298"/>
      <c r="BD48" s="298"/>
      <c r="BE48" s="298"/>
      <c r="BG48" s="298"/>
      <c r="BH48" s="298"/>
      <c r="BI48" s="298"/>
      <c r="BJ48" s="298"/>
      <c r="BL48" s="353"/>
      <c r="BM48" s="353">
        <f>SUM(BM49:BM51)</f>
        <v>0.439</v>
      </c>
      <c r="BN48" s="353">
        <f>SUM(BN49:BN51)</f>
        <v>19.966000000000001</v>
      </c>
      <c r="BO48" s="353">
        <f>SUM(BO49:BO51)</f>
        <v>2107</v>
      </c>
      <c r="BP48" s="230">
        <f>SUM(BP49:BP51)</f>
        <v>2127.4050000000002</v>
      </c>
      <c r="BQ48" s="353">
        <f t="shared" ref="BQ48:CT48" si="33">SUM(BQ49:BQ51)</f>
        <v>3579</v>
      </c>
      <c r="BR48" s="353">
        <f>SUM(BR49:BR51)</f>
        <v>3608</v>
      </c>
      <c r="BS48" s="353">
        <f>SUM(BS49:BS51)</f>
        <v>3332</v>
      </c>
      <c r="BT48" s="353">
        <f t="shared" si="33"/>
        <v>3345</v>
      </c>
      <c r="BU48" s="230">
        <f>BU49+BU50+BU51</f>
        <v>13864</v>
      </c>
      <c r="BV48" s="353">
        <f t="shared" si="33"/>
        <v>3017</v>
      </c>
      <c r="BW48" s="353">
        <f t="shared" si="33"/>
        <v>2564</v>
      </c>
      <c r="BX48" s="353">
        <f t="shared" si="33"/>
        <v>1860</v>
      </c>
      <c r="BY48" s="353">
        <f t="shared" si="33"/>
        <v>1640</v>
      </c>
      <c r="BZ48" s="230">
        <f t="shared" si="33"/>
        <v>9081</v>
      </c>
      <c r="CA48" s="353">
        <f t="shared" si="33"/>
        <v>1371</v>
      </c>
      <c r="CB48" s="353">
        <f t="shared" si="33"/>
        <v>1382</v>
      </c>
      <c r="CC48" s="353">
        <f t="shared" si="33"/>
        <v>973</v>
      </c>
      <c r="CD48" s="353">
        <f t="shared" si="33"/>
        <v>644</v>
      </c>
      <c r="CE48" s="230">
        <f t="shared" si="33"/>
        <v>4370</v>
      </c>
      <c r="CF48" s="353">
        <f t="shared" si="33"/>
        <v>482.98495330456592</v>
      </c>
      <c r="CG48" s="353">
        <f t="shared" si="33"/>
        <v>406.49243641171819</v>
      </c>
      <c r="CH48" s="353">
        <f t="shared" si="33"/>
        <v>360.33573380773294</v>
      </c>
      <c r="CI48" s="353">
        <f t="shared" si="33"/>
        <v>305.23347081424652</v>
      </c>
      <c r="CJ48" s="230">
        <f t="shared" si="33"/>
        <v>1555.0465943382635</v>
      </c>
      <c r="CK48" s="353">
        <f t="shared" si="33"/>
        <v>0</v>
      </c>
      <c r="CL48" s="353">
        <f t="shared" si="33"/>
        <v>0</v>
      </c>
      <c r="CM48" s="353">
        <f t="shared" si="33"/>
        <v>0</v>
      </c>
      <c r="CN48" s="353">
        <f t="shared" si="33"/>
        <v>0</v>
      </c>
      <c r="CO48" s="230">
        <f t="shared" si="33"/>
        <v>1314.5132940591732</v>
      </c>
      <c r="CP48" s="353">
        <f t="shared" si="33"/>
        <v>0</v>
      </c>
      <c r="CQ48" s="353">
        <f t="shared" si="33"/>
        <v>0</v>
      </c>
      <c r="CR48" s="353">
        <f t="shared" si="33"/>
        <v>0</v>
      </c>
      <c r="CS48" s="353">
        <f t="shared" si="33"/>
        <v>0</v>
      </c>
      <c r="CT48" s="230">
        <f t="shared" si="33"/>
        <v>1165.7546474733865</v>
      </c>
      <c r="CU48" s="353">
        <f t="shared" ref="CU48:EQ48" si="34">SUM(CU49:CU51)</f>
        <v>0</v>
      </c>
      <c r="CV48" s="353">
        <f t="shared" si="34"/>
        <v>0</v>
      </c>
      <c r="CW48" s="353">
        <f t="shared" si="34"/>
        <v>0</v>
      </c>
      <c r="CX48" s="353">
        <f t="shared" si="34"/>
        <v>0</v>
      </c>
      <c r="CY48" s="230">
        <f t="shared" si="34"/>
        <v>1080.424979873369</v>
      </c>
      <c r="CZ48" s="353">
        <f t="shared" si="34"/>
        <v>0</v>
      </c>
      <c r="DA48" s="353">
        <f t="shared" si="34"/>
        <v>0</v>
      </c>
      <c r="DB48" s="353">
        <f t="shared" si="34"/>
        <v>0</v>
      </c>
      <c r="DC48" s="353">
        <f t="shared" si="34"/>
        <v>0</v>
      </c>
      <c r="DD48" s="230">
        <f t="shared" si="34"/>
        <v>993.04118680161127</v>
      </c>
      <c r="DE48" s="353">
        <f t="shared" si="34"/>
        <v>0</v>
      </c>
      <c r="DF48" s="353">
        <f t="shared" si="34"/>
        <v>0</v>
      </c>
      <c r="DG48" s="353">
        <f t="shared" si="34"/>
        <v>0</v>
      </c>
      <c r="DH48" s="353">
        <f t="shared" si="34"/>
        <v>0</v>
      </c>
      <c r="DI48" s="230">
        <f t="shared" si="34"/>
        <v>922.75936821903213</v>
      </c>
      <c r="DJ48" s="353">
        <f t="shared" si="34"/>
        <v>0</v>
      </c>
      <c r="DK48" s="353">
        <f t="shared" si="34"/>
        <v>0</v>
      </c>
      <c r="DL48" s="353">
        <f t="shared" si="34"/>
        <v>0</v>
      </c>
      <c r="DM48" s="353">
        <f t="shared" si="34"/>
        <v>0</v>
      </c>
      <c r="DN48" s="230">
        <f t="shared" si="34"/>
        <v>850.43280041702906</v>
      </c>
      <c r="DO48" s="353">
        <f t="shared" si="34"/>
        <v>0</v>
      </c>
      <c r="DP48" s="353">
        <f t="shared" si="34"/>
        <v>0</v>
      </c>
      <c r="DQ48" s="353">
        <f t="shared" si="34"/>
        <v>0</v>
      </c>
      <c r="DR48" s="353">
        <f t="shared" si="34"/>
        <v>0</v>
      </c>
      <c r="DS48" s="230">
        <f t="shared" si="34"/>
        <v>792.15164022368515</v>
      </c>
      <c r="DT48" s="353">
        <f t="shared" si="34"/>
        <v>0</v>
      </c>
      <c r="DU48" s="353">
        <f t="shared" si="34"/>
        <v>0</v>
      </c>
      <c r="DV48" s="353">
        <f t="shared" si="34"/>
        <v>0</v>
      </c>
      <c r="DW48" s="353">
        <f t="shared" si="34"/>
        <v>0</v>
      </c>
      <c r="DX48" s="230">
        <f t="shared" si="34"/>
        <v>731.93263713858107</v>
      </c>
      <c r="DY48" s="353">
        <f t="shared" si="34"/>
        <v>0</v>
      </c>
      <c r="DZ48" s="353">
        <f t="shared" si="34"/>
        <v>0</v>
      </c>
      <c r="EA48" s="353">
        <f t="shared" si="34"/>
        <v>0</v>
      </c>
      <c r="EB48" s="353">
        <f t="shared" si="34"/>
        <v>0</v>
      </c>
      <c r="EC48" s="230">
        <f t="shared" si="34"/>
        <v>683.28510586813741</v>
      </c>
      <c r="ED48" s="353">
        <f t="shared" si="34"/>
        <v>0</v>
      </c>
      <c r="EE48" s="353">
        <f t="shared" si="34"/>
        <v>0</v>
      </c>
      <c r="EF48" s="353">
        <f t="shared" si="34"/>
        <v>0</v>
      </c>
      <c r="EG48" s="353">
        <f t="shared" si="34"/>
        <v>0</v>
      </c>
      <c r="EH48" s="230">
        <f t="shared" si="34"/>
        <v>632.85968008511691</v>
      </c>
      <c r="EI48" s="353">
        <f t="shared" si="34"/>
        <v>0</v>
      </c>
      <c r="EJ48" s="353">
        <f t="shared" si="34"/>
        <v>0</v>
      </c>
      <c r="EK48" s="353">
        <f t="shared" si="34"/>
        <v>0</v>
      </c>
      <c r="EL48" s="353">
        <f t="shared" si="34"/>
        <v>0</v>
      </c>
      <c r="EM48" s="230">
        <f t="shared" si="34"/>
        <v>255.2639414338181</v>
      </c>
      <c r="EN48" s="353">
        <f t="shared" si="34"/>
        <v>0</v>
      </c>
      <c r="EO48" s="353">
        <f t="shared" si="34"/>
        <v>0</v>
      </c>
      <c r="EP48" s="353">
        <f t="shared" si="34"/>
        <v>0</v>
      </c>
      <c r="EQ48" s="353">
        <f t="shared" si="34"/>
        <v>0</v>
      </c>
      <c r="ER48" s="230">
        <f>SUM(ER49:ER51)</f>
        <v>18.484169380761625</v>
      </c>
    </row>
    <row r="49" spans="2:148">
      <c r="B49" s="231" t="s">
        <v>809</v>
      </c>
      <c r="D49" s="297"/>
      <c r="E49" s="297"/>
      <c r="F49" s="297"/>
      <c r="G49" s="297"/>
      <c r="I49" s="297"/>
      <c r="J49" s="297"/>
      <c r="K49" s="297"/>
      <c r="L49" s="297"/>
      <c r="N49" s="297"/>
      <c r="O49" s="297"/>
      <c r="P49" s="297"/>
      <c r="Q49" s="297"/>
      <c r="S49" s="297"/>
      <c r="T49" s="297"/>
      <c r="U49" s="297"/>
      <c r="V49" s="297"/>
      <c r="X49" s="297"/>
      <c r="Y49" s="297"/>
      <c r="Z49" s="297"/>
      <c r="AA49" s="297"/>
      <c r="AC49" s="297"/>
      <c r="AD49" s="297"/>
      <c r="AE49" s="297"/>
      <c r="AF49" s="297"/>
      <c r="AH49" s="297"/>
      <c r="AI49" s="297"/>
      <c r="AJ49" s="297"/>
      <c r="AK49" s="297"/>
      <c r="AM49" s="297"/>
      <c r="AN49" s="297"/>
      <c r="AO49" s="297"/>
      <c r="AP49" s="297"/>
      <c r="AR49" s="297"/>
      <c r="AS49" s="297"/>
      <c r="AT49" s="297"/>
      <c r="AU49" s="297"/>
      <c r="AW49" s="297"/>
      <c r="AX49" s="297"/>
      <c r="AY49" s="297"/>
      <c r="AZ49" s="297"/>
      <c r="BB49" s="298"/>
      <c r="BC49" s="298"/>
      <c r="BD49" s="298"/>
      <c r="BE49" s="298"/>
      <c r="BG49" s="298"/>
      <c r="BH49" s="298"/>
      <c r="BI49" s="298"/>
      <c r="BJ49" s="298"/>
      <c r="BL49" s="298"/>
      <c r="BM49" s="665">
        <v>0</v>
      </c>
      <c r="BN49" s="665">
        <v>0</v>
      </c>
      <c r="BO49" s="665">
        <v>2001</v>
      </c>
      <c r="BP49" s="116">
        <f>SUM(BL49:BO49)</f>
        <v>2001</v>
      </c>
      <c r="BQ49" s="665">
        <v>3016</v>
      </c>
      <c r="BR49" s="665">
        <v>2826</v>
      </c>
      <c r="BS49" s="665">
        <v>2541</v>
      </c>
      <c r="BT49" s="665">
        <v>1707</v>
      </c>
      <c r="BU49" s="116">
        <f>SUM(BQ49:BT49)</f>
        <v>10090</v>
      </c>
      <c r="BV49" s="299">
        <v>1407</v>
      </c>
      <c r="BW49" s="299">
        <v>1474</v>
      </c>
      <c r="BX49" s="299">
        <v>1084</v>
      </c>
      <c r="BY49" s="299">
        <v>976</v>
      </c>
      <c r="BZ49" s="696">
        <f>SUM(BV49:BY49)</f>
        <v>4941</v>
      </c>
      <c r="CA49" s="299">
        <v>926</v>
      </c>
      <c r="CB49" s="299">
        <v>984</v>
      </c>
      <c r="CC49" s="299">
        <v>718</v>
      </c>
      <c r="CD49" s="996">
        <v>425</v>
      </c>
      <c r="CE49" s="696">
        <f>SUM(CA49:CD49)</f>
        <v>3053</v>
      </c>
      <c r="CF49" s="299">
        <v>275</v>
      </c>
      <c r="CG49" s="711">
        <v>225</v>
      </c>
      <c r="CH49" s="711">
        <v>200</v>
      </c>
      <c r="CI49" s="711">
        <f>CJ49-CF49-CG49-CH49</f>
        <v>169.74949140291392</v>
      </c>
      <c r="CJ49" s="116">
        <f>'US HCV'!N116</f>
        <v>869.74949140291392</v>
      </c>
      <c r="CK49" s="298"/>
      <c r="CL49" s="298"/>
      <c r="CM49" s="298"/>
      <c r="CN49" s="298"/>
      <c r="CO49" s="116">
        <f>'US HCV'!O116</f>
        <v>712.73102493131273</v>
      </c>
      <c r="CP49" s="298"/>
      <c r="CQ49" s="298"/>
      <c r="CR49" s="298"/>
      <c r="CS49" s="298"/>
      <c r="CT49" s="116">
        <f>'US HCV'!P116</f>
        <v>642.28707793204455</v>
      </c>
      <c r="CU49" s="298"/>
      <c r="CV49" s="298"/>
      <c r="CW49" s="298"/>
      <c r="CX49" s="298"/>
      <c r="CY49" s="116">
        <f>'US HCV'!Q116</f>
        <v>607.91708606074064</v>
      </c>
      <c r="CZ49" s="298"/>
      <c r="DA49" s="298"/>
      <c r="DB49" s="298"/>
      <c r="DC49" s="298"/>
      <c r="DD49" s="116">
        <f>'US HCV'!R116</f>
        <v>575.63249698378581</v>
      </c>
      <c r="DE49" s="298"/>
      <c r="DF49" s="298"/>
      <c r="DG49" s="298"/>
      <c r="DH49" s="298"/>
      <c r="DI49" s="116">
        <f>'US HCV'!S116</f>
        <v>545.26320635825994</v>
      </c>
      <c r="DJ49" s="298"/>
      <c r="DK49" s="298"/>
      <c r="DL49" s="298"/>
      <c r="DM49" s="298"/>
      <c r="DN49" s="116">
        <f>'US HCV'!T116</f>
        <v>516.66054409617971</v>
      </c>
      <c r="DO49" s="298"/>
      <c r="DP49" s="298"/>
      <c r="DQ49" s="298"/>
      <c r="DR49" s="298"/>
      <c r="DS49" s="116">
        <f>'US HCV'!U116</f>
        <v>489.69345032002389</v>
      </c>
      <c r="DT49" s="298"/>
      <c r="DU49" s="298"/>
      <c r="DV49" s="298"/>
      <c r="DW49" s="298"/>
      <c r="DX49" s="116">
        <f>'US HCV'!V116</f>
        <v>464.24547175809221</v>
      </c>
      <c r="DY49" s="298"/>
      <c r="DZ49" s="298"/>
      <c r="EA49" s="298"/>
      <c r="EB49" s="298"/>
      <c r="EC49" s="116">
        <f>'US HCV'!W116</f>
        <v>440.21238430908176</v>
      </c>
      <c r="ED49" s="298"/>
      <c r="EE49" s="298"/>
      <c r="EF49" s="298"/>
      <c r="EG49" s="298"/>
      <c r="EH49" s="116">
        <f>'US HCV'!X116</f>
        <v>417.5002967102904</v>
      </c>
      <c r="EI49" s="298"/>
      <c r="EJ49" s="298"/>
      <c r="EK49" s="298"/>
      <c r="EL49" s="298"/>
      <c r="EM49" s="116">
        <f>'US HCV'!Y116</f>
        <v>39.767803684711268</v>
      </c>
      <c r="EN49" s="298"/>
      <c r="EO49" s="298"/>
      <c r="EP49" s="298"/>
      <c r="EQ49" s="298"/>
      <c r="ER49" s="116">
        <f>'US HCV'!Z116</f>
        <v>3.7743470082453827</v>
      </c>
    </row>
    <row r="50" spans="2:148">
      <c r="B50" s="231" t="s">
        <v>922</v>
      </c>
      <c r="D50" s="297"/>
      <c r="E50" s="297"/>
      <c r="F50" s="297"/>
      <c r="G50" s="297"/>
      <c r="I50" s="297"/>
      <c r="J50" s="297"/>
      <c r="K50" s="297"/>
      <c r="L50" s="297"/>
      <c r="N50" s="297"/>
      <c r="O50" s="297"/>
      <c r="P50" s="297"/>
      <c r="Q50" s="297"/>
      <c r="S50" s="297"/>
      <c r="T50" s="297"/>
      <c r="U50" s="297"/>
      <c r="V50" s="297"/>
      <c r="X50" s="297"/>
      <c r="Y50" s="297"/>
      <c r="Z50" s="297"/>
      <c r="AA50" s="297"/>
      <c r="AC50" s="297"/>
      <c r="AD50" s="297"/>
      <c r="AE50" s="297"/>
      <c r="AF50" s="297"/>
      <c r="AH50" s="297"/>
      <c r="AI50" s="297"/>
      <c r="AJ50" s="297"/>
      <c r="AK50" s="297"/>
      <c r="AM50" s="297"/>
      <c r="AN50" s="297"/>
      <c r="AO50" s="297"/>
      <c r="AP50" s="297"/>
      <c r="AR50" s="297"/>
      <c r="AS50" s="297"/>
      <c r="AT50" s="297"/>
      <c r="AU50" s="297"/>
      <c r="AW50" s="297"/>
      <c r="AX50" s="297"/>
      <c r="AY50" s="297"/>
      <c r="AZ50" s="297"/>
      <c r="BB50" s="298"/>
      <c r="BC50" s="298"/>
      <c r="BD50" s="298"/>
      <c r="BE50" s="298"/>
      <c r="BG50" s="298"/>
      <c r="BH50" s="298"/>
      <c r="BI50" s="298"/>
      <c r="BJ50" s="298"/>
      <c r="BL50" s="298"/>
      <c r="BM50" s="665">
        <f>0.439</f>
        <v>0.439</v>
      </c>
      <c r="BN50" s="665">
        <v>19.966000000000001</v>
      </c>
      <c r="BO50" s="665">
        <v>83</v>
      </c>
      <c r="BP50" s="116">
        <f>SUM(BL50:BO50)</f>
        <v>103.405</v>
      </c>
      <c r="BQ50" s="665">
        <v>477</v>
      </c>
      <c r="BR50" s="665">
        <v>623</v>
      </c>
      <c r="BS50" s="665">
        <v>532</v>
      </c>
      <c r="BT50" s="665">
        <v>587</v>
      </c>
      <c r="BU50" s="116">
        <f>SUM(BQ50:BT50)</f>
        <v>2219</v>
      </c>
      <c r="BV50" s="299">
        <v>555</v>
      </c>
      <c r="BW50" s="299">
        <v>512</v>
      </c>
      <c r="BX50" s="299">
        <v>380</v>
      </c>
      <c r="BY50" s="299">
        <v>363</v>
      </c>
      <c r="BZ50" s="696">
        <f>SUM(BV50:BY50)</f>
        <v>1810</v>
      </c>
      <c r="CA50" s="299">
        <v>243</v>
      </c>
      <c r="CB50" s="299">
        <v>230</v>
      </c>
      <c r="CC50" s="299">
        <v>110</v>
      </c>
      <c r="CD50" s="996">
        <v>121</v>
      </c>
      <c r="CE50" s="696">
        <f>SUM(CA50:CD50)</f>
        <v>704</v>
      </c>
      <c r="CF50" s="711">
        <v>110</v>
      </c>
      <c r="CG50" s="711">
        <v>100</v>
      </c>
      <c r="CH50" s="711">
        <v>90</v>
      </c>
      <c r="CI50" s="711">
        <f>CJ50-CF50-CG50-CH50</f>
        <v>87.946724837830345</v>
      </c>
      <c r="CJ50" s="116">
        <f>'US HCV'!N128</f>
        <v>387.94672483783035</v>
      </c>
      <c r="CK50" s="298"/>
      <c r="CL50" s="298"/>
      <c r="CM50" s="298"/>
      <c r="CN50" s="298"/>
      <c r="CO50" s="116">
        <f>'US HCV'!O128</f>
        <v>293.40504229896885</v>
      </c>
      <c r="CP50" s="298"/>
      <c r="CQ50" s="298"/>
      <c r="CR50" s="298"/>
      <c r="CS50" s="298"/>
      <c r="CT50" s="116">
        <f>'US HCV'!P128</f>
        <v>259.51035463597566</v>
      </c>
      <c r="CU50" s="298"/>
      <c r="CV50" s="298"/>
      <c r="CW50" s="298"/>
      <c r="CX50" s="298"/>
      <c r="CY50" s="116">
        <f>'US HCV'!Q128</f>
        <v>229.66667435452931</v>
      </c>
      <c r="CZ50" s="298"/>
      <c r="DA50" s="298"/>
      <c r="DB50" s="298"/>
      <c r="DC50" s="298"/>
      <c r="DD50" s="116">
        <f>'US HCV'!R128</f>
        <v>203.38274446083798</v>
      </c>
      <c r="DE50" s="298"/>
      <c r="DF50" s="298"/>
      <c r="DG50" s="298"/>
      <c r="DH50" s="298"/>
      <c r="DI50" s="116">
        <f>'US HCV'!S128</f>
        <v>180.22724049195861</v>
      </c>
      <c r="DJ50" s="298"/>
      <c r="DK50" s="298"/>
      <c r="DL50" s="298"/>
      <c r="DM50" s="298"/>
      <c r="DN50" s="116">
        <f>'US HCV'!T128</f>
        <v>159.8214409492806</v>
      </c>
      <c r="DO50" s="298"/>
      <c r="DP50" s="298"/>
      <c r="DQ50" s="298"/>
      <c r="DR50" s="298"/>
      <c r="DS50" s="116">
        <f>'US HCV'!U128</f>
        <v>141.83279500308723</v>
      </c>
      <c r="DT50" s="298"/>
      <c r="DU50" s="298"/>
      <c r="DV50" s="298"/>
      <c r="DW50" s="298"/>
      <c r="DX50" s="116">
        <f>'US HCV'!V128</f>
        <v>125.96927758215423</v>
      </c>
      <c r="DY50" s="298"/>
      <c r="DZ50" s="298"/>
      <c r="EA50" s="298"/>
      <c r="EB50" s="298"/>
      <c r="EC50" s="116">
        <f>'US HCV'!W128</f>
        <v>111.97443542191758</v>
      </c>
      <c r="ED50" s="298"/>
      <c r="EE50" s="298"/>
      <c r="EF50" s="298"/>
      <c r="EG50" s="298"/>
      <c r="EH50" s="116">
        <f>'US HCV'!X128</f>
        <v>99.623039455595773</v>
      </c>
      <c r="EI50" s="298"/>
      <c r="EJ50" s="298"/>
      <c r="EK50" s="298"/>
      <c r="EL50" s="298"/>
      <c r="EM50" s="116">
        <f>'US HCV'!Y128</f>
        <v>104.34251119890824</v>
      </c>
      <c r="EN50" s="298"/>
      <c r="EO50" s="298"/>
      <c r="EP50" s="298"/>
      <c r="EQ50" s="298"/>
      <c r="ER50" s="116">
        <f>'US HCV'!Z128</f>
        <v>6.8531216662699386</v>
      </c>
    </row>
    <row r="51" spans="2:148">
      <c r="B51" s="231" t="s">
        <v>81</v>
      </c>
      <c r="D51" s="297"/>
      <c r="E51" s="297"/>
      <c r="F51" s="297"/>
      <c r="G51" s="297"/>
      <c r="I51" s="297"/>
      <c r="J51" s="297"/>
      <c r="K51" s="297"/>
      <c r="L51" s="297"/>
      <c r="N51" s="297"/>
      <c r="O51" s="297"/>
      <c r="P51" s="297"/>
      <c r="Q51" s="297"/>
      <c r="S51" s="297"/>
      <c r="T51" s="297"/>
      <c r="U51" s="297"/>
      <c r="V51" s="297"/>
      <c r="X51" s="297"/>
      <c r="Y51" s="297"/>
      <c r="Z51" s="297"/>
      <c r="AA51" s="297"/>
      <c r="AC51" s="297"/>
      <c r="AD51" s="297"/>
      <c r="AE51" s="297"/>
      <c r="AF51" s="297"/>
      <c r="AH51" s="297"/>
      <c r="AI51" s="297"/>
      <c r="AJ51" s="297"/>
      <c r="AK51" s="297"/>
      <c r="AM51" s="297"/>
      <c r="AN51" s="297"/>
      <c r="AO51" s="297"/>
      <c r="AP51" s="297"/>
      <c r="AR51" s="297"/>
      <c r="AS51" s="297"/>
      <c r="AT51" s="297"/>
      <c r="AU51" s="297"/>
      <c r="AW51" s="297"/>
      <c r="AX51" s="297"/>
      <c r="AY51" s="297"/>
      <c r="AZ51" s="297"/>
      <c r="BB51" s="298"/>
      <c r="BC51" s="298"/>
      <c r="BD51" s="298"/>
      <c r="BE51" s="298"/>
      <c r="BG51" s="298"/>
      <c r="BH51" s="298"/>
      <c r="BI51" s="298"/>
      <c r="BJ51" s="298"/>
      <c r="BL51" s="298"/>
      <c r="BM51" s="665">
        <v>0</v>
      </c>
      <c r="BN51" s="665">
        <v>0</v>
      </c>
      <c r="BO51" s="665">
        <v>23</v>
      </c>
      <c r="BP51" s="116">
        <f>SUM(BL51:BO51)</f>
        <v>23</v>
      </c>
      <c r="BQ51" s="665">
        <v>86</v>
      </c>
      <c r="BR51" s="665">
        <v>159</v>
      </c>
      <c r="BS51" s="665">
        <v>259</v>
      </c>
      <c r="BT51" s="665">
        <v>1051</v>
      </c>
      <c r="BU51" s="116">
        <f>SUM(BQ51:BT51)</f>
        <v>1555</v>
      </c>
      <c r="BV51" s="299">
        <f>887+168</f>
        <v>1055</v>
      </c>
      <c r="BW51" s="299">
        <f>448+130</f>
        <v>578</v>
      </c>
      <c r="BX51" s="299">
        <f>309+87</f>
        <v>396</v>
      </c>
      <c r="BY51" s="299">
        <f>195+106</f>
        <v>301</v>
      </c>
      <c r="BZ51" s="696">
        <f>SUM(BV51:BY51)</f>
        <v>2330</v>
      </c>
      <c r="CA51" s="299">
        <v>202</v>
      </c>
      <c r="CB51" s="299">
        <v>168</v>
      </c>
      <c r="CC51" s="299">
        <v>145</v>
      </c>
      <c r="CD51" s="996">
        <v>98</v>
      </c>
      <c r="CE51" s="696">
        <f>SUM(CA51:CD51)</f>
        <v>613</v>
      </c>
      <c r="CF51" s="711">
        <f>(CA51/CE51)*CJ51</f>
        <v>97.984953304565892</v>
      </c>
      <c r="CG51" s="711">
        <f>(CB51/CE51)*CJ51</f>
        <v>81.492436411718174</v>
      </c>
      <c r="CH51" s="711">
        <f>(CC51/CE51)*CJ51</f>
        <v>70.33573380773295</v>
      </c>
      <c r="CI51" s="711">
        <f>(CD51/CE51)*CJ51</f>
        <v>47.537254573502267</v>
      </c>
      <c r="CJ51" s="116">
        <f>'US HCV'!N133+'US HCV'!N138</f>
        <v>297.3503780975193</v>
      </c>
      <c r="CK51" s="298"/>
      <c r="CL51" s="298"/>
      <c r="CM51" s="298"/>
      <c r="CN51" s="298"/>
      <c r="CO51" s="116">
        <f>'US HCV'!O133+'US HCV'!O138</f>
        <v>308.37722682889159</v>
      </c>
      <c r="CP51" s="298"/>
      <c r="CQ51" s="298"/>
      <c r="CR51" s="298"/>
      <c r="CS51" s="298"/>
      <c r="CT51" s="116">
        <f>'US HCV'!P133+'US HCV'!P138</f>
        <v>263.9572149053663</v>
      </c>
      <c r="CU51" s="298"/>
      <c r="CV51" s="298"/>
      <c r="CW51" s="298"/>
      <c r="CX51" s="298"/>
      <c r="CY51" s="116">
        <f>'US HCV'!Q133+'US HCV'!Q138</f>
        <v>242.84121945809915</v>
      </c>
      <c r="CZ51" s="298"/>
      <c r="DA51" s="298"/>
      <c r="DB51" s="298"/>
      <c r="DC51" s="298"/>
      <c r="DD51" s="116">
        <f>'US HCV'!R133+'US HCV'!R138</f>
        <v>214.02594535698745</v>
      </c>
      <c r="DE51" s="298"/>
      <c r="DF51" s="298"/>
      <c r="DG51" s="298"/>
      <c r="DH51" s="298"/>
      <c r="DI51" s="116">
        <f>'US HCV'!S133+'US HCV'!S138</f>
        <v>197.26892136881361</v>
      </c>
      <c r="DJ51" s="298"/>
      <c r="DK51" s="298"/>
      <c r="DL51" s="298"/>
      <c r="DM51" s="298"/>
      <c r="DN51" s="116">
        <f>'US HCV'!T133+'US HCV'!T138</f>
        <v>173.95081537156869</v>
      </c>
      <c r="DO51" s="298"/>
      <c r="DP51" s="298"/>
      <c r="DQ51" s="298"/>
      <c r="DR51" s="298"/>
      <c r="DS51" s="116">
        <f>'US HCV'!U133+'US HCV'!U138</f>
        <v>160.62539490057407</v>
      </c>
      <c r="DT51" s="298"/>
      <c r="DU51" s="298"/>
      <c r="DV51" s="298"/>
      <c r="DW51" s="298"/>
      <c r="DX51" s="116">
        <f>'US HCV'!V133+'US HCV'!V138</f>
        <v>141.71788779833457</v>
      </c>
      <c r="DY51" s="298"/>
      <c r="DZ51" s="298"/>
      <c r="EA51" s="298"/>
      <c r="EB51" s="298"/>
      <c r="EC51" s="116">
        <f>'US HCV'!W133+'US HCV'!W138</f>
        <v>131.09828613713802</v>
      </c>
      <c r="ED51" s="298"/>
      <c r="EE51" s="298"/>
      <c r="EF51" s="298"/>
      <c r="EG51" s="298"/>
      <c r="EH51" s="116">
        <f>'US HCV'!X133+'US HCV'!X138</f>
        <v>115.73634391923076</v>
      </c>
      <c r="EI51" s="298"/>
      <c r="EJ51" s="298"/>
      <c r="EK51" s="298"/>
      <c r="EL51" s="298"/>
      <c r="EM51" s="116">
        <f>'US HCV'!Y133+'US HCV'!Y138</f>
        <v>111.1536265501986</v>
      </c>
      <c r="EN51" s="298"/>
      <c r="EO51" s="298"/>
      <c r="EP51" s="298"/>
      <c r="EQ51" s="298"/>
      <c r="ER51" s="116">
        <f>'US HCV'!Z133+'US HCV'!Z138</f>
        <v>7.856700706246305</v>
      </c>
    </row>
    <row r="52" spans="2:148">
      <c r="B52" s="231"/>
      <c r="D52" s="297"/>
      <c r="E52" s="297"/>
      <c r="F52" s="297"/>
      <c r="G52" s="297"/>
      <c r="I52" s="297"/>
      <c r="J52" s="297"/>
      <c r="K52" s="297"/>
      <c r="L52" s="297"/>
      <c r="N52" s="297"/>
      <c r="O52" s="297"/>
      <c r="P52" s="297"/>
      <c r="Q52" s="297"/>
      <c r="S52" s="297"/>
      <c r="T52" s="297"/>
      <c r="U52" s="297"/>
      <c r="V52" s="297"/>
      <c r="X52" s="297"/>
      <c r="Y52" s="297"/>
      <c r="Z52" s="297"/>
      <c r="AA52" s="297"/>
      <c r="AC52" s="297"/>
      <c r="AD52" s="297"/>
      <c r="AE52" s="297"/>
      <c r="AF52" s="297"/>
      <c r="AH52" s="297"/>
      <c r="AI52" s="297"/>
      <c r="AJ52" s="297"/>
      <c r="AK52" s="297"/>
      <c r="AM52" s="297"/>
      <c r="AN52" s="297"/>
      <c r="AO52" s="297"/>
      <c r="AP52" s="297"/>
      <c r="AR52" s="297"/>
      <c r="AS52" s="297"/>
      <c r="AT52" s="297"/>
      <c r="AU52" s="297"/>
      <c r="AW52" s="297"/>
      <c r="AX52" s="297"/>
      <c r="AY52" s="297"/>
      <c r="AZ52" s="297"/>
      <c r="BB52" s="298"/>
      <c r="BC52" s="298"/>
      <c r="BD52" s="298"/>
      <c r="BE52" s="298"/>
      <c r="BG52" s="298"/>
      <c r="BH52" s="298"/>
      <c r="BI52" s="298"/>
      <c r="BJ52" s="298"/>
      <c r="BL52" s="298"/>
      <c r="BM52" s="309"/>
      <c r="BN52" s="309"/>
      <c r="BO52" s="309"/>
      <c r="BQ52" s="309"/>
      <c r="BR52" s="309"/>
      <c r="BS52" s="309"/>
      <c r="BT52" s="309"/>
      <c r="BU52" s="657"/>
      <c r="BV52" s="298"/>
      <c r="BW52" s="298"/>
      <c r="BX52" s="298"/>
      <c r="BY52" s="298"/>
      <c r="CA52" s="298"/>
      <c r="CB52" s="298"/>
      <c r="CC52" s="298"/>
      <c r="CD52" s="298"/>
      <c r="CF52" s="298"/>
      <c r="CG52" s="298"/>
      <c r="CH52" s="298"/>
      <c r="CI52" s="298"/>
      <c r="CK52" s="298"/>
      <c r="CL52" s="298"/>
      <c r="CM52" s="298"/>
      <c r="CN52" s="298"/>
      <c r="CP52" s="298"/>
      <c r="CQ52" s="298"/>
      <c r="CR52" s="298"/>
      <c r="CS52" s="298"/>
      <c r="CU52" s="298"/>
      <c r="CV52" s="298"/>
      <c r="CW52" s="298"/>
      <c r="CX52" s="298"/>
      <c r="CZ52" s="298"/>
      <c r="DA52" s="298"/>
      <c r="DB52" s="298"/>
      <c r="DC52" s="298"/>
      <c r="DE52" s="298"/>
      <c r="DF52" s="298"/>
      <c r="DG52" s="298"/>
      <c r="DH52" s="298"/>
      <c r="DJ52" s="298"/>
      <c r="DK52" s="298"/>
      <c r="DL52" s="298"/>
      <c r="DM52" s="298"/>
      <c r="DO52" s="298"/>
      <c r="DP52" s="298"/>
      <c r="DQ52" s="298"/>
      <c r="DR52" s="298"/>
      <c r="DT52" s="298"/>
      <c r="DU52" s="298"/>
      <c r="DV52" s="298"/>
      <c r="DW52" s="298"/>
      <c r="DY52" s="298"/>
      <c r="DZ52" s="298"/>
      <c r="EA52" s="298"/>
      <c r="EB52" s="298"/>
      <c r="ED52" s="298"/>
      <c r="EE52" s="298"/>
      <c r="EF52" s="298"/>
      <c r="EG52" s="298"/>
      <c r="EI52" s="298"/>
      <c r="EJ52" s="298"/>
      <c r="EK52" s="298"/>
      <c r="EL52" s="298"/>
      <c r="EN52" s="298"/>
      <c r="EO52" s="298"/>
      <c r="EP52" s="298"/>
      <c r="EQ52" s="298"/>
    </row>
    <row r="53" spans="2:148">
      <c r="B53" s="230" t="s">
        <v>856</v>
      </c>
      <c r="D53" s="297"/>
      <c r="E53" s="297"/>
      <c r="F53" s="297"/>
      <c r="G53" s="297"/>
      <c r="I53" s="297"/>
      <c r="J53" s="297"/>
      <c r="K53" s="297"/>
      <c r="L53" s="297"/>
      <c r="N53" s="297"/>
      <c r="O53" s="297"/>
      <c r="P53" s="297"/>
      <c r="Q53" s="297"/>
      <c r="S53" s="297"/>
      <c r="T53" s="297"/>
      <c r="U53" s="297"/>
      <c r="V53" s="297"/>
      <c r="X53" s="297"/>
      <c r="Y53" s="297"/>
      <c r="Z53" s="297"/>
      <c r="AA53" s="297"/>
      <c r="AC53" s="297"/>
      <c r="AD53" s="297"/>
      <c r="AE53" s="297"/>
      <c r="AF53" s="297"/>
      <c r="AH53" s="297"/>
      <c r="AI53" s="297"/>
      <c r="AJ53" s="297"/>
      <c r="AK53" s="297"/>
      <c r="AM53" s="297"/>
      <c r="AN53" s="297"/>
      <c r="AO53" s="297"/>
      <c r="AP53" s="297"/>
      <c r="AQ53" s="230"/>
      <c r="AR53" s="297"/>
      <c r="AS53" s="297"/>
      <c r="AT53" s="297"/>
      <c r="AU53" s="297"/>
      <c r="AV53" s="230"/>
      <c r="AW53" s="352"/>
      <c r="AX53" s="352"/>
      <c r="AY53" s="352"/>
      <c r="AZ53" s="352"/>
      <c r="BA53" s="230"/>
      <c r="BB53" s="353"/>
      <c r="BC53" s="353"/>
      <c r="BD53" s="353"/>
      <c r="BE53" s="353"/>
      <c r="BF53" s="230"/>
      <c r="BG53" s="353"/>
      <c r="BH53" s="353"/>
      <c r="BI53" s="353"/>
      <c r="BJ53" s="353"/>
      <c r="BK53" s="230"/>
      <c r="BL53" s="353"/>
      <c r="BM53" s="353"/>
      <c r="BN53" s="353"/>
      <c r="BO53" s="353"/>
      <c r="BP53" s="230"/>
      <c r="BQ53" s="353"/>
      <c r="BR53" s="353"/>
      <c r="BS53" s="353"/>
      <c r="BT53" s="353"/>
      <c r="BU53" s="230"/>
      <c r="BV53" s="353"/>
      <c r="BW53" s="353">
        <f t="shared" ref="BW53:CT53" si="35">SUM(BW54:BW56)</f>
        <v>64</v>
      </c>
      <c r="BX53" s="353">
        <f t="shared" si="35"/>
        <v>640</v>
      </c>
      <c r="BY53" s="353">
        <f t="shared" si="35"/>
        <v>1048</v>
      </c>
      <c r="BZ53" s="230">
        <f t="shared" si="35"/>
        <v>1752</v>
      </c>
      <c r="CA53" s="353">
        <f t="shared" si="35"/>
        <v>892</v>
      </c>
      <c r="CB53" s="353">
        <f t="shared" si="35"/>
        <v>1171</v>
      </c>
      <c r="CC53" s="353">
        <f t="shared" si="35"/>
        <v>882</v>
      </c>
      <c r="CD53" s="353">
        <f t="shared" si="35"/>
        <v>565</v>
      </c>
      <c r="CE53" s="230">
        <f t="shared" si="35"/>
        <v>3510</v>
      </c>
      <c r="CF53" s="353">
        <f t="shared" si="35"/>
        <v>410</v>
      </c>
      <c r="CG53" s="353">
        <f t="shared" si="35"/>
        <v>371.04405859763835</v>
      </c>
      <c r="CH53" s="353">
        <f t="shared" si="35"/>
        <v>345.75166870204265</v>
      </c>
      <c r="CI53" s="353">
        <f t="shared" si="35"/>
        <v>330.11528737952153</v>
      </c>
      <c r="CJ53" s="230">
        <f t="shared" si="35"/>
        <v>1456.9110146792025</v>
      </c>
      <c r="CK53" s="353">
        <f t="shared" si="35"/>
        <v>0</v>
      </c>
      <c r="CL53" s="353">
        <f t="shared" si="35"/>
        <v>0</v>
      </c>
      <c r="CM53" s="353">
        <f t="shared" si="35"/>
        <v>0</v>
      </c>
      <c r="CN53" s="353">
        <f t="shared" si="35"/>
        <v>0</v>
      </c>
      <c r="CO53" s="230">
        <f t="shared" si="35"/>
        <v>1235.0790487162412</v>
      </c>
      <c r="CP53" s="353">
        <f t="shared" si="35"/>
        <v>0</v>
      </c>
      <c r="CQ53" s="353">
        <f t="shared" si="35"/>
        <v>0</v>
      </c>
      <c r="CR53" s="353">
        <f t="shared" si="35"/>
        <v>0</v>
      </c>
      <c r="CS53" s="353">
        <f t="shared" si="35"/>
        <v>0</v>
      </c>
      <c r="CT53" s="230">
        <f t="shared" si="35"/>
        <v>1100.0547350082645</v>
      </c>
      <c r="CU53" s="353">
        <f>SUM(CU54:CU56)</f>
        <v>0</v>
      </c>
      <c r="CV53" s="353">
        <f>SUM(CV54:CV56)</f>
        <v>0</v>
      </c>
      <c r="CW53" s="353">
        <f>SUM(CW54:CW56)</f>
        <v>0</v>
      </c>
      <c r="CX53" s="353">
        <f>SUM(CX54:CX56)</f>
        <v>0</v>
      </c>
      <c r="CY53" s="230">
        <f>SUM(CY54:CY56)</f>
        <v>1007.2071603575298</v>
      </c>
      <c r="CZ53" s="353">
        <f t="shared" ref="CZ53:ER53" si="36">SUM(CZ54:CZ56)</f>
        <v>0</v>
      </c>
      <c r="DA53" s="353">
        <f t="shared" si="36"/>
        <v>0</v>
      </c>
      <c r="DB53" s="353">
        <f t="shared" si="36"/>
        <v>0</v>
      </c>
      <c r="DC53" s="353">
        <f t="shared" si="36"/>
        <v>0</v>
      </c>
      <c r="DD53" s="230">
        <f t="shared" si="36"/>
        <v>921.62915798902077</v>
      </c>
      <c r="DE53" s="353">
        <f t="shared" si="36"/>
        <v>0</v>
      </c>
      <c r="DF53" s="353">
        <f t="shared" si="36"/>
        <v>0</v>
      </c>
      <c r="DG53" s="353">
        <f t="shared" si="36"/>
        <v>0</v>
      </c>
      <c r="DH53" s="353">
        <f t="shared" si="36"/>
        <v>0</v>
      </c>
      <c r="DI53" s="230">
        <f t="shared" si="36"/>
        <v>846.5399833621633</v>
      </c>
      <c r="DJ53" s="353">
        <f t="shared" si="36"/>
        <v>0</v>
      </c>
      <c r="DK53" s="353">
        <f t="shared" si="36"/>
        <v>0</v>
      </c>
      <c r="DL53" s="353">
        <f t="shared" si="36"/>
        <v>0</v>
      </c>
      <c r="DM53" s="353">
        <f t="shared" si="36"/>
        <v>0</v>
      </c>
      <c r="DN53" s="230">
        <f t="shared" si="36"/>
        <v>777.0595567473714</v>
      </c>
      <c r="DO53" s="353">
        <f t="shared" si="36"/>
        <v>0</v>
      </c>
      <c r="DP53" s="353">
        <f t="shared" si="36"/>
        <v>0</v>
      </c>
      <c r="DQ53" s="353">
        <f t="shared" si="36"/>
        <v>0</v>
      </c>
      <c r="DR53" s="353">
        <f t="shared" si="36"/>
        <v>0</v>
      </c>
      <c r="DS53" s="230">
        <f t="shared" si="36"/>
        <v>715.95300732628937</v>
      </c>
      <c r="DT53" s="353">
        <f t="shared" si="36"/>
        <v>0</v>
      </c>
      <c r="DU53" s="353">
        <f t="shared" si="36"/>
        <v>0</v>
      </c>
      <c r="DV53" s="353">
        <f t="shared" si="36"/>
        <v>0</v>
      </c>
      <c r="DW53" s="353">
        <f t="shared" si="36"/>
        <v>0</v>
      </c>
      <c r="DX53" s="230">
        <f t="shared" si="36"/>
        <v>659.19499259776558</v>
      </c>
      <c r="DY53" s="353">
        <f t="shared" si="36"/>
        <v>0</v>
      </c>
      <c r="DZ53" s="353">
        <f t="shared" si="36"/>
        <v>0</v>
      </c>
      <c r="EA53" s="353">
        <f t="shared" si="36"/>
        <v>0</v>
      </c>
      <c r="EB53" s="353">
        <f t="shared" si="36"/>
        <v>0</v>
      </c>
      <c r="EC53" s="230">
        <f t="shared" si="36"/>
        <v>609.15198592555998</v>
      </c>
      <c r="ED53" s="353">
        <f t="shared" si="36"/>
        <v>0</v>
      </c>
      <c r="EE53" s="353">
        <f t="shared" si="36"/>
        <v>0</v>
      </c>
      <c r="EF53" s="353">
        <f t="shared" si="36"/>
        <v>0</v>
      </c>
      <c r="EG53" s="353">
        <f t="shared" si="36"/>
        <v>0</v>
      </c>
      <c r="EH53" s="230">
        <f t="shared" si="36"/>
        <v>562.49797586283273</v>
      </c>
      <c r="EI53" s="353">
        <f t="shared" si="36"/>
        <v>0</v>
      </c>
      <c r="EJ53" s="353">
        <f t="shared" si="36"/>
        <v>0</v>
      </c>
      <c r="EK53" s="353">
        <f t="shared" si="36"/>
        <v>0</v>
      </c>
      <c r="EL53" s="353">
        <f t="shared" si="36"/>
        <v>0</v>
      </c>
      <c r="EM53" s="230">
        <f t="shared" si="36"/>
        <v>268.12948268416221</v>
      </c>
      <c r="EN53" s="353">
        <f t="shared" si="36"/>
        <v>0</v>
      </c>
      <c r="EO53" s="353">
        <f t="shared" si="36"/>
        <v>0</v>
      </c>
      <c r="EP53" s="353">
        <f t="shared" si="36"/>
        <v>0</v>
      </c>
      <c r="EQ53" s="353">
        <f t="shared" si="36"/>
        <v>0</v>
      </c>
      <c r="ER53" s="230">
        <f t="shared" si="36"/>
        <v>18.662127476663528</v>
      </c>
    </row>
    <row r="54" spans="2:148">
      <c r="B54" s="231" t="s">
        <v>908</v>
      </c>
      <c r="D54" s="297"/>
      <c r="E54" s="297"/>
      <c r="F54" s="297"/>
      <c r="G54" s="297"/>
      <c r="I54" s="297"/>
      <c r="J54" s="297"/>
      <c r="K54" s="297"/>
      <c r="L54" s="297"/>
      <c r="N54" s="297"/>
      <c r="O54" s="297"/>
      <c r="P54" s="297"/>
      <c r="Q54" s="297"/>
      <c r="S54" s="297"/>
      <c r="T54" s="297"/>
      <c r="U54" s="297"/>
      <c r="V54" s="297"/>
      <c r="X54" s="297"/>
      <c r="Y54" s="297"/>
      <c r="Z54" s="297"/>
      <c r="AA54" s="297"/>
      <c r="AC54" s="297"/>
      <c r="AD54" s="297"/>
      <c r="AE54" s="297"/>
      <c r="AF54" s="297"/>
      <c r="AH54" s="297"/>
      <c r="AI54" s="297"/>
      <c r="AJ54" s="297"/>
      <c r="AK54" s="297"/>
      <c r="AM54" s="297"/>
      <c r="AN54" s="297"/>
      <c r="AO54" s="297"/>
      <c r="AP54" s="297"/>
      <c r="AR54" s="297"/>
      <c r="AS54" s="297"/>
      <c r="AT54" s="297"/>
      <c r="AU54" s="297"/>
      <c r="AW54" s="297"/>
      <c r="AX54" s="297"/>
      <c r="AY54" s="297"/>
      <c r="AZ54" s="297"/>
      <c r="BB54" s="298"/>
      <c r="BC54" s="298"/>
      <c r="BD54" s="298"/>
      <c r="BE54" s="298"/>
      <c r="BG54" s="298"/>
      <c r="BH54" s="298"/>
      <c r="BI54" s="298"/>
      <c r="BJ54" s="299"/>
      <c r="BL54" s="299"/>
      <c r="BM54" s="299"/>
      <c r="BN54" s="299"/>
      <c r="BO54" s="299"/>
      <c r="BQ54" s="299"/>
      <c r="BR54" s="299"/>
      <c r="BS54" s="299"/>
      <c r="BT54" s="299"/>
      <c r="BV54" s="299"/>
      <c r="BW54" s="299">
        <v>64</v>
      </c>
      <c r="BX54" s="299">
        <v>593</v>
      </c>
      <c r="BY54" s="299">
        <v>934</v>
      </c>
      <c r="BZ54" s="696">
        <f>SUM(BV54:BY54)</f>
        <v>1591</v>
      </c>
      <c r="CA54" s="299">
        <v>735</v>
      </c>
      <c r="CB54" s="299">
        <v>864</v>
      </c>
      <c r="CC54" s="299">
        <v>543</v>
      </c>
      <c r="CD54" s="996">
        <v>262</v>
      </c>
      <c r="CE54" s="696">
        <f>SUM(CA54:CD54)</f>
        <v>2404</v>
      </c>
      <c r="CF54" s="299">
        <v>180</v>
      </c>
      <c r="CG54" s="711">
        <v>170</v>
      </c>
      <c r="CH54" s="711">
        <v>160</v>
      </c>
      <c r="CI54" s="711">
        <f>CJ54-CF54-CG54-CH54</f>
        <v>187.66001984190962</v>
      </c>
      <c r="CJ54" s="116">
        <f>'US HCV'!N122</f>
        <v>697.66001984190962</v>
      </c>
      <c r="CK54" s="298"/>
      <c r="CL54" s="298"/>
      <c r="CM54" s="298"/>
      <c r="CN54" s="298"/>
      <c r="CO54" s="116">
        <f>'US HCV'!O122</f>
        <v>571.70937828714921</v>
      </c>
      <c r="CP54" s="298"/>
      <c r="CQ54" s="298"/>
      <c r="CR54" s="298"/>
      <c r="CS54" s="298"/>
      <c r="CT54" s="116">
        <f>'US HCV'!P122</f>
        <v>515.20353844816407</v>
      </c>
      <c r="CU54" s="298"/>
      <c r="CV54" s="298"/>
      <c r="CW54" s="298"/>
      <c r="CX54" s="298"/>
      <c r="CY54" s="116">
        <f>'US HCV'!Q122</f>
        <v>487.63402625193095</v>
      </c>
      <c r="CZ54" s="298"/>
      <c r="DA54" s="298"/>
      <c r="DB54" s="298"/>
      <c r="DC54" s="298"/>
      <c r="DD54" s="116">
        <f>'US HCV'!R122</f>
        <v>461.73729704581746</v>
      </c>
      <c r="DE54" s="298"/>
      <c r="DF54" s="298"/>
      <c r="DG54" s="298"/>
      <c r="DH54" s="298"/>
      <c r="DI54" s="116">
        <f>'US HCV'!S122</f>
        <v>437.37690349593038</v>
      </c>
      <c r="DJ54" s="298"/>
      <c r="DK54" s="298"/>
      <c r="DL54" s="298"/>
      <c r="DM54" s="298"/>
      <c r="DN54" s="116">
        <f>'US HCV'!T122</f>
        <v>414.4335915209997</v>
      </c>
      <c r="DO54" s="298"/>
      <c r="DP54" s="298"/>
      <c r="DQ54" s="298"/>
      <c r="DR54" s="298"/>
      <c r="DS54" s="116">
        <f>'US HCV'!U122</f>
        <v>392.80223287702449</v>
      </c>
      <c r="DT54" s="298"/>
      <c r="DU54" s="298"/>
      <c r="DV54" s="298"/>
      <c r="DW54" s="298"/>
      <c r="DX54" s="116">
        <f>'US HCV'!V122</f>
        <v>372.38941584873703</v>
      </c>
      <c r="DY54" s="298"/>
      <c r="DZ54" s="298"/>
      <c r="EA54" s="298"/>
      <c r="EB54" s="298"/>
      <c r="EC54" s="116">
        <f>'US HCV'!W122</f>
        <v>353.11153821584094</v>
      </c>
      <c r="ED54" s="298"/>
      <c r="EE54" s="298"/>
      <c r="EF54" s="298"/>
      <c r="EG54" s="298"/>
      <c r="EH54" s="116">
        <f>'US HCV'!X122</f>
        <v>334.89328613124894</v>
      </c>
      <c r="EI54" s="298"/>
      <c r="EJ54" s="298"/>
      <c r="EK54" s="298"/>
      <c r="EL54" s="298"/>
      <c r="EM54" s="116">
        <f>'US HCV'!Y122</f>
        <v>31.899307768484974</v>
      </c>
      <c r="EN54" s="298"/>
      <c r="EO54" s="298"/>
      <c r="EP54" s="298"/>
      <c r="EQ54" s="298"/>
      <c r="ER54" s="116">
        <f>'US HCV'!Z122</f>
        <v>3.0275510761326596</v>
      </c>
    </row>
    <row r="55" spans="2:148">
      <c r="B55" s="231" t="s">
        <v>909</v>
      </c>
      <c r="D55" s="297"/>
      <c r="E55" s="297"/>
      <c r="F55" s="297"/>
      <c r="G55" s="297"/>
      <c r="I55" s="297"/>
      <c r="J55" s="297"/>
      <c r="K55" s="297"/>
      <c r="L55" s="297"/>
      <c r="N55" s="297"/>
      <c r="O55" s="297"/>
      <c r="P55" s="297"/>
      <c r="Q55" s="297"/>
      <c r="S55" s="297"/>
      <c r="T55" s="297"/>
      <c r="U55" s="297"/>
      <c r="V55" s="297"/>
      <c r="X55" s="297"/>
      <c r="Y55" s="297"/>
      <c r="Z55" s="297"/>
      <c r="AA55" s="297"/>
      <c r="AC55" s="297"/>
      <c r="AD55" s="297"/>
      <c r="AE55" s="297"/>
      <c r="AF55" s="297"/>
      <c r="AH55" s="297"/>
      <c r="AI55" s="297"/>
      <c r="AJ55" s="297"/>
      <c r="AK55" s="297"/>
      <c r="AM55" s="297"/>
      <c r="AN55" s="297"/>
      <c r="AO55" s="297"/>
      <c r="AP55" s="297"/>
      <c r="AR55" s="297"/>
      <c r="AS55" s="297"/>
      <c r="AT55" s="297"/>
      <c r="AU55" s="297"/>
      <c r="AW55" s="297"/>
      <c r="AX55" s="297"/>
      <c r="AY55" s="297"/>
      <c r="AZ55" s="297"/>
      <c r="BB55" s="298"/>
      <c r="BC55" s="298"/>
      <c r="BD55" s="298"/>
      <c r="BE55" s="298"/>
      <c r="BG55" s="298"/>
      <c r="BH55" s="298"/>
      <c r="BI55" s="298"/>
      <c r="BJ55" s="299"/>
      <c r="BL55" s="299"/>
      <c r="BM55" s="299"/>
      <c r="BN55" s="299"/>
      <c r="BO55" s="299"/>
      <c r="BQ55" s="299"/>
      <c r="BR55" s="299"/>
      <c r="BS55" s="299"/>
      <c r="BT55" s="299"/>
      <c r="BV55" s="299"/>
      <c r="BW55" s="298"/>
      <c r="BX55" s="299">
        <v>40</v>
      </c>
      <c r="BY55" s="299">
        <v>101</v>
      </c>
      <c r="BZ55" s="696">
        <f>SUM(BV55:BY55)</f>
        <v>141</v>
      </c>
      <c r="CA55" s="299">
        <v>138</v>
      </c>
      <c r="CB55" s="299">
        <v>248</v>
      </c>
      <c r="CC55" s="299">
        <v>263</v>
      </c>
      <c r="CD55" s="996">
        <v>220</v>
      </c>
      <c r="CE55" s="696">
        <f>SUM(CA55:CD55)</f>
        <v>869</v>
      </c>
      <c r="CF55" s="711">
        <v>180</v>
      </c>
      <c r="CG55" s="711">
        <v>150</v>
      </c>
      <c r="CH55" s="711">
        <v>120</v>
      </c>
      <c r="CI55" s="711">
        <f>CJ55-CF55-CG55-CH55</f>
        <v>104.20960691118626</v>
      </c>
      <c r="CJ55" s="116">
        <f>'US HCV'!N130</f>
        <v>554.20960691118626</v>
      </c>
      <c r="CK55" s="298"/>
      <c r="CL55" s="298"/>
      <c r="CM55" s="298"/>
      <c r="CN55" s="298"/>
      <c r="CO55" s="116">
        <f>'US HCV'!O130</f>
        <v>419.15006042709842</v>
      </c>
      <c r="CP55" s="298"/>
      <c r="CQ55" s="298"/>
      <c r="CR55" s="298"/>
      <c r="CS55" s="298"/>
      <c r="CT55" s="116">
        <f>'US HCV'!P130</f>
        <v>370.7290780513938</v>
      </c>
      <c r="CU55" s="298"/>
      <c r="CV55" s="298"/>
      <c r="CW55" s="298"/>
      <c r="CX55" s="298"/>
      <c r="CY55" s="116">
        <f>'US HCV'!Q130</f>
        <v>328.09524907789904</v>
      </c>
      <c r="CZ55" s="298"/>
      <c r="DA55" s="298"/>
      <c r="DB55" s="298"/>
      <c r="DC55" s="298"/>
      <c r="DD55" s="116">
        <f>'US HCV'!R130</f>
        <v>290.54677780119715</v>
      </c>
      <c r="DE55" s="298"/>
      <c r="DF55" s="298"/>
      <c r="DG55" s="298"/>
      <c r="DH55" s="298"/>
      <c r="DI55" s="116">
        <f>'US HCV'!S130</f>
        <v>257.46748641708376</v>
      </c>
      <c r="DJ55" s="298"/>
      <c r="DK55" s="298"/>
      <c r="DL55" s="298"/>
      <c r="DM55" s="298"/>
      <c r="DN55" s="116">
        <f>'US HCV'!T130</f>
        <v>228.31634421325802</v>
      </c>
      <c r="DO55" s="298"/>
      <c r="DP55" s="298"/>
      <c r="DQ55" s="298"/>
      <c r="DR55" s="298"/>
      <c r="DS55" s="116">
        <f>'US HCV'!U130</f>
        <v>202.61827857583893</v>
      </c>
      <c r="DT55" s="298"/>
      <c r="DU55" s="298"/>
      <c r="DV55" s="298"/>
      <c r="DW55" s="298"/>
      <c r="DX55" s="116">
        <f>'US HCV'!V130</f>
        <v>179.95611083164891</v>
      </c>
      <c r="DY55" s="298"/>
      <c r="DZ55" s="298"/>
      <c r="EA55" s="298"/>
      <c r="EB55" s="298"/>
      <c r="EC55" s="116">
        <f>'US HCV'!W130</f>
        <v>159.96347917416799</v>
      </c>
      <c r="ED55" s="298"/>
      <c r="EE55" s="298"/>
      <c r="EF55" s="298"/>
      <c r="EG55" s="298"/>
      <c r="EH55" s="116">
        <f>'US HCV'!X130</f>
        <v>142.31862779370826</v>
      </c>
      <c r="EI55" s="298"/>
      <c r="EJ55" s="298"/>
      <c r="EK55" s="298"/>
      <c r="EL55" s="298"/>
      <c r="EM55" s="116">
        <f>'US HCV'!Y130</f>
        <v>149.06073028415463</v>
      </c>
      <c r="EN55" s="298"/>
      <c r="EO55" s="298"/>
      <c r="EP55" s="298"/>
      <c r="EQ55" s="298"/>
      <c r="ER55" s="116">
        <f>'US HCV'!Z130</f>
        <v>9.7901738089570554</v>
      </c>
    </row>
    <row r="56" spans="2:148">
      <c r="B56" s="231" t="s">
        <v>81</v>
      </c>
      <c r="D56" s="297"/>
      <c r="E56" s="297"/>
      <c r="F56" s="297"/>
      <c r="G56" s="297"/>
      <c r="I56" s="297"/>
      <c r="J56" s="297"/>
      <c r="K56" s="297"/>
      <c r="L56" s="297"/>
      <c r="N56" s="297"/>
      <c r="O56" s="297"/>
      <c r="P56" s="297"/>
      <c r="Q56" s="297"/>
      <c r="S56" s="297"/>
      <c r="T56" s="297"/>
      <c r="U56" s="297"/>
      <c r="V56" s="297"/>
      <c r="X56" s="297"/>
      <c r="Y56" s="297"/>
      <c r="Z56" s="297"/>
      <c r="AA56" s="297"/>
      <c r="AC56" s="297"/>
      <c r="AD56" s="297"/>
      <c r="AE56" s="297"/>
      <c r="AF56" s="297"/>
      <c r="AH56" s="297"/>
      <c r="AI56" s="297"/>
      <c r="AJ56" s="297"/>
      <c r="AK56" s="297"/>
      <c r="AM56" s="297"/>
      <c r="AN56" s="297"/>
      <c r="AO56" s="297"/>
      <c r="AP56" s="297"/>
      <c r="AR56" s="297"/>
      <c r="AS56" s="297"/>
      <c r="AT56" s="297"/>
      <c r="AU56" s="297"/>
      <c r="AW56" s="297"/>
      <c r="AX56" s="297"/>
      <c r="AY56" s="297"/>
      <c r="AZ56" s="297"/>
      <c r="BB56" s="298"/>
      <c r="BC56" s="298"/>
      <c r="BD56" s="298"/>
      <c r="BE56" s="298"/>
      <c r="BG56" s="298"/>
      <c r="BH56" s="298"/>
      <c r="BI56" s="298"/>
      <c r="BJ56" s="299"/>
      <c r="BL56" s="299"/>
      <c r="BM56" s="299"/>
      <c r="BN56" s="299"/>
      <c r="BO56" s="299"/>
      <c r="BQ56" s="299"/>
      <c r="BR56" s="299"/>
      <c r="BS56" s="299"/>
      <c r="BT56" s="299"/>
      <c r="BV56" s="299"/>
      <c r="BW56" s="298"/>
      <c r="BX56" s="299">
        <v>7</v>
      </c>
      <c r="BY56" s="299">
        <v>13</v>
      </c>
      <c r="BZ56" s="696">
        <f>SUM(BV56:BY56)</f>
        <v>20</v>
      </c>
      <c r="CA56" s="299">
        <v>19</v>
      </c>
      <c r="CB56" s="299">
        <v>59</v>
      </c>
      <c r="CC56" s="299">
        <v>76</v>
      </c>
      <c r="CD56" s="996">
        <v>83</v>
      </c>
      <c r="CE56" s="116">
        <f>SUM(CA56:CD56)</f>
        <v>237</v>
      </c>
      <c r="CF56" s="711">
        <v>50</v>
      </c>
      <c r="CG56" s="711">
        <f>(CB56/CE56)*CJ56</f>
        <v>51.044058597638362</v>
      </c>
      <c r="CH56" s="711">
        <f>(CC56/CE56)*CJ56</f>
        <v>65.751668702042636</v>
      </c>
      <c r="CI56" s="711">
        <f>CJ56-CF56-CG56-CH56</f>
        <v>38.245660626425646</v>
      </c>
      <c r="CJ56" s="116">
        <f>'US HCV'!N135+'US HCV'!N140</f>
        <v>205.04138792610664</v>
      </c>
      <c r="CK56" s="298"/>
      <c r="CL56" s="298"/>
      <c r="CM56" s="298"/>
      <c r="CN56" s="298"/>
      <c r="CO56" s="116">
        <f>'US HCV'!O135+'US HCV'!O140</f>
        <v>244.2196100019936</v>
      </c>
      <c r="CP56" s="298"/>
      <c r="CQ56" s="298"/>
      <c r="CR56" s="298"/>
      <c r="CS56" s="298"/>
      <c r="CT56" s="116">
        <f>'US HCV'!P135+'US HCV'!P140</f>
        <v>214.12211850870656</v>
      </c>
      <c r="CU56" s="298"/>
      <c r="CV56" s="298"/>
      <c r="CW56" s="298"/>
      <c r="CX56" s="298"/>
      <c r="CY56" s="116">
        <f>'US HCV'!Q135+'US HCV'!Q140</f>
        <v>191.47788502769978</v>
      </c>
      <c r="CZ56" s="298"/>
      <c r="DA56" s="298"/>
      <c r="DB56" s="298"/>
      <c r="DC56" s="298"/>
      <c r="DD56" s="116">
        <f>'US HCV'!R135+'US HCV'!R140</f>
        <v>169.3450831420061</v>
      </c>
      <c r="DE56" s="298"/>
      <c r="DF56" s="298"/>
      <c r="DG56" s="298"/>
      <c r="DH56" s="298"/>
      <c r="DI56" s="116">
        <f>'US HCV'!S135+'US HCV'!S140</f>
        <v>151.69559344914924</v>
      </c>
      <c r="DJ56" s="298"/>
      <c r="DK56" s="298"/>
      <c r="DL56" s="298"/>
      <c r="DM56" s="298"/>
      <c r="DN56" s="116">
        <f>'US HCV'!T135+'US HCV'!T140</f>
        <v>134.30962101311366</v>
      </c>
      <c r="DO56" s="298"/>
      <c r="DP56" s="298"/>
      <c r="DQ56" s="298"/>
      <c r="DR56" s="298"/>
      <c r="DS56" s="116">
        <f>'US HCV'!U135+'US HCV'!U140</f>
        <v>120.53249587342599</v>
      </c>
      <c r="DT56" s="298"/>
      <c r="DU56" s="298"/>
      <c r="DV56" s="298"/>
      <c r="DW56" s="298"/>
      <c r="DX56" s="116">
        <f>'US HCV'!V135+'US HCV'!V140</f>
        <v>106.84946591737963</v>
      </c>
      <c r="DY56" s="298"/>
      <c r="DZ56" s="298"/>
      <c r="EA56" s="298"/>
      <c r="EB56" s="298"/>
      <c r="EC56" s="116">
        <f>'US HCV'!W135+'US HCV'!W140</f>
        <v>96.076968535550975</v>
      </c>
      <c r="ED56" s="298"/>
      <c r="EE56" s="298"/>
      <c r="EF56" s="298"/>
      <c r="EG56" s="298"/>
      <c r="EH56" s="116">
        <f>'US HCV'!X135+'US HCV'!X140</f>
        <v>85.286061937875459</v>
      </c>
      <c r="EI56" s="298"/>
      <c r="EJ56" s="298"/>
      <c r="EK56" s="298"/>
      <c r="EL56" s="298"/>
      <c r="EM56" s="116">
        <f>'US HCV'!Y135+'US HCV'!Y140</f>
        <v>87.169444631522566</v>
      </c>
      <c r="EN56" s="298"/>
      <c r="EO56" s="298"/>
      <c r="EP56" s="298"/>
      <c r="EQ56" s="298"/>
      <c r="ER56" s="116">
        <f>'US HCV'!Z135+'US HCV'!Z140</f>
        <v>5.8444025915738136</v>
      </c>
    </row>
    <row r="57" spans="2:148">
      <c r="B57" s="231"/>
      <c r="D57" s="297"/>
      <c r="E57" s="297"/>
      <c r="F57" s="297"/>
      <c r="G57" s="297"/>
      <c r="I57" s="297"/>
      <c r="J57" s="297"/>
      <c r="K57" s="297"/>
      <c r="L57" s="297"/>
      <c r="N57" s="297"/>
      <c r="O57" s="297"/>
      <c r="P57" s="297"/>
      <c r="Q57" s="297"/>
      <c r="S57" s="297"/>
      <c r="T57" s="297"/>
      <c r="U57" s="297"/>
      <c r="V57" s="297"/>
      <c r="X57" s="297"/>
      <c r="Y57" s="297"/>
      <c r="Z57" s="297"/>
      <c r="AA57" s="297"/>
      <c r="AC57" s="297"/>
      <c r="AD57" s="297"/>
      <c r="AE57" s="297"/>
      <c r="AF57" s="297"/>
      <c r="AH57" s="297"/>
      <c r="AI57" s="297"/>
      <c r="AJ57" s="297"/>
      <c r="AK57" s="297"/>
      <c r="AM57" s="297"/>
      <c r="AN57" s="297"/>
      <c r="AO57" s="297"/>
      <c r="AP57" s="297"/>
      <c r="AR57" s="297"/>
      <c r="AS57" s="297"/>
      <c r="AT57" s="297"/>
      <c r="AU57" s="297"/>
      <c r="AW57" s="297"/>
      <c r="AX57" s="297"/>
      <c r="AY57" s="297"/>
      <c r="AZ57" s="297"/>
      <c r="BB57" s="298"/>
      <c r="BC57" s="298"/>
      <c r="BD57" s="298"/>
      <c r="BE57" s="298"/>
      <c r="BG57" s="298"/>
      <c r="BH57" s="298"/>
      <c r="BI57" s="298"/>
      <c r="BJ57" s="298"/>
      <c r="BL57" s="298"/>
      <c r="BM57" s="309"/>
      <c r="BN57" s="309"/>
      <c r="BO57" s="309"/>
      <c r="BQ57" s="309"/>
      <c r="BR57" s="309"/>
      <c r="BS57" s="309"/>
      <c r="BT57" s="309"/>
      <c r="BU57" s="657"/>
      <c r="BV57" s="298"/>
      <c r="BW57" s="298"/>
      <c r="BX57" s="298"/>
      <c r="BY57" s="298"/>
      <c r="CA57" s="298"/>
      <c r="CB57" s="298"/>
      <c r="CC57" s="298"/>
      <c r="CD57" s="298"/>
      <c r="CF57" s="298"/>
      <c r="CG57" s="298"/>
      <c r="CH57" s="298"/>
      <c r="CI57" s="298"/>
      <c r="CK57" s="298"/>
      <c r="CL57" s="298"/>
      <c r="CM57" s="298"/>
      <c r="CN57" s="298"/>
      <c r="CP57" s="298"/>
      <c r="CQ57" s="298"/>
      <c r="CR57" s="298"/>
      <c r="CS57" s="298"/>
      <c r="CU57" s="298"/>
      <c r="CV57" s="298"/>
      <c r="CW57" s="298"/>
      <c r="CX57" s="298"/>
      <c r="CZ57" s="298"/>
      <c r="DA57" s="298"/>
      <c r="DB57" s="298"/>
      <c r="DC57" s="298"/>
      <c r="DE57" s="298"/>
      <c r="DF57" s="298"/>
      <c r="DG57" s="298"/>
      <c r="DH57" s="298"/>
      <c r="DJ57" s="298"/>
      <c r="DK57" s="298"/>
      <c r="DL57" s="298"/>
      <c r="DM57" s="298"/>
      <c r="DO57" s="298"/>
      <c r="DP57" s="298"/>
      <c r="DQ57" s="298"/>
      <c r="DR57" s="298"/>
      <c r="DT57" s="298"/>
      <c r="DU57" s="298"/>
      <c r="DV57" s="298"/>
      <c r="DW57" s="298"/>
      <c r="DY57" s="298"/>
      <c r="DZ57" s="298"/>
      <c r="EA57" s="298"/>
      <c r="EB57" s="298"/>
      <c r="ED57" s="298"/>
      <c r="EE57" s="298"/>
      <c r="EF57" s="298"/>
      <c r="EG57" s="298"/>
      <c r="EI57" s="298"/>
      <c r="EJ57" s="298"/>
      <c r="EK57" s="298"/>
      <c r="EL57" s="298"/>
      <c r="EN57" s="298"/>
      <c r="EO57" s="298"/>
      <c r="EP57" s="298"/>
      <c r="EQ57" s="298"/>
    </row>
    <row r="58" spans="2:148">
      <c r="B58" s="230" t="s">
        <v>857</v>
      </c>
      <c r="D58" s="297"/>
      <c r="E58" s="297"/>
      <c r="F58" s="297"/>
      <c r="G58" s="297"/>
      <c r="I58" s="297"/>
      <c r="J58" s="297"/>
      <c r="K58" s="297"/>
      <c r="L58" s="297"/>
      <c r="N58" s="297"/>
      <c r="O58" s="297"/>
      <c r="P58" s="297"/>
      <c r="Q58" s="297"/>
      <c r="S58" s="297"/>
      <c r="T58" s="297"/>
      <c r="U58" s="297"/>
      <c r="V58" s="297"/>
      <c r="X58" s="297"/>
      <c r="Y58" s="297"/>
      <c r="Z58" s="297"/>
      <c r="AA58" s="297"/>
      <c r="AC58" s="297"/>
      <c r="AD58" s="297"/>
      <c r="AE58" s="297"/>
      <c r="AF58" s="297"/>
      <c r="AH58" s="297"/>
      <c r="AI58" s="297"/>
      <c r="AJ58" s="297"/>
      <c r="AK58" s="297"/>
      <c r="AM58" s="297"/>
      <c r="AN58" s="297"/>
      <c r="AO58" s="297"/>
      <c r="AP58" s="297"/>
      <c r="AQ58" s="230"/>
      <c r="AR58" s="297"/>
      <c r="AS58" s="297"/>
      <c r="AT58" s="297"/>
      <c r="AU58" s="297"/>
      <c r="AV58" s="230"/>
      <c r="AW58" s="352"/>
      <c r="AX58" s="352"/>
      <c r="AY58" s="352"/>
      <c r="AZ58" s="352"/>
      <c r="BA58" s="230"/>
      <c r="BB58" s="353"/>
      <c r="BC58" s="353"/>
      <c r="BD58" s="353"/>
      <c r="BE58" s="353"/>
      <c r="BF58" s="230"/>
      <c r="BG58" s="353"/>
      <c r="BH58" s="353"/>
      <c r="BI58" s="353"/>
      <c r="BJ58" s="353">
        <f>SUM(BJ59:BJ61)</f>
        <v>139.435</v>
      </c>
      <c r="BK58" s="230">
        <f>BK59+BK60+BK61</f>
        <v>139.435</v>
      </c>
      <c r="BL58" s="353">
        <f t="shared" ref="BL58:CT58" si="37">SUM(BL59:BL61)</f>
        <v>2274.3490000000002</v>
      </c>
      <c r="BM58" s="353">
        <f t="shared" si="37"/>
        <v>3480.326</v>
      </c>
      <c r="BN58" s="353">
        <f t="shared" si="37"/>
        <v>2796.0929999999998</v>
      </c>
      <c r="BO58" s="353">
        <f t="shared" si="37"/>
        <v>1732</v>
      </c>
      <c r="BP58" s="230">
        <f>SUM(BP59:BP61)</f>
        <v>10282.768</v>
      </c>
      <c r="BQ58" s="353">
        <f t="shared" si="37"/>
        <v>972</v>
      </c>
      <c r="BR58" s="353">
        <f>SUM(BR59:BR61)</f>
        <v>1291</v>
      </c>
      <c r="BS58" s="353">
        <f>SUM(BS59:BS61)</f>
        <v>1466</v>
      </c>
      <c r="BT58" s="353">
        <f t="shared" si="37"/>
        <v>1547</v>
      </c>
      <c r="BU58" s="230">
        <f>BU59+BU60+BU61</f>
        <v>5276</v>
      </c>
      <c r="BV58" s="353">
        <f t="shared" si="37"/>
        <v>1277</v>
      </c>
      <c r="BW58" s="353">
        <f t="shared" si="37"/>
        <v>1358</v>
      </c>
      <c r="BX58" s="353">
        <f t="shared" si="37"/>
        <v>825</v>
      </c>
      <c r="BY58" s="353">
        <f t="shared" si="37"/>
        <v>541</v>
      </c>
      <c r="BZ58" s="230">
        <f t="shared" si="37"/>
        <v>4001</v>
      </c>
      <c r="CA58" s="353">
        <f t="shared" si="37"/>
        <v>313</v>
      </c>
      <c r="CB58" s="353">
        <f t="shared" si="37"/>
        <v>315</v>
      </c>
      <c r="CC58" s="353">
        <f t="shared" si="37"/>
        <v>219</v>
      </c>
      <c r="CD58" s="353">
        <f t="shared" si="37"/>
        <v>117</v>
      </c>
      <c r="CE58" s="230">
        <f t="shared" si="37"/>
        <v>964</v>
      </c>
      <c r="CF58" s="353">
        <f t="shared" si="37"/>
        <v>29.235142757787241</v>
      </c>
      <c r="CG58" s="353">
        <f t="shared" si="37"/>
        <v>27.234195160266673</v>
      </c>
      <c r="CH58" s="353">
        <f t="shared" si="37"/>
        <v>27.05410051777185</v>
      </c>
      <c r="CI58" s="353">
        <f t="shared" si="37"/>
        <v>15.403179477050227</v>
      </c>
      <c r="CJ58" s="230">
        <f t="shared" si="37"/>
        <v>98.926617912875997</v>
      </c>
      <c r="CK58" s="353">
        <f t="shared" si="37"/>
        <v>0</v>
      </c>
      <c r="CL58" s="353">
        <f t="shared" si="37"/>
        <v>0</v>
      </c>
      <c r="CM58" s="353">
        <f t="shared" si="37"/>
        <v>0</v>
      </c>
      <c r="CN58" s="353">
        <f t="shared" si="37"/>
        <v>0</v>
      </c>
      <c r="CO58" s="230">
        <f t="shared" si="37"/>
        <v>108.95127641825215</v>
      </c>
      <c r="CP58" s="353">
        <f t="shared" si="37"/>
        <v>0</v>
      </c>
      <c r="CQ58" s="353">
        <f t="shared" si="37"/>
        <v>0</v>
      </c>
      <c r="CR58" s="353">
        <f t="shared" si="37"/>
        <v>0</v>
      </c>
      <c r="CS58" s="353">
        <f t="shared" si="37"/>
        <v>0</v>
      </c>
      <c r="CT58" s="230">
        <f t="shared" si="37"/>
        <v>94.671011959682019</v>
      </c>
      <c r="CU58" s="353">
        <f t="shared" ref="CU58:DZ58" si="38">SUM(CU59:CU61)</f>
        <v>0</v>
      </c>
      <c r="CV58" s="353">
        <f t="shared" si="38"/>
        <v>0</v>
      </c>
      <c r="CW58" s="353">
        <f t="shared" si="38"/>
        <v>0</v>
      </c>
      <c r="CX58" s="353">
        <f t="shared" si="38"/>
        <v>0</v>
      </c>
      <c r="CY58" s="230">
        <f t="shared" si="38"/>
        <v>86.39722837547373</v>
      </c>
      <c r="CZ58" s="353">
        <f t="shared" si="38"/>
        <v>0</v>
      </c>
      <c r="DA58" s="353">
        <f t="shared" si="38"/>
        <v>0</v>
      </c>
      <c r="DB58" s="353">
        <f t="shared" si="38"/>
        <v>0</v>
      </c>
      <c r="DC58" s="353">
        <f t="shared" si="38"/>
        <v>0</v>
      </c>
      <c r="DD58" s="230">
        <f t="shared" si="38"/>
        <v>76.888456852503452</v>
      </c>
      <c r="DE58" s="353">
        <f t="shared" si="38"/>
        <v>0</v>
      </c>
      <c r="DF58" s="353">
        <f t="shared" si="38"/>
        <v>0</v>
      </c>
      <c r="DG58" s="353">
        <f t="shared" si="38"/>
        <v>0</v>
      </c>
      <c r="DH58" s="353">
        <f t="shared" si="38"/>
        <v>0</v>
      </c>
      <c r="DI58" s="230">
        <f t="shared" si="38"/>
        <v>70.329511273088528</v>
      </c>
      <c r="DJ58" s="353">
        <f t="shared" si="38"/>
        <v>0</v>
      </c>
      <c r="DK58" s="353">
        <f t="shared" si="38"/>
        <v>0</v>
      </c>
      <c r="DL58" s="353">
        <f t="shared" si="38"/>
        <v>0</v>
      </c>
      <c r="DM58" s="353">
        <f t="shared" si="38"/>
        <v>0</v>
      </c>
      <c r="DN58" s="230">
        <f t="shared" si="38"/>
        <v>62.687572368893356</v>
      </c>
      <c r="DO58" s="353">
        <f t="shared" si="38"/>
        <v>0</v>
      </c>
      <c r="DP58" s="353">
        <f t="shared" si="38"/>
        <v>0</v>
      </c>
      <c r="DQ58" s="353">
        <f t="shared" si="38"/>
        <v>0</v>
      </c>
      <c r="DR58" s="353">
        <f t="shared" si="38"/>
        <v>0</v>
      </c>
      <c r="DS58" s="230">
        <f t="shared" si="38"/>
        <v>57.472143029422853</v>
      </c>
      <c r="DT58" s="353">
        <f t="shared" si="38"/>
        <v>0</v>
      </c>
      <c r="DU58" s="353">
        <f t="shared" si="38"/>
        <v>0</v>
      </c>
      <c r="DV58" s="353">
        <f t="shared" si="38"/>
        <v>0</v>
      </c>
      <c r="DW58" s="353">
        <f t="shared" si="38"/>
        <v>0</v>
      </c>
      <c r="DX58" s="230">
        <f t="shared" si="38"/>
        <v>51.312615443277245</v>
      </c>
      <c r="DY58" s="353">
        <f t="shared" si="38"/>
        <v>0</v>
      </c>
      <c r="DZ58" s="353">
        <f t="shared" si="38"/>
        <v>0</v>
      </c>
      <c r="EA58" s="353">
        <f t="shared" ref="EA58:ER58" si="39">SUM(EA59:EA61)</f>
        <v>0</v>
      </c>
      <c r="EB58" s="353">
        <f t="shared" si="39"/>
        <v>0</v>
      </c>
      <c r="EC58" s="230">
        <f t="shared" si="39"/>
        <v>47.151981588908995</v>
      </c>
      <c r="ED58" s="353">
        <f t="shared" si="39"/>
        <v>0</v>
      </c>
      <c r="EE58" s="353">
        <f t="shared" si="39"/>
        <v>0</v>
      </c>
      <c r="EF58" s="353">
        <f t="shared" si="39"/>
        <v>0</v>
      </c>
      <c r="EG58" s="353">
        <f t="shared" si="39"/>
        <v>0</v>
      </c>
      <c r="EH58" s="230">
        <f t="shared" si="39"/>
        <v>42.172407932702548</v>
      </c>
      <c r="EI58" s="353">
        <f t="shared" si="39"/>
        <v>0</v>
      </c>
      <c r="EJ58" s="353">
        <f t="shared" si="39"/>
        <v>0</v>
      </c>
      <c r="EK58" s="353">
        <f t="shared" si="39"/>
        <v>0</v>
      </c>
      <c r="EL58" s="353">
        <f t="shared" si="39"/>
        <v>0</v>
      </c>
      <c r="EM58" s="230">
        <f t="shared" si="39"/>
        <v>35.636175187438141</v>
      </c>
      <c r="EN58" s="353">
        <f t="shared" si="39"/>
        <v>0</v>
      </c>
      <c r="EO58" s="353">
        <f t="shared" si="39"/>
        <v>0</v>
      </c>
      <c r="EP58" s="353">
        <f t="shared" si="39"/>
        <v>0</v>
      </c>
      <c r="EQ58" s="353">
        <f t="shared" si="39"/>
        <v>0</v>
      </c>
      <c r="ER58" s="230">
        <f t="shared" si="39"/>
        <v>2.4783927799614975</v>
      </c>
    </row>
    <row r="59" spans="2:148">
      <c r="B59" s="231" t="s">
        <v>726</v>
      </c>
      <c r="D59" s="297"/>
      <c r="E59" s="297"/>
      <c r="F59" s="297"/>
      <c r="G59" s="297"/>
      <c r="I59" s="297"/>
      <c r="J59" s="297"/>
      <c r="K59" s="297"/>
      <c r="L59" s="297"/>
      <c r="N59" s="297"/>
      <c r="O59" s="297"/>
      <c r="P59" s="297"/>
      <c r="Q59" s="297"/>
      <c r="S59" s="297"/>
      <c r="T59" s="297"/>
      <c r="U59" s="297"/>
      <c r="V59" s="297"/>
      <c r="X59" s="297"/>
      <c r="Y59" s="297"/>
      <c r="Z59" s="297"/>
      <c r="AA59" s="297"/>
      <c r="AC59" s="297"/>
      <c r="AD59" s="297"/>
      <c r="AE59" s="297"/>
      <c r="AF59" s="297"/>
      <c r="AH59" s="297"/>
      <c r="AI59" s="297"/>
      <c r="AJ59" s="297"/>
      <c r="AK59" s="297"/>
      <c r="AM59" s="297"/>
      <c r="AN59" s="297"/>
      <c r="AO59" s="297"/>
      <c r="AP59" s="297"/>
      <c r="AR59" s="297"/>
      <c r="AS59" s="297"/>
      <c r="AT59" s="297"/>
      <c r="AU59" s="297"/>
      <c r="AW59" s="297"/>
      <c r="AX59" s="297"/>
      <c r="AY59" s="297"/>
      <c r="AZ59" s="297"/>
      <c r="BB59" s="298"/>
      <c r="BC59" s="298"/>
      <c r="BD59" s="298"/>
      <c r="BE59" s="298"/>
      <c r="BG59" s="298"/>
      <c r="BH59" s="298"/>
      <c r="BI59" s="298"/>
      <c r="BJ59" s="299">
        <v>136.364</v>
      </c>
      <c r="BK59" s="116">
        <f>SUM(BG59:BJ59)</f>
        <v>136.364</v>
      </c>
      <c r="BL59" s="299">
        <v>2097.7910000000002</v>
      </c>
      <c r="BM59" s="299">
        <v>3031.5070000000001</v>
      </c>
      <c r="BN59" s="299">
        <v>2199.5189999999998</v>
      </c>
      <c r="BO59" s="299">
        <v>1178</v>
      </c>
      <c r="BP59" s="116">
        <f>SUM(BL59:BO59)</f>
        <v>8506.8170000000009</v>
      </c>
      <c r="BQ59" s="299">
        <v>421</v>
      </c>
      <c r="BR59" s="299">
        <v>615</v>
      </c>
      <c r="BS59" s="299">
        <v>692</v>
      </c>
      <c r="BT59" s="299">
        <v>660</v>
      </c>
      <c r="BU59" s="116">
        <f>SUM(BQ59:BT59)</f>
        <v>2388</v>
      </c>
      <c r="BV59" s="299">
        <v>645</v>
      </c>
      <c r="BW59" s="299">
        <v>775</v>
      </c>
      <c r="BX59" s="299">
        <v>363</v>
      </c>
      <c r="BY59" s="299">
        <v>112</v>
      </c>
      <c r="BZ59" s="696">
        <f>SUM(BV59:BY59)</f>
        <v>1895</v>
      </c>
      <c r="CA59" s="299">
        <v>27</v>
      </c>
      <c r="CB59" s="299">
        <v>61</v>
      </c>
      <c r="CC59" s="299">
        <v>32</v>
      </c>
      <c r="CD59" s="996">
        <v>10</v>
      </c>
      <c r="CE59" s="116">
        <f>SUM(CA59:CD59)</f>
        <v>130</v>
      </c>
      <c r="CF59" s="299">
        <v>5</v>
      </c>
      <c r="CG59" s="711">
        <v>5</v>
      </c>
      <c r="CH59" s="711">
        <f>(CC59/CE59)*CJ59</f>
        <v>3.4346339438370936</v>
      </c>
      <c r="CI59" s="711">
        <f>CJ59-CF59-CG59-CH59</f>
        <v>0.51856645300109783</v>
      </c>
      <c r="CJ59" s="116">
        <f>'US HCV'!N119</f>
        <v>13.953200396838191</v>
      </c>
      <c r="CK59" s="298"/>
      <c r="CL59" s="298"/>
      <c r="CM59" s="298"/>
      <c r="CN59" s="298"/>
      <c r="CO59" s="116">
        <f>'US HCV'!O119</f>
        <v>11.434187565742983</v>
      </c>
      <c r="CP59" s="298"/>
      <c r="CQ59" s="298"/>
      <c r="CR59" s="298"/>
      <c r="CS59" s="298"/>
      <c r="CT59" s="116">
        <f>'US HCV'!P119</f>
        <v>10.304070768963282</v>
      </c>
      <c r="CU59" s="298"/>
      <c r="CV59" s="298"/>
      <c r="CW59" s="298"/>
      <c r="CX59" s="298"/>
      <c r="CY59" s="116">
        <f>'US HCV'!Q119</f>
        <v>9.7526805250386186</v>
      </c>
      <c r="CZ59" s="298"/>
      <c r="DA59" s="298"/>
      <c r="DB59" s="298"/>
      <c r="DC59" s="298"/>
      <c r="DD59" s="116">
        <f>'US HCV'!R119</f>
        <v>9.2347459409163495</v>
      </c>
      <c r="DE59" s="298"/>
      <c r="DF59" s="298"/>
      <c r="DG59" s="298"/>
      <c r="DH59" s="298"/>
      <c r="DI59" s="116">
        <f>'US HCV'!S119</f>
        <v>8.7475380699186083</v>
      </c>
      <c r="DJ59" s="298"/>
      <c r="DK59" s="298"/>
      <c r="DL59" s="298"/>
      <c r="DM59" s="298"/>
      <c r="DN59" s="116">
        <f>'US HCV'!T119</f>
        <v>8.2886718304199931</v>
      </c>
      <c r="DO59" s="298"/>
      <c r="DP59" s="298"/>
      <c r="DQ59" s="298"/>
      <c r="DR59" s="298"/>
      <c r="DS59" s="116">
        <f>'US HCV'!U119</f>
        <v>7.8560446575404894</v>
      </c>
      <c r="DT59" s="298"/>
      <c r="DU59" s="298"/>
      <c r="DV59" s="298"/>
      <c r="DW59" s="298"/>
      <c r="DX59" s="116">
        <f>'US HCV'!V119</f>
        <v>7.4477883169747408</v>
      </c>
      <c r="DY59" s="298"/>
      <c r="DZ59" s="298"/>
      <c r="EA59" s="298"/>
      <c r="EB59" s="298"/>
      <c r="EC59" s="116">
        <f>'US HCV'!W119</f>
        <v>7.0622307643168192</v>
      </c>
      <c r="ED59" s="298"/>
      <c r="EE59" s="298"/>
      <c r="EF59" s="298"/>
      <c r="EG59" s="298"/>
      <c r="EH59" s="116">
        <f>'US HCV'!X119</f>
        <v>6.6978657226249787</v>
      </c>
      <c r="EI59" s="298"/>
      <c r="EJ59" s="298"/>
      <c r="EK59" s="298"/>
      <c r="EL59" s="298"/>
      <c r="EM59" s="116">
        <f>'US HCV'!Y119</f>
        <v>0.63798615536969938</v>
      </c>
      <c r="EN59" s="298"/>
      <c r="EO59" s="298"/>
      <c r="EP59" s="298"/>
      <c r="EQ59" s="298"/>
      <c r="ER59" s="116">
        <f>'US HCV'!Z119</f>
        <v>6.0551021522653188E-2</v>
      </c>
    </row>
    <row r="60" spans="2:148">
      <c r="B60" s="231" t="s">
        <v>810</v>
      </c>
      <c r="D60" s="297"/>
      <c r="E60" s="297"/>
      <c r="F60" s="297"/>
      <c r="G60" s="297"/>
      <c r="I60" s="297"/>
      <c r="J60" s="297"/>
      <c r="K60" s="297"/>
      <c r="L60" s="297"/>
      <c r="N60" s="297"/>
      <c r="O60" s="297"/>
      <c r="P60" s="297"/>
      <c r="Q60" s="297"/>
      <c r="S60" s="297"/>
      <c r="T60" s="297"/>
      <c r="U60" s="297"/>
      <c r="V60" s="297"/>
      <c r="X60" s="297"/>
      <c r="Y60" s="297"/>
      <c r="Z60" s="297"/>
      <c r="AA60" s="297"/>
      <c r="AC60" s="297"/>
      <c r="AD60" s="297"/>
      <c r="AE60" s="297"/>
      <c r="AF60" s="297"/>
      <c r="AH60" s="297"/>
      <c r="AI60" s="297"/>
      <c r="AJ60" s="297"/>
      <c r="AK60" s="297"/>
      <c r="AM60" s="297"/>
      <c r="AN60" s="297"/>
      <c r="AO60" s="297"/>
      <c r="AP60" s="297"/>
      <c r="AR60" s="297"/>
      <c r="AS60" s="297"/>
      <c r="AT60" s="297"/>
      <c r="AU60" s="297"/>
      <c r="AW60" s="297"/>
      <c r="AX60" s="297"/>
      <c r="AY60" s="297"/>
      <c r="AZ60" s="297"/>
      <c r="BB60" s="298"/>
      <c r="BC60" s="298"/>
      <c r="BD60" s="298"/>
      <c r="BE60" s="298"/>
      <c r="BG60" s="298"/>
      <c r="BH60" s="298"/>
      <c r="BI60" s="298"/>
      <c r="BJ60" s="299">
        <v>3.0710000000000002</v>
      </c>
      <c r="BK60" s="116">
        <f>SUM(BG60:BJ60)</f>
        <v>3.0710000000000002</v>
      </c>
      <c r="BL60" s="299">
        <v>163.691</v>
      </c>
      <c r="BM60" s="299">
        <f>400.218</f>
        <v>400.21800000000002</v>
      </c>
      <c r="BN60" s="299">
        <f>523.455</f>
        <v>523.45500000000004</v>
      </c>
      <c r="BO60" s="299">
        <v>459</v>
      </c>
      <c r="BP60" s="116">
        <f>SUM(BL60:BO60)</f>
        <v>1546.364</v>
      </c>
      <c r="BQ60" s="299">
        <v>483</v>
      </c>
      <c r="BR60" s="299">
        <v>522</v>
      </c>
      <c r="BS60" s="299">
        <v>337</v>
      </c>
      <c r="BT60" s="299">
        <v>259</v>
      </c>
      <c r="BU60" s="116">
        <f>SUM(BQ60:BT60)</f>
        <v>1601</v>
      </c>
      <c r="BV60" s="299">
        <v>280</v>
      </c>
      <c r="BW60" s="299">
        <v>263</v>
      </c>
      <c r="BX60" s="299">
        <v>184</v>
      </c>
      <c r="BY60" s="299">
        <v>164</v>
      </c>
      <c r="BZ60" s="696">
        <f>SUM(BV60:BY60)</f>
        <v>891</v>
      </c>
      <c r="CA60" s="299">
        <v>106</v>
      </c>
      <c r="CB60" s="299">
        <v>113</v>
      </c>
      <c r="CC60" s="299">
        <v>19</v>
      </c>
      <c r="CD60" s="996">
        <v>20</v>
      </c>
      <c r="CE60" s="696">
        <f>SUM(CA60:CD60)</f>
        <v>258</v>
      </c>
      <c r="CF60" s="711">
        <v>15</v>
      </c>
      <c r="CG60" s="711">
        <v>15</v>
      </c>
      <c r="CH60" s="711">
        <v>15</v>
      </c>
      <c r="CI60" s="711">
        <f>CJ60-CF60-CG60-CH60</f>
        <v>10.42096069111863</v>
      </c>
      <c r="CJ60" s="116">
        <f>'US HCV'!N129</f>
        <v>55.42096069111863</v>
      </c>
      <c r="CK60" s="298"/>
      <c r="CL60" s="298"/>
      <c r="CM60" s="298"/>
      <c r="CN60" s="298"/>
      <c r="CO60" s="116">
        <f>'US HCV'!O129</f>
        <v>41.915006042709848</v>
      </c>
      <c r="CP60" s="298"/>
      <c r="CQ60" s="298"/>
      <c r="CR60" s="298"/>
      <c r="CS60" s="298"/>
      <c r="CT60" s="116">
        <f>'US HCV'!P129</f>
        <v>37.07290780513938</v>
      </c>
      <c r="CU60" s="298"/>
      <c r="CV60" s="298"/>
      <c r="CW60" s="298"/>
      <c r="CX60" s="298"/>
      <c r="CY60" s="116">
        <f>'US HCV'!Q129</f>
        <v>32.809524907789907</v>
      </c>
      <c r="CZ60" s="298"/>
      <c r="DA60" s="298"/>
      <c r="DB60" s="298"/>
      <c r="DC60" s="298"/>
      <c r="DD60" s="116">
        <f>'US HCV'!R129</f>
        <v>29.054677780119718</v>
      </c>
      <c r="DE60" s="298"/>
      <c r="DF60" s="298"/>
      <c r="DG60" s="298"/>
      <c r="DH60" s="298"/>
      <c r="DI60" s="116">
        <f>'US HCV'!S129</f>
        <v>25.746748641708379</v>
      </c>
      <c r="DJ60" s="298"/>
      <c r="DK60" s="298"/>
      <c r="DL60" s="298"/>
      <c r="DM60" s="298"/>
      <c r="DN60" s="116">
        <f>'US HCV'!T129</f>
        <v>22.831634421325802</v>
      </c>
      <c r="DO60" s="298"/>
      <c r="DP60" s="298"/>
      <c r="DQ60" s="298"/>
      <c r="DR60" s="298"/>
      <c r="DS60" s="116">
        <f>'US HCV'!U129</f>
        <v>20.261827857583896</v>
      </c>
      <c r="DT60" s="298"/>
      <c r="DU60" s="298"/>
      <c r="DV60" s="298"/>
      <c r="DW60" s="298"/>
      <c r="DX60" s="116">
        <f>'US HCV'!V129</f>
        <v>17.995611083164892</v>
      </c>
      <c r="DY60" s="298"/>
      <c r="DZ60" s="298"/>
      <c r="EA60" s="298"/>
      <c r="EB60" s="298"/>
      <c r="EC60" s="116">
        <f>'US HCV'!W129</f>
        <v>15.996347917416799</v>
      </c>
      <c r="ED60" s="298"/>
      <c r="EE60" s="298"/>
      <c r="EF60" s="298"/>
      <c r="EG60" s="298"/>
      <c r="EH60" s="116">
        <f>'US HCV'!X129</f>
        <v>14.231862779370827</v>
      </c>
      <c r="EI60" s="298"/>
      <c r="EJ60" s="298"/>
      <c r="EK60" s="298"/>
      <c r="EL60" s="298"/>
      <c r="EM60" s="116">
        <f>'US HCV'!Y129</f>
        <v>14.906073028415463</v>
      </c>
      <c r="EN60" s="298"/>
      <c r="EO60" s="298"/>
      <c r="EP60" s="298"/>
      <c r="EQ60" s="298"/>
      <c r="ER60" s="116">
        <f>'US HCV'!Z129</f>
        <v>0.97901738089570556</v>
      </c>
    </row>
    <row r="61" spans="2:148">
      <c r="B61" s="231" t="s">
        <v>81</v>
      </c>
      <c r="D61" s="297"/>
      <c r="E61" s="297"/>
      <c r="F61" s="297"/>
      <c r="G61" s="297"/>
      <c r="I61" s="297"/>
      <c r="J61" s="297"/>
      <c r="K61" s="297"/>
      <c r="L61" s="297"/>
      <c r="N61" s="297"/>
      <c r="O61" s="297"/>
      <c r="P61" s="297"/>
      <c r="Q61" s="297"/>
      <c r="S61" s="297"/>
      <c r="T61" s="297"/>
      <c r="U61" s="297"/>
      <c r="V61" s="297"/>
      <c r="X61" s="297"/>
      <c r="Y61" s="297"/>
      <c r="Z61" s="297"/>
      <c r="AA61" s="297"/>
      <c r="AC61" s="297"/>
      <c r="AD61" s="297"/>
      <c r="AE61" s="297"/>
      <c r="AF61" s="297"/>
      <c r="AH61" s="297"/>
      <c r="AI61" s="297"/>
      <c r="AJ61" s="297"/>
      <c r="AK61" s="297"/>
      <c r="AM61" s="297"/>
      <c r="AN61" s="297"/>
      <c r="AO61" s="297"/>
      <c r="AP61" s="297"/>
      <c r="AR61" s="297"/>
      <c r="AS61" s="297"/>
      <c r="AT61" s="297"/>
      <c r="AU61" s="297"/>
      <c r="AW61" s="297"/>
      <c r="AX61" s="297"/>
      <c r="AY61" s="297"/>
      <c r="AZ61" s="297"/>
      <c r="BB61" s="298"/>
      <c r="BC61" s="298"/>
      <c r="BD61" s="298"/>
      <c r="BE61" s="298"/>
      <c r="BG61" s="298"/>
      <c r="BH61" s="298"/>
      <c r="BI61" s="298"/>
      <c r="BJ61" s="299">
        <v>0</v>
      </c>
      <c r="BK61" s="116">
        <f>SUM(BG61:BJ61)</f>
        <v>0</v>
      </c>
      <c r="BL61" s="299">
        <v>12.867000000000001</v>
      </c>
      <c r="BM61" s="299">
        <v>48.600999999999999</v>
      </c>
      <c r="BN61" s="299">
        <v>73.119</v>
      </c>
      <c r="BO61" s="299">
        <v>95</v>
      </c>
      <c r="BP61" s="116">
        <f>SUM(BL61:BO61)</f>
        <v>229.58699999999999</v>
      </c>
      <c r="BQ61" s="299">
        <v>68</v>
      </c>
      <c r="BR61" s="299">
        <v>154</v>
      </c>
      <c r="BS61" s="299">
        <v>437</v>
      </c>
      <c r="BT61" s="299">
        <v>628</v>
      </c>
      <c r="BU61" s="116">
        <f>SUM(BQ61:BT61)</f>
        <v>1287</v>
      </c>
      <c r="BV61" s="299">
        <f>202+150</f>
        <v>352</v>
      </c>
      <c r="BW61" s="299">
        <f>171+149</f>
        <v>320</v>
      </c>
      <c r="BX61" s="299">
        <f>143+135</f>
        <v>278</v>
      </c>
      <c r="BY61" s="299">
        <f>119+146</f>
        <v>265</v>
      </c>
      <c r="BZ61" s="696">
        <f>SUM(BV61:BY61)</f>
        <v>1215</v>
      </c>
      <c r="CA61" s="299">
        <v>180</v>
      </c>
      <c r="CB61" s="299">
        <v>141</v>
      </c>
      <c r="CC61" s="299">
        <v>168</v>
      </c>
      <c r="CD61" s="996">
        <v>87</v>
      </c>
      <c r="CE61" s="696">
        <f>SUM(CA61:CD61)</f>
        <v>576</v>
      </c>
      <c r="CF61" s="711">
        <f>(CA61/CE61)*CJ61</f>
        <v>9.2351427577872407</v>
      </c>
      <c r="CG61" s="711">
        <f>(CB61/CE61)*CJ61</f>
        <v>7.2341951602666725</v>
      </c>
      <c r="CH61" s="711">
        <f>(CC61/CE61)*CJ61</f>
        <v>8.6194665739347585</v>
      </c>
      <c r="CI61" s="711">
        <f>(CD61/CE61)*CJ61</f>
        <v>4.4636523329304998</v>
      </c>
      <c r="CJ61" s="116">
        <f>'US HCV'!N134+'US HCV'!N139</f>
        <v>29.552456824919172</v>
      </c>
      <c r="CK61" s="298"/>
      <c r="CL61" s="298"/>
      <c r="CM61" s="298"/>
      <c r="CN61" s="298"/>
      <c r="CO61" s="116">
        <f>'US HCV'!O135+'US HCV'!O139</f>
        <v>55.602082809799313</v>
      </c>
      <c r="CP61" s="298"/>
      <c r="CQ61" s="298"/>
      <c r="CR61" s="298"/>
      <c r="CS61" s="298"/>
      <c r="CT61" s="116">
        <f>'US HCV'!P135+'US HCV'!P139</f>
        <v>47.294033385579354</v>
      </c>
      <c r="CU61" s="298"/>
      <c r="CV61" s="298"/>
      <c r="CW61" s="298"/>
      <c r="CX61" s="298"/>
      <c r="CY61" s="116">
        <f>'US HCV'!Q135+'US HCV'!Q139</f>
        <v>43.83502294264521</v>
      </c>
      <c r="CZ61" s="298"/>
      <c r="DA61" s="298"/>
      <c r="DB61" s="298"/>
      <c r="DC61" s="298"/>
      <c r="DD61" s="116">
        <f>'US HCV'!R135+'US HCV'!R139</f>
        <v>38.59903313146738</v>
      </c>
      <c r="DE61" s="298"/>
      <c r="DF61" s="298"/>
      <c r="DG61" s="298"/>
      <c r="DH61" s="298"/>
      <c r="DI61" s="116">
        <f>'US HCV'!S135+'US HCV'!S139</f>
        <v>35.835224561461544</v>
      </c>
      <c r="DJ61" s="298"/>
      <c r="DK61" s="298"/>
      <c r="DL61" s="298"/>
      <c r="DM61" s="298"/>
      <c r="DN61" s="116">
        <f>'US HCV'!T135+'US HCV'!T139</f>
        <v>31.567266117147561</v>
      </c>
      <c r="DO61" s="298"/>
      <c r="DP61" s="298"/>
      <c r="DQ61" s="298"/>
      <c r="DR61" s="298"/>
      <c r="DS61" s="116">
        <f>'US HCV'!U135+'US HCV'!U139</f>
        <v>29.35427051429847</v>
      </c>
      <c r="DT61" s="298"/>
      <c r="DU61" s="298"/>
      <c r="DV61" s="298"/>
      <c r="DW61" s="298"/>
      <c r="DX61" s="116">
        <f>'US HCV'!V135+'US HCV'!V139</f>
        <v>25.869216043137612</v>
      </c>
      <c r="DY61" s="298"/>
      <c r="DZ61" s="298"/>
      <c r="EA61" s="298"/>
      <c r="EB61" s="298"/>
      <c r="EC61" s="116">
        <f>'US HCV'!W135+'US HCV'!W139</f>
        <v>24.093402907175381</v>
      </c>
      <c r="ED61" s="298"/>
      <c r="EE61" s="298"/>
      <c r="EF61" s="298"/>
      <c r="EG61" s="298"/>
      <c r="EH61" s="116">
        <f>'US HCV'!X135+'US HCV'!X139</f>
        <v>21.242679430706744</v>
      </c>
      <c r="EI61" s="298"/>
      <c r="EJ61" s="298"/>
      <c r="EK61" s="298"/>
      <c r="EL61" s="298"/>
      <c r="EM61" s="116">
        <f>'US HCV'!Y135+'US HCV'!Y139</f>
        <v>20.092116003652976</v>
      </c>
      <c r="EN61" s="298"/>
      <c r="EO61" s="298"/>
      <c r="EP61" s="298"/>
      <c r="EQ61" s="298"/>
      <c r="ER61" s="116">
        <f>'US HCV'!Z135+'US HCV'!Z139</f>
        <v>1.4388243775431391</v>
      </c>
    </row>
    <row r="62" spans="2:148" s="696" customFormat="1">
      <c r="B62" s="699"/>
      <c r="D62" s="297"/>
      <c r="E62" s="297"/>
      <c r="F62" s="297"/>
      <c r="G62" s="297"/>
      <c r="I62" s="297"/>
      <c r="J62" s="297"/>
      <c r="K62" s="297"/>
      <c r="L62" s="297"/>
      <c r="N62" s="297"/>
      <c r="O62" s="297"/>
      <c r="P62" s="297"/>
      <c r="Q62" s="297"/>
      <c r="S62" s="297"/>
      <c r="T62" s="297"/>
      <c r="U62" s="297"/>
      <c r="V62" s="297"/>
      <c r="X62" s="297"/>
      <c r="Y62" s="297"/>
      <c r="Z62" s="297"/>
      <c r="AA62" s="297"/>
      <c r="AC62" s="297"/>
      <c r="AD62" s="297"/>
      <c r="AE62" s="297"/>
      <c r="AF62" s="297"/>
      <c r="AH62" s="297"/>
      <c r="AI62" s="297"/>
      <c r="AJ62" s="297"/>
      <c r="AK62" s="297"/>
      <c r="AM62" s="297"/>
      <c r="AN62" s="297"/>
      <c r="AO62" s="297"/>
      <c r="AP62" s="297"/>
      <c r="AR62" s="297"/>
      <c r="AS62" s="297"/>
      <c r="AT62" s="297"/>
      <c r="AU62" s="297"/>
      <c r="AW62" s="297"/>
      <c r="AX62" s="297"/>
      <c r="AY62" s="297"/>
      <c r="AZ62" s="297"/>
      <c r="BB62" s="711"/>
      <c r="BC62" s="711"/>
      <c r="BD62" s="711"/>
      <c r="BE62" s="711"/>
      <c r="BG62" s="711"/>
      <c r="BH62" s="711"/>
      <c r="BI62" s="711"/>
      <c r="BJ62" s="299"/>
      <c r="BL62" s="299"/>
      <c r="BM62" s="299"/>
      <c r="BN62" s="299"/>
      <c r="BO62" s="299"/>
      <c r="BQ62" s="299"/>
      <c r="BR62" s="299"/>
      <c r="BS62" s="299"/>
      <c r="BT62" s="299"/>
      <c r="BV62" s="299"/>
      <c r="BW62" s="299"/>
      <c r="BX62" s="299"/>
      <c r="BY62" s="299"/>
      <c r="CA62" s="299"/>
      <c r="CB62" s="299"/>
      <c r="CC62" s="711"/>
      <c r="CD62" s="711"/>
      <c r="CF62" s="711"/>
      <c r="CG62" s="711"/>
      <c r="CH62" s="711"/>
      <c r="CI62" s="711"/>
      <c r="CK62" s="711"/>
      <c r="CL62" s="711"/>
      <c r="CM62" s="711"/>
      <c r="CN62" s="711"/>
      <c r="CP62" s="711"/>
      <c r="CQ62" s="711"/>
      <c r="CR62" s="711"/>
      <c r="CS62" s="711"/>
      <c r="CU62" s="711"/>
      <c r="CV62" s="711"/>
      <c r="CW62" s="711"/>
      <c r="CX62" s="711"/>
      <c r="CZ62" s="711"/>
      <c r="DA62" s="711"/>
      <c r="DB62" s="711"/>
      <c r="DC62" s="711"/>
      <c r="DE62" s="711"/>
      <c r="DF62" s="711"/>
      <c r="DG62" s="711"/>
      <c r="DH62" s="711"/>
      <c r="DJ62" s="711"/>
      <c r="DK62" s="711"/>
      <c r="DL62" s="711"/>
      <c r="DM62" s="711"/>
      <c r="DO62" s="711"/>
      <c r="DP62" s="711"/>
      <c r="DQ62" s="711"/>
      <c r="DR62" s="711"/>
      <c r="DT62" s="711"/>
      <c r="DU62" s="711"/>
      <c r="DV62" s="711"/>
      <c r="DW62" s="711"/>
      <c r="DY62" s="711"/>
      <c r="DZ62" s="711"/>
      <c r="EA62" s="711"/>
      <c r="EB62" s="711"/>
      <c r="ED62" s="711"/>
      <c r="EE62" s="711"/>
      <c r="EF62" s="711"/>
      <c r="EG62" s="711"/>
      <c r="EI62" s="711"/>
      <c r="EJ62" s="711"/>
      <c r="EK62" s="711"/>
      <c r="EL62" s="711"/>
      <c r="EN62" s="711"/>
      <c r="EO62" s="711"/>
      <c r="EP62" s="711"/>
      <c r="EQ62" s="711"/>
    </row>
    <row r="63" spans="2:148" s="696" customFormat="1">
      <c r="B63" s="698" t="s">
        <v>1094</v>
      </c>
      <c r="D63" s="297"/>
      <c r="E63" s="297"/>
      <c r="F63" s="297"/>
      <c r="G63" s="297"/>
      <c r="I63" s="297"/>
      <c r="J63" s="297"/>
      <c r="K63" s="297"/>
      <c r="L63" s="297"/>
      <c r="N63" s="297"/>
      <c r="O63" s="297"/>
      <c r="P63" s="297"/>
      <c r="Q63" s="297"/>
      <c r="S63" s="297"/>
      <c r="T63" s="297"/>
      <c r="U63" s="297"/>
      <c r="V63" s="297"/>
      <c r="X63" s="297"/>
      <c r="Y63" s="297"/>
      <c r="Z63" s="297"/>
      <c r="AA63" s="297"/>
      <c r="AC63" s="297"/>
      <c r="AD63" s="297"/>
      <c r="AE63" s="297"/>
      <c r="AF63" s="297"/>
      <c r="AH63" s="297"/>
      <c r="AI63" s="297"/>
      <c r="AJ63" s="297"/>
      <c r="AK63" s="297"/>
      <c r="AM63" s="297"/>
      <c r="AN63" s="297"/>
      <c r="AO63" s="297"/>
      <c r="AP63" s="297"/>
      <c r="AR63" s="297"/>
      <c r="AS63" s="297"/>
      <c r="AT63" s="297"/>
      <c r="AU63" s="297"/>
      <c r="AW63" s="297"/>
      <c r="AX63" s="297"/>
      <c r="AY63" s="297"/>
      <c r="AZ63" s="297"/>
      <c r="BB63" s="711"/>
      <c r="BC63" s="711"/>
      <c r="BD63" s="711"/>
      <c r="BE63" s="711"/>
      <c r="BG63" s="711"/>
      <c r="BH63" s="711"/>
      <c r="BI63" s="711"/>
      <c r="BJ63" s="299"/>
      <c r="BL63" s="299"/>
      <c r="BM63" s="299"/>
      <c r="BN63" s="299"/>
      <c r="BO63" s="299"/>
      <c r="BQ63" s="299"/>
      <c r="BR63" s="299"/>
      <c r="BS63" s="299"/>
      <c r="BT63" s="299"/>
      <c r="BV63" s="299"/>
      <c r="BW63" s="299"/>
      <c r="BX63" s="299"/>
      <c r="BY63" s="299"/>
      <c r="CA63" s="299"/>
      <c r="CB63" s="299"/>
      <c r="CC63" s="712">
        <f t="shared" ref="CC63:CI63" si="40">SUM(CC64:CC66)</f>
        <v>123</v>
      </c>
      <c r="CD63" s="712">
        <f t="shared" si="40"/>
        <v>170</v>
      </c>
      <c r="CE63" s="698">
        <f>SUM(CE64:CE66)</f>
        <v>293</v>
      </c>
      <c r="CF63" s="712">
        <f t="shared" si="40"/>
        <v>112.25271074220986</v>
      </c>
      <c r="CG63" s="712">
        <f t="shared" si="40"/>
        <v>112.25271074220986</v>
      </c>
      <c r="CH63" s="712">
        <f t="shared" si="40"/>
        <v>112.25271074220986</v>
      </c>
      <c r="CI63" s="712">
        <f t="shared" si="40"/>
        <v>112.25271074220986</v>
      </c>
      <c r="CJ63" s="698">
        <f>SUM(CJ64:CJ66)</f>
        <v>449.01084296883943</v>
      </c>
      <c r="CK63" s="711"/>
      <c r="CL63" s="711"/>
      <c r="CM63" s="711"/>
      <c r="CN63" s="711"/>
      <c r="CO63" s="698">
        <f>SUM(CO64:CO66)</f>
        <v>548.09638652562967</v>
      </c>
      <c r="CP63" s="711"/>
      <c r="CQ63" s="711"/>
      <c r="CR63" s="711"/>
      <c r="CS63" s="711"/>
      <c r="CT63" s="698">
        <f>SUM(CT64:CT66)</f>
        <v>481.67171965533976</v>
      </c>
      <c r="CU63" s="711"/>
      <c r="CV63" s="711"/>
      <c r="CW63" s="711"/>
      <c r="CX63" s="711"/>
      <c r="CY63" s="698">
        <f>SUM(CY64:CY66)</f>
        <v>468.28684032583351</v>
      </c>
      <c r="CZ63" s="711"/>
      <c r="DA63" s="711"/>
      <c r="DB63" s="711"/>
      <c r="DC63" s="711"/>
      <c r="DD63" s="698">
        <f>SUM(DD64:DD66)</f>
        <v>391.04779616093833</v>
      </c>
      <c r="DE63" s="711"/>
      <c r="DF63" s="711"/>
      <c r="DG63" s="711"/>
      <c r="DH63" s="711"/>
      <c r="DI63" s="698">
        <f>SUM(DI64:DI66)</f>
        <v>315.30790016040493</v>
      </c>
      <c r="DJ63" s="711"/>
      <c r="DK63" s="711"/>
      <c r="DL63" s="711"/>
      <c r="DM63" s="711"/>
      <c r="DN63" s="698">
        <f>SUM(DN64:DN66)</f>
        <v>313.43429927098975</v>
      </c>
      <c r="DO63" s="711"/>
      <c r="DP63" s="711"/>
      <c r="DQ63" s="711"/>
      <c r="DR63" s="711"/>
      <c r="DS63" s="698">
        <f>SUM(DS64:DS66)</f>
        <v>312.81557105700438</v>
      </c>
      <c r="DT63" s="711"/>
      <c r="DU63" s="711"/>
      <c r="DV63" s="711"/>
      <c r="DW63" s="711"/>
      <c r="DX63" s="698">
        <f>SUM(DX64:DX66)</f>
        <v>311.24760700103678</v>
      </c>
      <c r="DY63" s="711"/>
      <c r="DZ63" s="711"/>
      <c r="EA63" s="711"/>
      <c r="EB63" s="711"/>
      <c r="EC63" s="698">
        <f>SUM(EC64:EC66)</f>
        <v>310.73015263231133</v>
      </c>
      <c r="ED63" s="711"/>
      <c r="EE63" s="711"/>
      <c r="EF63" s="711"/>
      <c r="EG63" s="711"/>
      <c r="EH63" s="698">
        <f>SUM(EH64:EH66)</f>
        <v>309.41783202734757</v>
      </c>
      <c r="EI63" s="711"/>
      <c r="EJ63" s="711"/>
      <c r="EK63" s="711"/>
      <c r="EL63" s="711"/>
      <c r="EM63" s="698">
        <f>SUM(EM64:EM66)</f>
        <v>300</v>
      </c>
      <c r="EN63" s="711"/>
      <c r="EO63" s="711"/>
      <c r="EP63" s="711"/>
      <c r="EQ63" s="711"/>
      <c r="ER63" s="698">
        <f>SUM(ER64:ER66)</f>
        <v>158.13287712473019</v>
      </c>
    </row>
    <row r="64" spans="2:148" s="696" customFormat="1">
      <c r="B64" s="699" t="s">
        <v>496</v>
      </c>
      <c r="D64" s="297"/>
      <c r="E64" s="297"/>
      <c r="F64" s="297"/>
      <c r="G64" s="297"/>
      <c r="I64" s="297"/>
      <c r="J64" s="297"/>
      <c r="K64" s="297"/>
      <c r="L64" s="297"/>
      <c r="N64" s="297"/>
      <c r="O64" s="297"/>
      <c r="P64" s="297"/>
      <c r="Q64" s="297"/>
      <c r="S64" s="297"/>
      <c r="T64" s="297"/>
      <c r="U64" s="297"/>
      <c r="V64" s="297"/>
      <c r="X64" s="297"/>
      <c r="Y64" s="297"/>
      <c r="Z64" s="297"/>
      <c r="AA64" s="297"/>
      <c r="AC64" s="297"/>
      <c r="AD64" s="297"/>
      <c r="AE64" s="297"/>
      <c r="AF64" s="297"/>
      <c r="AH64" s="297"/>
      <c r="AI64" s="297"/>
      <c r="AJ64" s="297"/>
      <c r="AK64" s="297"/>
      <c r="AM64" s="297"/>
      <c r="AN64" s="297"/>
      <c r="AO64" s="297"/>
      <c r="AP64" s="297"/>
      <c r="AR64" s="297"/>
      <c r="AS64" s="297"/>
      <c r="AT64" s="297"/>
      <c r="AU64" s="297"/>
      <c r="AW64" s="297"/>
      <c r="AX64" s="297"/>
      <c r="AY64" s="297"/>
      <c r="AZ64" s="297"/>
      <c r="BB64" s="711"/>
      <c r="BC64" s="711"/>
      <c r="BD64" s="711"/>
      <c r="BE64" s="711"/>
      <c r="BG64" s="711"/>
      <c r="BH64" s="711"/>
      <c r="BI64" s="711"/>
      <c r="BJ64" s="299"/>
      <c r="BL64" s="299"/>
      <c r="BM64" s="299"/>
      <c r="BN64" s="299"/>
      <c r="BO64" s="299"/>
      <c r="BQ64" s="299"/>
      <c r="BR64" s="299"/>
      <c r="BS64" s="299"/>
      <c r="BT64" s="299"/>
      <c r="BV64" s="299"/>
      <c r="BW64" s="299"/>
      <c r="BX64" s="299"/>
      <c r="BY64" s="299"/>
      <c r="CA64" s="299"/>
      <c r="CB64" s="299"/>
      <c r="CC64" s="299">
        <v>117</v>
      </c>
      <c r="CD64" s="996">
        <v>150</v>
      </c>
      <c r="CE64" s="696">
        <f>SUM(CA64:CD64)</f>
        <v>267</v>
      </c>
      <c r="CF64" s="711">
        <f>CJ64/4</f>
        <v>69.76600198419095</v>
      </c>
      <c r="CG64" s="711">
        <f>CJ64/4</f>
        <v>69.76600198419095</v>
      </c>
      <c r="CH64" s="711">
        <f>CJ64/4</f>
        <v>69.76600198419095</v>
      </c>
      <c r="CI64" s="711">
        <f>CJ64-CF64-CG64-CH64</f>
        <v>69.76600198419095</v>
      </c>
      <c r="CJ64" s="696">
        <f>'US HCV'!N125</f>
        <v>279.0640079367638</v>
      </c>
      <c r="CK64" s="711"/>
      <c r="CL64" s="711"/>
      <c r="CM64" s="711"/>
      <c r="CN64" s="711"/>
      <c r="CO64" s="696">
        <f>'US HCV'!O125</f>
        <v>300</v>
      </c>
      <c r="CP64" s="711"/>
      <c r="CQ64" s="711"/>
      <c r="CR64" s="711"/>
      <c r="CS64" s="711"/>
      <c r="CT64" s="696">
        <f>'US HCV'!P125</f>
        <v>200</v>
      </c>
      <c r="CU64" s="711"/>
      <c r="CV64" s="711"/>
      <c r="CW64" s="711"/>
      <c r="CX64" s="711"/>
      <c r="CY64" s="696">
        <f>'US HCV'!Q125</f>
        <v>150</v>
      </c>
      <c r="CZ64" s="711"/>
      <c r="DA64" s="711"/>
      <c r="DB64" s="711"/>
      <c r="DC64" s="711"/>
      <c r="DD64" s="696">
        <f>'US HCV'!R125</f>
        <v>150</v>
      </c>
      <c r="DE64" s="711"/>
      <c r="DF64" s="711"/>
      <c r="DG64" s="711"/>
      <c r="DH64" s="711"/>
      <c r="DI64" s="696">
        <f>'US HCV'!S125</f>
        <v>150</v>
      </c>
      <c r="DJ64" s="711"/>
      <c r="DK64" s="711"/>
      <c r="DL64" s="711"/>
      <c r="DM64" s="711"/>
      <c r="DN64" s="696">
        <f>'US HCV'!T125</f>
        <v>150</v>
      </c>
      <c r="DO64" s="711"/>
      <c r="DP64" s="711"/>
      <c r="DQ64" s="711"/>
      <c r="DR64" s="711"/>
      <c r="DS64" s="696">
        <f>'US HCV'!U125</f>
        <v>150</v>
      </c>
      <c r="DT64" s="711"/>
      <c r="DU64" s="711"/>
      <c r="DV64" s="711"/>
      <c r="DW64" s="711"/>
      <c r="DX64" s="696">
        <f>'US HCV'!V125</f>
        <v>150</v>
      </c>
      <c r="DY64" s="711"/>
      <c r="DZ64" s="711"/>
      <c r="EA64" s="711"/>
      <c r="EB64" s="711"/>
      <c r="EC64" s="696">
        <f>'US HCV'!W125</f>
        <v>150</v>
      </c>
      <c r="ED64" s="711"/>
      <c r="EE64" s="711"/>
      <c r="EF64" s="711"/>
      <c r="EG64" s="711"/>
      <c r="EH64" s="696">
        <f>'US HCV'!X125</f>
        <v>150</v>
      </c>
      <c r="EI64" s="711"/>
      <c r="EJ64" s="711"/>
      <c r="EK64" s="711"/>
      <c r="EL64" s="711"/>
      <c r="EM64" s="696">
        <f>'US HCV'!Y125</f>
        <v>150</v>
      </c>
      <c r="EN64" s="711"/>
      <c r="EO64" s="711"/>
      <c r="EP64" s="711"/>
      <c r="EQ64" s="711"/>
      <c r="ER64" s="696">
        <f>'US HCV'!Z125</f>
        <v>150</v>
      </c>
    </row>
    <row r="65" spans="2:152" s="696" customFormat="1">
      <c r="B65" s="699" t="s">
        <v>80</v>
      </c>
      <c r="D65" s="297"/>
      <c r="E65" s="297"/>
      <c r="F65" s="297"/>
      <c r="G65" s="297"/>
      <c r="I65" s="297"/>
      <c r="J65" s="297"/>
      <c r="K65" s="297"/>
      <c r="L65" s="297"/>
      <c r="N65" s="297"/>
      <c r="O65" s="297"/>
      <c r="P65" s="297"/>
      <c r="Q65" s="297"/>
      <c r="S65" s="297"/>
      <c r="T65" s="297"/>
      <c r="U65" s="297"/>
      <c r="V65" s="297"/>
      <c r="X65" s="297"/>
      <c r="Y65" s="297"/>
      <c r="Z65" s="297"/>
      <c r="AA65" s="297"/>
      <c r="AC65" s="297"/>
      <c r="AD65" s="297"/>
      <c r="AE65" s="297"/>
      <c r="AF65" s="297"/>
      <c r="AH65" s="297"/>
      <c r="AI65" s="297"/>
      <c r="AJ65" s="297"/>
      <c r="AK65" s="297"/>
      <c r="AM65" s="297"/>
      <c r="AN65" s="297"/>
      <c r="AO65" s="297"/>
      <c r="AP65" s="297"/>
      <c r="AR65" s="297"/>
      <c r="AS65" s="297"/>
      <c r="AT65" s="297"/>
      <c r="AU65" s="297"/>
      <c r="AW65" s="297"/>
      <c r="AX65" s="297"/>
      <c r="AY65" s="297"/>
      <c r="AZ65" s="297"/>
      <c r="BB65" s="711"/>
      <c r="BC65" s="711"/>
      <c r="BD65" s="711"/>
      <c r="BE65" s="711"/>
      <c r="BG65" s="711"/>
      <c r="BH65" s="711"/>
      <c r="BI65" s="711"/>
      <c r="BJ65" s="299"/>
      <c r="BL65" s="299"/>
      <c r="BM65" s="299"/>
      <c r="BN65" s="299"/>
      <c r="BO65" s="299"/>
      <c r="BQ65" s="299"/>
      <c r="BR65" s="299"/>
      <c r="BS65" s="299"/>
      <c r="BT65" s="299"/>
      <c r="BV65" s="299"/>
      <c r="BW65" s="299"/>
      <c r="BX65" s="299"/>
      <c r="BY65" s="299"/>
      <c r="CA65" s="299"/>
      <c r="CB65" s="299"/>
      <c r="CC65" s="299">
        <v>5</v>
      </c>
      <c r="CD65" s="996">
        <v>17</v>
      </c>
      <c r="CE65" s="696">
        <f>SUM(CA65:CD65)</f>
        <v>22</v>
      </c>
      <c r="CF65" s="711">
        <f>CJ65/4</f>
        <v>27.710480345559322</v>
      </c>
      <c r="CG65" s="711">
        <f>CJ65/4</f>
        <v>27.710480345559322</v>
      </c>
      <c r="CH65" s="711">
        <f>CJ65/4</f>
        <v>27.710480345559322</v>
      </c>
      <c r="CI65" s="711">
        <f>CJ65/4</f>
        <v>27.710480345559322</v>
      </c>
      <c r="CJ65" s="696">
        <f>'US HCV'!N131</f>
        <v>110.84192138223729</v>
      </c>
      <c r="CK65" s="711"/>
      <c r="CL65" s="711"/>
      <c r="CM65" s="711"/>
      <c r="CN65" s="711"/>
      <c r="CO65" s="696">
        <f>'US HCV'!O131</f>
        <v>150</v>
      </c>
      <c r="CP65" s="711"/>
      <c r="CQ65" s="711"/>
      <c r="CR65" s="711"/>
      <c r="CS65" s="711"/>
      <c r="CT65" s="696">
        <f>'US HCV'!P131</f>
        <v>175</v>
      </c>
      <c r="CU65" s="711"/>
      <c r="CV65" s="711"/>
      <c r="CW65" s="711"/>
      <c r="CX65" s="711"/>
      <c r="CY65" s="696">
        <f>'US HCV'!Q131</f>
        <v>200</v>
      </c>
      <c r="CZ65" s="711"/>
      <c r="DA65" s="711"/>
      <c r="DB65" s="711"/>
      <c r="DC65" s="711"/>
      <c r="DD65" s="696">
        <f>'US HCV'!R131</f>
        <v>150</v>
      </c>
      <c r="DE65" s="711"/>
      <c r="DF65" s="711"/>
      <c r="DG65" s="711"/>
      <c r="DH65" s="711"/>
      <c r="DI65" s="696">
        <f>'US HCV'!S131</f>
        <v>100</v>
      </c>
      <c r="DJ65" s="711"/>
      <c r="DK65" s="711"/>
      <c r="DL65" s="711"/>
      <c r="DM65" s="711"/>
      <c r="DN65" s="696">
        <f>'US HCV'!T131</f>
        <v>100</v>
      </c>
      <c r="DO65" s="711"/>
      <c r="DP65" s="711"/>
      <c r="DQ65" s="711"/>
      <c r="DR65" s="711"/>
      <c r="DS65" s="696">
        <f>'US HCV'!U131</f>
        <v>100</v>
      </c>
      <c r="DT65" s="711"/>
      <c r="DU65" s="711"/>
      <c r="DV65" s="711"/>
      <c r="DW65" s="711"/>
      <c r="DX65" s="696">
        <f>'US HCV'!V131</f>
        <v>100</v>
      </c>
      <c r="DY65" s="711"/>
      <c r="DZ65" s="711"/>
      <c r="EA65" s="711"/>
      <c r="EB65" s="711"/>
      <c r="EC65" s="696">
        <f>'US HCV'!W131</f>
        <v>100</v>
      </c>
      <c r="ED65" s="711"/>
      <c r="EE65" s="711"/>
      <c r="EF65" s="711"/>
      <c r="EG65" s="711"/>
      <c r="EH65" s="696">
        <f>'US HCV'!X131</f>
        <v>100</v>
      </c>
      <c r="EI65" s="711"/>
      <c r="EJ65" s="711"/>
      <c r="EK65" s="711"/>
      <c r="EL65" s="711"/>
      <c r="EM65" s="696">
        <f>'US HCV'!Y131</f>
        <v>100</v>
      </c>
      <c r="EN65" s="711"/>
      <c r="EO65" s="711"/>
      <c r="EP65" s="711"/>
      <c r="EQ65" s="711"/>
      <c r="ER65" s="696">
        <f>'US HCV'!Z131</f>
        <v>5</v>
      </c>
    </row>
    <row r="66" spans="2:152">
      <c r="B66" s="699" t="s">
        <v>81</v>
      </c>
      <c r="D66" s="297"/>
      <c r="E66" s="297"/>
      <c r="F66" s="297"/>
      <c r="G66" s="297"/>
      <c r="I66" s="297"/>
      <c r="J66" s="297"/>
      <c r="K66" s="297"/>
      <c r="L66" s="297"/>
      <c r="N66" s="297"/>
      <c r="O66" s="297"/>
      <c r="P66" s="297"/>
      <c r="Q66" s="297"/>
      <c r="S66" s="297"/>
      <c r="T66" s="297"/>
      <c r="U66" s="297"/>
      <c r="V66" s="297"/>
      <c r="X66" s="297"/>
      <c r="Y66" s="297"/>
      <c r="Z66" s="297"/>
      <c r="AA66" s="297"/>
      <c r="AC66" s="297"/>
      <c r="AD66" s="297"/>
      <c r="AE66" s="297"/>
      <c r="AF66" s="297"/>
      <c r="AH66" s="297"/>
      <c r="AI66" s="297"/>
      <c r="AJ66" s="297"/>
      <c r="AK66" s="297"/>
      <c r="AM66" s="297"/>
      <c r="AN66" s="297"/>
      <c r="AO66" s="297"/>
      <c r="AP66" s="297"/>
      <c r="AR66" s="297"/>
      <c r="AS66" s="297"/>
      <c r="AT66" s="297"/>
      <c r="AU66" s="297"/>
      <c r="AW66" s="297"/>
      <c r="AX66" s="297"/>
      <c r="AY66" s="297"/>
      <c r="AZ66" s="297"/>
      <c r="BB66" s="298"/>
      <c r="BC66" s="298"/>
      <c r="BD66" s="298"/>
      <c r="BE66" s="298"/>
      <c r="BG66" s="298"/>
      <c r="BH66" s="298"/>
      <c r="BI66" s="298"/>
      <c r="BJ66" s="298"/>
      <c r="BL66" s="298"/>
      <c r="BM66" s="298"/>
      <c r="BN66" s="298"/>
      <c r="BO66" s="298"/>
      <c r="BQ66" s="298"/>
      <c r="BR66" s="298"/>
      <c r="BS66" s="299"/>
      <c r="BT66" s="299"/>
      <c r="BV66" s="298"/>
      <c r="BW66" s="298"/>
      <c r="BX66" s="298"/>
      <c r="BY66" s="298"/>
      <c r="CA66" s="298"/>
      <c r="CB66" s="298"/>
      <c r="CC66" s="299">
        <v>1</v>
      </c>
      <c r="CD66" s="996">
        <v>3</v>
      </c>
      <c r="CE66" s="696">
        <f>SUM(CA66:CD66)</f>
        <v>4</v>
      </c>
      <c r="CF66" s="711">
        <f>CJ66/4</f>
        <v>14.776228412459588</v>
      </c>
      <c r="CG66" s="711">
        <f>CJ66/4</f>
        <v>14.776228412459588</v>
      </c>
      <c r="CH66" s="711">
        <f>CJ66/4</f>
        <v>14.776228412459588</v>
      </c>
      <c r="CI66" s="711">
        <f>CJ66/4</f>
        <v>14.776228412459588</v>
      </c>
      <c r="CJ66" s="696">
        <f>'US HCV'!N136+'US HCV'!N141</f>
        <v>59.104913649838352</v>
      </c>
      <c r="CK66" s="298"/>
      <c r="CL66" s="298"/>
      <c r="CM66" s="298"/>
      <c r="CN66" s="298"/>
      <c r="CO66" s="696">
        <f>'US HCV'!O136+'US HCV'!O141</f>
        <v>98.096386525629612</v>
      </c>
      <c r="CP66" s="298"/>
      <c r="CQ66" s="298"/>
      <c r="CR66" s="298"/>
      <c r="CS66" s="298"/>
      <c r="CT66" s="696">
        <f>'US HCV'!P136+'US HCV'!P141</f>
        <v>106.67171965533977</v>
      </c>
      <c r="CU66" s="298"/>
      <c r="CV66" s="298"/>
      <c r="CW66" s="298"/>
      <c r="CX66" s="298"/>
      <c r="CY66" s="696">
        <f>'US HCV'!Q136+'US HCV'!Q141</f>
        <v>118.28684032583352</v>
      </c>
      <c r="CZ66" s="298"/>
      <c r="DA66" s="298"/>
      <c r="DB66" s="298"/>
      <c r="DC66" s="298"/>
      <c r="DD66" s="696">
        <f>'US HCV'!R136+'US HCV'!R141</f>
        <v>91.047796160938361</v>
      </c>
      <c r="DE66" s="298"/>
      <c r="DF66" s="298"/>
      <c r="DG66" s="298"/>
      <c r="DH66" s="298"/>
      <c r="DI66" s="696">
        <f>'US HCV'!S136+'US HCV'!S141</f>
        <v>65.307900160404913</v>
      </c>
      <c r="DJ66" s="298"/>
      <c r="DK66" s="298"/>
      <c r="DL66" s="298"/>
      <c r="DM66" s="298"/>
      <c r="DN66" s="696">
        <f>'US HCV'!T136+'US HCV'!T141</f>
        <v>63.434299270989783</v>
      </c>
      <c r="DO66" s="298"/>
      <c r="DP66" s="298"/>
      <c r="DQ66" s="298"/>
      <c r="DR66" s="298"/>
      <c r="DS66" s="696">
        <f>'US HCV'!U136+'US HCV'!U141</f>
        <v>62.815571057004348</v>
      </c>
      <c r="DT66" s="298"/>
      <c r="DU66" s="298"/>
      <c r="DV66" s="298"/>
      <c r="DW66" s="298"/>
      <c r="DX66" s="696">
        <f>'US HCV'!V136+'US HCV'!V141</f>
        <v>61.247607001036776</v>
      </c>
      <c r="DY66" s="298"/>
      <c r="DZ66" s="298"/>
      <c r="EA66" s="298"/>
      <c r="EB66" s="298"/>
      <c r="EC66" s="696">
        <f>'US HCV'!W136+'US HCV'!W141</f>
        <v>60.730152632311317</v>
      </c>
      <c r="ED66" s="298"/>
      <c r="EE66" s="298"/>
      <c r="EF66" s="298"/>
      <c r="EG66" s="298"/>
      <c r="EH66" s="696">
        <f>'US HCV'!X136+'US HCV'!X141</f>
        <v>59.417832027347565</v>
      </c>
      <c r="EI66" s="298"/>
      <c r="EJ66" s="298"/>
      <c r="EK66" s="298"/>
      <c r="EL66" s="298"/>
      <c r="EM66" s="696">
        <f>'US HCV'!AC136+'US HCV'!Y141</f>
        <v>50</v>
      </c>
      <c r="EN66" s="298"/>
      <c r="EO66" s="298"/>
      <c r="EP66" s="298"/>
      <c r="EQ66" s="298"/>
      <c r="ER66" s="696">
        <f>'US HCV'!Z136+'US HCV'!Z141</f>
        <v>3.1328771247301912</v>
      </c>
      <c r="EU66" s="116">
        <f>8500-7641</f>
        <v>859</v>
      </c>
      <c r="EV66" s="116">
        <f>EU66*4</f>
        <v>3436</v>
      </c>
    </row>
    <row r="67" spans="2:152" s="696" customFormat="1">
      <c r="B67" s="699"/>
      <c r="D67" s="297"/>
      <c r="E67" s="297"/>
      <c r="F67" s="297"/>
      <c r="G67" s="297"/>
      <c r="I67" s="297"/>
      <c r="J67" s="297"/>
      <c r="K67" s="297"/>
      <c r="L67" s="297"/>
      <c r="N67" s="297"/>
      <c r="O67" s="297"/>
      <c r="P67" s="297"/>
      <c r="Q67" s="297"/>
      <c r="S67" s="297"/>
      <c r="T67" s="297"/>
      <c r="U67" s="297"/>
      <c r="V67" s="297"/>
      <c r="X67" s="297"/>
      <c r="Y67" s="297"/>
      <c r="Z67" s="297"/>
      <c r="AA67" s="297"/>
      <c r="AC67" s="297"/>
      <c r="AD67" s="297"/>
      <c r="AE67" s="297"/>
      <c r="AF67" s="297"/>
      <c r="AH67" s="297"/>
      <c r="AI67" s="297"/>
      <c r="AJ67" s="297"/>
      <c r="AK67" s="297"/>
      <c r="AM67" s="297"/>
      <c r="AN67" s="297"/>
      <c r="AO67" s="297"/>
      <c r="AP67" s="297"/>
      <c r="AR67" s="297"/>
      <c r="AS67" s="297"/>
      <c r="AT67" s="297"/>
      <c r="AU67" s="297"/>
      <c r="AW67" s="297"/>
      <c r="AX67" s="297"/>
      <c r="AY67" s="297"/>
      <c r="AZ67" s="297"/>
      <c r="BB67" s="711"/>
      <c r="BC67" s="711"/>
      <c r="BD67" s="711"/>
      <c r="BE67" s="711"/>
      <c r="BG67" s="711"/>
      <c r="BH67" s="711"/>
      <c r="BI67" s="711"/>
      <c r="BJ67" s="711"/>
      <c r="BL67" s="711"/>
      <c r="BM67" s="711"/>
      <c r="BN67" s="711"/>
      <c r="BO67" s="711"/>
      <c r="BQ67" s="711"/>
      <c r="BR67" s="711"/>
      <c r="BS67" s="299"/>
      <c r="BT67" s="299"/>
      <c r="BV67" s="711"/>
      <c r="BW67" s="711"/>
      <c r="BX67" s="711"/>
      <c r="BY67" s="711"/>
      <c r="CA67" s="711"/>
      <c r="CB67" s="711"/>
      <c r="CC67" s="711"/>
      <c r="CD67" s="711"/>
      <c r="CF67" s="711"/>
      <c r="CG67" s="711"/>
      <c r="CH67" s="711"/>
      <c r="CI67" s="711"/>
      <c r="CK67" s="711"/>
      <c r="CL67" s="711"/>
      <c r="CM67" s="711"/>
      <c r="CN67" s="711"/>
      <c r="CP67" s="711"/>
      <c r="CQ67" s="711"/>
      <c r="CR67" s="711"/>
      <c r="CS67" s="711"/>
      <c r="CU67" s="711"/>
      <c r="CV67" s="711"/>
      <c r="CW67" s="711"/>
      <c r="CX67" s="711"/>
      <c r="CZ67" s="711"/>
      <c r="DA67" s="711"/>
      <c r="DB67" s="711"/>
      <c r="DC67" s="711"/>
      <c r="DE67" s="711"/>
      <c r="DF67" s="711"/>
      <c r="DG67" s="711"/>
      <c r="DH67" s="711"/>
      <c r="DJ67" s="711"/>
      <c r="DK67" s="711"/>
      <c r="DL67" s="711"/>
      <c r="DM67" s="711"/>
      <c r="DO67" s="711"/>
      <c r="DP67" s="711"/>
      <c r="DQ67" s="711"/>
      <c r="DR67" s="711"/>
      <c r="DT67" s="711"/>
      <c r="DU67" s="711"/>
      <c r="DV67" s="711"/>
      <c r="DW67" s="711"/>
      <c r="DY67" s="711"/>
      <c r="DZ67" s="711"/>
      <c r="EA67" s="711"/>
      <c r="EB67" s="711"/>
      <c r="ED67" s="711"/>
      <c r="EE67" s="711"/>
      <c r="EF67" s="711"/>
      <c r="EG67" s="711"/>
      <c r="EI67" s="711"/>
      <c r="EJ67" s="711"/>
      <c r="EK67" s="711"/>
      <c r="EL67" s="711"/>
      <c r="EN67" s="711"/>
      <c r="EO67" s="711"/>
      <c r="EP67" s="711"/>
      <c r="EQ67" s="711"/>
      <c r="EU67" s="696">
        <f>9000-7641</f>
        <v>1359</v>
      </c>
      <c r="EV67" s="696">
        <f>EU67*4</f>
        <v>5436</v>
      </c>
    </row>
    <row r="68" spans="2:152" ht="13.5" hidden="1" customHeight="1" outlineLevel="1">
      <c r="B68" s="232" t="s">
        <v>67</v>
      </c>
      <c r="C68" s="230"/>
      <c r="D68" s="297"/>
      <c r="E68" s="297"/>
      <c r="F68" s="297"/>
      <c r="G68" s="297"/>
      <c r="H68" s="230"/>
      <c r="I68" s="352">
        <v>5.8</v>
      </c>
      <c r="J68" s="352">
        <v>12.4</v>
      </c>
      <c r="K68" s="352">
        <v>16.399999999999999</v>
      </c>
      <c r="L68" s="352">
        <v>15.8</v>
      </c>
      <c r="M68" s="230">
        <f>I68+J68+K68+L68</f>
        <v>50.399999999999991</v>
      </c>
      <c r="N68" s="352">
        <v>18.922000000000001</v>
      </c>
      <c r="O68" s="352">
        <f>27.962</f>
        <v>27.962</v>
      </c>
      <c r="P68" s="352">
        <f t="shared" ref="P68:V68" si="41">SUM(P69:P72)</f>
        <v>29.734000000000002</v>
      </c>
      <c r="Q68" s="352">
        <f t="shared" si="41"/>
        <v>35.906999999999996</v>
      </c>
      <c r="R68" s="230">
        <f t="shared" si="41"/>
        <v>112.52500000000001</v>
      </c>
      <c r="S68" s="352">
        <f t="shared" si="41"/>
        <v>42.664999999999999</v>
      </c>
      <c r="T68" s="352">
        <f t="shared" si="41"/>
        <v>45.805</v>
      </c>
      <c r="U68" s="352">
        <f t="shared" si="41"/>
        <v>46.893000000000001</v>
      </c>
      <c r="V68" s="352">
        <f t="shared" si="41"/>
        <v>51.168999999999997</v>
      </c>
      <c r="W68" s="230">
        <f>S68+T68+U68+V68</f>
        <v>186.53199999999998</v>
      </c>
      <c r="X68" s="352">
        <f>SUM(X69:X71)</f>
        <v>52.655000000000008</v>
      </c>
      <c r="Y68" s="352">
        <f>SUM(Y69:Y71)</f>
        <v>56.844000000000008</v>
      </c>
      <c r="Z68" s="352">
        <f>SUM(Z69:Z71)</f>
        <v>55.113</v>
      </c>
      <c r="AA68" s="352">
        <f>SUM(AA69:AA71)</f>
        <v>65.919000000000011</v>
      </c>
      <c r="AB68" s="230">
        <f>X68+Y68+Z68+AA68</f>
        <v>230.53100000000003</v>
      </c>
      <c r="AC68" s="352">
        <f>SUM(AC69:AC71)</f>
        <v>71.343999999999994</v>
      </c>
      <c r="AD68" s="352">
        <f>SUM(AD69:AD71)</f>
        <v>75.173000000000002</v>
      </c>
      <c r="AE68" s="352">
        <f>SUM(AE69:AE71)</f>
        <v>79.272999999999996</v>
      </c>
      <c r="AF68" s="352">
        <f>SUM(AF69:AF71)</f>
        <v>76.932000000000002</v>
      </c>
      <c r="AG68" s="230">
        <f>AC68+AD68+AE68+AF68</f>
        <v>302.72199999999998</v>
      </c>
      <c r="AH68" s="352">
        <f>SUM(AH69:AH71)</f>
        <v>83.022000000000006</v>
      </c>
      <c r="AI68" s="352">
        <f>SUM(AI69:AI71)</f>
        <v>90.364999999999995</v>
      </c>
      <c r="AJ68" s="352">
        <f>SUM(AJ69:AJ71)</f>
        <v>91.216999999999999</v>
      </c>
      <c r="AK68" s="352">
        <f>SUM(AK69:AK71)</f>
        <v>76.418999999999997</v>
      </c>
      <c r="AL68" s="230">
        <f>AH68+AI68+AJ68+AK68</f>
        <v>341.02299999999997</v>
      </c>
      <c r="AM68" s="352">
        <f>SUM(AM69:AM71)</f>
        <v>72.713999999999999</v>
      </c>
      <c r="AN68" s="352">
        <f>SUM(AN69:AN71)</f>
        <v>67.073999999999998</v>
      </c>
      <c r="AO68" s="352">
        <f>SUM(AO69:AO71)</f>
        <v>67.927999999999997</v>
      </c>
      <c r="AP68" s="352">
        <f>SUM(AP69:AP71)</f>
        <v>63.879000000000005</v>
      </c>
      <c r="AQ68" s="230">
        <f>AM68+AN68+AO68+AP68</f>
        <v>271.59500000000003</v>
      </c>
      <c r="AR68" s="352">
        <f>SUM(AR69:AR71)</f>
        <v>58.123999999999995</v>
      </c>
      <c r="AS68" s="352">
        <f>SUM(AS69:AS71)</f>
        <v>51.334000000000003</v>
      </c>
      <c r="AT68" s="352">
        <f>SUM(AT69:AT71)</f>
        <v>47.518999999999998</v>
      </c>
      <c r="AU68" s="352">
        <f>SUM(AU69:AU71)</f>
        <v>43.614999999999995</v>
      </c>
      <c r="AV68" s="230">
        <f>AR68+AS68+AT68+AU68</f>
        <v>200.59199999999998</v>
      </c>
      <c r="AW68" s="352">
        <f>SUM(AW69:AW71)</f>
        <v>38.096000000000004</v>
      </c>
      <c r="AX68" s="352">
        <f>SUM(AX69:AX71)</f>
        <v>38.655999999999999</v>
      </c>
      <c r="AY68" s="352">
        <f>SUM(AY69:AY71)</f>
        <v>35.631</v>
      </c>
      <c r="AZ68" s="352">
        <f>SUM(AZ69:AZ71)</f>
        <v>32.295999999999999</v>
      </c>
      <c r="BA68" s="230">
        <f>AW68+AX68+AY68+AZ68</f>
        <v>144.679</v>
      </c>
      <c r="BB68" s="353">
        <f>SUM(BB69:BB71)</f>
        <v>29.297000000000001</v>
      </c>
      <c r="BC68" s="353">
        <f>SUM(BC69:BC71)</f>
        <v>26.190999999999999</v>
      </c>
      <c r="BD68" s="353">
        <f>SUM(BD69:BD71)</f>
        <v>27.319000000000003</v>
      </c>
      <c r="BE68" s="353">
        <f>SUM(BE69:BE71)</f>
        <v>25.508000000000003</v>
      </c>
      <c r="BF68" s="230">
        <f>BB68+BC68+BD68+BE68</f>
        <v>108.315</v>
      </c>
      <c r="BG68" s="353">
        <f>SUM(BG69:BG71)</f>
        <v>26.423000000000002</v>
      </c>
      <c r="BH68" s="353">
        <f>SUM(BH69:BH71)</f>
        <v>21.456000000000003</v>
      </c>
      <c r="BI68" s="353">
        <f>SUM(BI69:BI71)</f>
        <v>20.316000000000003</v>
      </c>
      <c r="BJ68" s="353">
        <f>SUM(BJ69:BJ71)</f>
        <v>12.899999999999999</v>
      </c>
      <c r="BK68" s="230">
        <f>BG68+BH68+BI68+BJ68</f>
        <v>81.094999999999999</v>
      </c>
      <c r="BL68" s="353">
        <f>BL72+BL69</f>
        <v>11.723000000000001</v>
      </c>
      <c r="BM68" s="353">
        <f>BM72+BM69</f>
        <v>15.171553565312136</v>
      </c>
      <c r="BN68" s="353">
        <f>BN72+BN69</f>
        <v>14.457759565626112</v>
      </c>
      <c r="BO68" s="353">
        <f>BO72+BO69</f>
        <v>7.5593902517100515</v>
      </c>
      <c r="BP68" s="230">
        <f>(BP69+BP72)</f>
        <v>48.911703382648298</v>
      </c>
      <c r="BQ68" s="353">
        <f>BQ72+BQ69</f>
        <v>8.7571036740090982</v>
      </c>
      <c r="BR68" s="353">
        <v>7</v>
      </c>
      <c r="BS68" s="353"/>
      <c r="BT68" s="353"/>
      <c r="BU68" s="230"/>
      <c r="BV68" s="353"/>
      <c r="BW68" s="353"/>
      <c r="BX68" s="353"/>
      <c r="BY68" s="353"/>
      <c r="BZ68" s="230"/>
      <c r="CA68" s="353"/>
      <c r="CB68" s="353"/>
      <c r="CC68" s="353"/>
      <c r="CD68" s="353"/>
      <c r="CE68" s="230"/>
      <c r="CF68" s="353"/>
      <c r="CG68" s="353"/>
      <c r="CH68" s="353"/>
      <c r="CI68" s="353"/>
      <c r="CJ68" s="230"/>
      <c r="CK68" s="353"/>
      <c r="CL68" s="353"/>
      <c r="CM68" s="353"/>
      <c r="CN68" s="353"/>
      <c r="CO68" s="230"/>
      <c r="CP68" s="353"/>
      <c r="CQ68" s="353"/>
      <c r="CR68" s="353"/>
      <c r="CS68" s="353"/>
      <c r="CT68" s="230"/>
      <c r="CU68" s="353"/>
      <c r="CV68" s="353"/>
      <c r="CW68" s="353"/>
      <c r="CX68" s="353"/>
      <c r="CY68" s="230"/>
      <c r="CZ68" s="353"/>
      <c r="DA68" s="353"/>
      <c r="DB68" s="353"/>
      <c r="DC68" s="353"/>
      <c r="DD68" s="230"/>
      <c r="DE68" s="353"/>
      <c r="DF68" s="353"/>
      <c r="DG68" s="353"/>
      <c r="DH68" s="353"/>
      <c r="DI68" s="230"/>
      <c r="DJ68" s="353"/>
      <c r="DK68" s="353"/>
      <c r="DL68" s="353"/>
      <c r="DM68" s="353"/>
      <c r="DN68" s="230"/>
      <c r="DO68" s="353"/>
      <c r="DP68" s="353"/>
      <c r="DQ68" s="353"/>
      <c r="DR68" s="353"/>
      <c r="DS68" s="230"/>
      <c r="DT68" s="353"/>
      <c r="DU68" s="353"/>
      <c r="DV68" s="353"/>
      <c r="DW68" s="353"/>
      <c r="DX68" s="230"/>
      <c r="DY68" s="353"/>
      <c r="DZ68" s="353"/>
      <c r="EA68" s="353"/>
      <c r="EB68" s="353"/>
      <c r="EC68" s="230"/>
      <c r="ED68" s="353"/>
      <c r="EE68" s="353"/>
      <c r="EF68" s="353"/>
      <c r="EG68" s="353"/>
      <c r="EH68" s="230"/>
      <c r="EI68" s="353"/>
      <c r="EJ68" s="353"/>
      <c r="EK68" s="353"/>
      <c r="EL68" s="353"/>
      <c r="EM68" s="230"/>
      <c r="EN68" s="353"/>
      <c r="EO68" s="353"/>
      <c r="EP68" s="353"/>
      <c r="EQ68" s="353"/>
      <c r="ER68" s="230"/>
    </row>
    <row r="69" spans="2:152" ht="12.75" hidden="1" customHeight="1" outlineLevel="1">
      <c r="B69" s="231" t="s">
        <v>721</v>
      </c>
      <c r="D69" s="297"/>
      <c r="E69" s="297"/>
      <c r="F69" s="297"/>
      <c r="G69" s="297"/>
      <c r="I69" s="297"/>
      <c r="J69" s="297"/>
      <c r="K69" s="297"/>
      <c r="L69" s="297"/>
      <c r="N69" s="297">
        <v>9.4</v>
      </c>
      <c r="O69" s="297">
        <v>14.6</v>
      </c>
      <c r="P69" s="297">
        <v>14.569000000000001</v>
      </c>
      <c r="Q69" s="297">
        <v>17.221</v>
      </c>
      <c r="R69" s="116">
        <f>N69+O69+P69+Q69</f>
        <v>55.790000000000006</v>
      </c>
      <c r="S69" s="297">
        <v>18.323</v>
      </c>
      <c r="T69" s="297">
        <v>19.116</v>
      </c>
      <c r="U69" s="297">
        <v>21.94</v>
      </c>
      <c r="V69" s="297">
        <v>23.553000000000001</v>
      </c>
      <c r="W69" s="116">
        <f>S69+T69+U69+V69</f>
        <v>82.932000000000002</v>
      </c>
      <c r="X69" s="297">
        <v>22.388000000000002</v>
      </c>
      <c r="Y69" s="297">
        <v>23.8</v>
      </c>
      <c r="Z69" s="297">
        <v>23.425999999999998</v>
      </c>
      <c r="AA69" s="297">
        <v>27.71</v>
      </c>
      <c r="AB69" s="116">
        <f>X69+Y69+Z69+AA69</f>
        <v>97.324000000000012</v>
      </c>
      <c r="AC69" s="297">
        <v>29.768999999999998</v>
      </c>
      <c r="AD69" s="297">
        <v>32.491</v>
      </c>
      <c r="AE69" s="297">
        <v>32.387</v>
      </c>
      <c r="AF69" s="297">
        <v>28.832000000000001</v>
      </c>
      <c r="AG69" s="116">
        <f>AC69+AD69+AE69+AF69</f>
        <v>123.47899999999998</v>
      </c>
      <c r="AH69" s="297">
        <v>31.274999999999999</v>
      </c>
      <c r="AI69" s="297">
        <v>34.581000000000003</v>
      </c>
      <c r="AJ69" s="297">
        <v>36.744</v>
      </c>
      <c r="AK69" s="297">
        <v>28.803999999999998</v>
      </c>
      <c r="AL69" s="116">
        <f>AH69+AI69+AJ69+AK69</f>
        <v>131.404</v>
      </c>
      <c r="AM69" s="297">
        <v>25.652000000000001</v>
      </c>
      <c r="AN69" s="297">
        <v>22.771000000000001</v>
      </c>
      <c r="AO69" s="297">
        <v>25.795000000000002</v>
      </c>
      <c r="AP69" s="297">
        <v>23.43</v>
      </c>
      <c r="AQ69" s="116">
        <f>AM69+AN69+AO69+AP69</f>
        <v>97.647999999999996</v>
      </c>
      <c r="AR69" s="297">
        <v>21.565000000000001</v>
      </c>
      <c r="AS69" s="297">
        <v>19.47</v>
      </c>
      <c r="AT69" s="297">
        <v>19.055</v>
      </c>
      <c r="AU69" s="297">
        <v>16.457999999999998</v>
      </c>
      <c r="AV69" s="116">
        <f>AR69+AS69+AT69+AU69</f>
        <v>76.548000000000002</v>
      </c>
      <c r="AW69" s="297">
        <v>13.874000000000001</v>
      </c>
      <c r="AX69" s="297">
        <v>14.765000000000001</v>
      </c>
      <c r="AY69" s="297">
        <v>14.17</v>
      </c>
      <c r="AZ69" s="297">
        <v>14.45</v>
      </c>
      <c r="BA69" s="116">
        <f>AW69+AX69+AY69+AZ69</f>
        <v>57.259</v>
      </c>
      <c r="BB69" s="298">
        <v>12.808999999999999</v>
      </c>
      <c r="BC69" s="298">
        <v>8.1720000000000006</v>
      </c>
      <c r="BD69" s="298">
        <v>12.615</v>
      </c>
      <c r="BE69" s="298">
        <v>9.766</v>
      </c>
      <c r="BF69" s="116">
        <f>BB69+BC69+BD69+BE69</f>
        <v>43.362000000000002</v>
      </c>
      <c r="BG69" s="298">
        <v>12.95</v>
      </c>
      <c r="BH69" s="298">
        <v>9.8710000000000004</v>
      </c>
      <c r="BI69" s="298">
        <v>8.5779999999999994</v>
      </c>
      <c r="BJ69" s="299">
        <v>2.7759999999999998</v>
      </c>
      <c r="BK69" s="116">
        <f>BG69+BH69+BI69+BJ69</f>
        <v>34.174999999999997</v>
      </c>
      <c r="BL69" s="299">
        <v>2.23</v>
      </c>
      <c r="BM69" s="298">
        <v>6.5800119966052399</v>
      </c>
      <c r="BN69" s="298">
        <v>5.7180977516847067</v>
      </c>
      <c r="BO69" s="298">
        <v>2.5593902517100515</v>
      </c>
      <c r="BP69" s="116">
        <f>SUM(BL69:BO69)</f>
        <v>17.087499999999999</v>
      </c>
      <c r="BQ69" s="299">
        <v>1.7571036740090982</v>
      </c>
      <c r="BR69" s="298">
        <v>1</v>
      </c>
      <c r="BS69" s="298"/>
      <c r="BT69" s="298"/>
      <c r="BV69" s="298"/>
      <c r="BW69" s="298"/>
      <c r="BX69" s="298"/>
      <c r="BY69" s="298"/>
      <c r="CA69" s="298"/>
      <c r="CB69" s="298"/>
      <c r="CC69" s="298"/>
      <c r="CD69" s="298"/>
      <c r="CF69" s="298"/>
      <c r="CG69" s="298"/>
      <c r="CH69" s="298"/>
      <c r="CI69" s="298"/>
      <c r="CK69" s="298"/>
      <c r="CL69" s="298"/>
      <c r="CM69" s="298"/>
      <c r="CN69" s="298"/>
      <c r="CP69" s="298"/>
      <c r="CQ69" s="298"/>
      <c r="CR69" s="298"/>
      <c r="CS69" s="298"/>
      <c r="CU69" s="298"/>
      <c r="CV69" s="298"/>
      <c r="CW69" s="298"/>
      <c r="CX69" s="298"/>
      <c r="CZ69" s="298"/>
      <c r="DA69" s="298"/>
      <c r="DB69" s="298"/>
      <c r="DC69" s="298"/>
      <c r="DE69" s="298"/>
      <c r="DF69" s="298"/>
      <c r="DG69" s="298"/>
      <c r="DH69" s="298"/>
      <c r="DJ69" s="298"/>
      <c r="DK69" s="298"/>
      <c r="DL69" s="298"/>
      <c r="DM69" s="298"/>
      <c r="DO69" s="298"/>
      <c r="DP69" s="298"/>
      <c r="DQ69" s="298"/>
      <c r="DR69" s="298"/>
      <c r="DT69" s="298"/>
      <c r="DU69" s="298"/>
      <c r="DV69" s="298"/>
      <c r="DW69" s="298"/>
      <c r="DY69" s="298"/>
      <c r="DZ69" s="298"/>
      <c r="EA69" s="298"/>
      <c r="EB69" s="298"/>
      <c r="ED69" s="298"/>
      <c r="EE69" s="298"/>
      <c r="EF69" s="298"/>
      <c r="EG69" s="298"/>
      <c r="EI69" s="298"/>
      <c r="EJ69" s="298"/>
      <c r="EK69" s="298"/>
      <c r="EL69" s="298"/>
      <c r="EN69" s="298"/>
      <c r="EO69" s="298"/>
      <c r="EP69" s="298"/>
      <c r="EQ69" s="298"/>
    </row>
    <row r="70" spans="2:152" ht="12.75" hidden="1" customHeight="1" outlineLevel="1">
      <c r="B70" s="231" t="s">
        <v>722</v>
      </c>
      <c r="D70" s="297"/>
      <c r="E70" s="297"/>
      <c r="F70" s="297"/>
      <c r="G70" s="297"/>
      <c r="I70" s="297"/>
      <c r="J70" s="297"/>
      <c r="K70" s="297"/>
      <c r="L70" s="297"/>
      <c r="N70" s="297"/>
      <c r="O70" s="297"/>
      <c r="P70" s="297"/>
      <c r="Q70" s="297"/>
      <c r="S70" s="297"/>
      <c r="T70" s="297"/>
      <c r="U70" s="297"/>
      <c r="V70" s="297"/>
      <c r="X70" s="297">
        <f>25.14</f>
        <v>25.14</v>
      </c>
      <c r="Y70" s="297">
        <f>27.091</f>
        <v>27.091000000000001</v>
      </c>
      <c r="Z70" s="297">
        <f>25.012</f>
        <v>25.012</v>
      </c>
      <c r="AA70" s="297">
        <f>29.824</f>
        <v>29.824000000000002</v>
      </c>
      <c r="AB70" s="116">
        <f>X70+Y70+Z70+AA70</f>
        <v>107.06699999999999</v>
      </c>
      <c r="AC70" s="297">
        <f>33.29</f>
        <v>33.29</v>
      </c>
      <c r="AD70" s="297">
        <f>39.265</f>
        <v>39.265000000000001</v>
      </c>
      <c r="AE70" s="297">
        <f>42.122</f>
        <v>42.122</v>
      </c>
      <c r="AF70" s="297">
        <f>42.736</f>
        <v>42.735999999999997</v>
      </c>
      <c r="AG70" s="116">
        <f>AC70+AD70+AE70+AF70</f>
        <v>157.41300000000001</v>
      </c>
      <c r="AH70" s="297">
        <f>48.463</f>
        <v>48.463000000000001</v>
      </c>
      <c r="AI70" s="297">
        <f>50.531</f>
        <v>50.530999999999999</v>
      </c>
      <c r="AJ70" s="297">
        <f>49.437</f>
        <v>49.436999999999998</v>
      </c>
      <c r="AK70" s="297">
        <f>42.681</f>
        <v>42.680999999999997</v>
      </c>
      <c r="AL70" s="116">
        <f>AH70+AI70+AJ70+AK70</f>
        <v>191.11199999999997</v>
      </c>
      <c r="AM70" s="297">
        <f>38.917</f>
        <v>38.917000000000002</v>
      </c>
      <c r="AN70" s="297">
        <f>40.797</f>
        <v>40.796999999999997</v>
      </c>
      <c r="AO70" s="297">
        <f>38.123</f>
        <v>38.122999999999998</v>
      </c>
      <c r="AP70" s="297">
        <f>36.072</f>
        <v>36.072000000000003</v>
      </c>
      <c r="AQ70" s="116">
        <f>AM70+AN70+AO70+AP70</f>
        <v>153.90899999999999</v>
      </c>
      <c r="AR70" s="297">
        <f>33.375</f>
        <v>33.375</v>
      </c>
      <c r="AS70" s="297">
        <f>28.551</f>
        <v>28.550999999999998</v>
      </c>
      <c r="AT70" s="297">
        <f>25.095</f>
        <v>25.094999999999999</v>
      </c>
      <c r="AU70" s="297">
        <f>23.651</f>
        <v>23.651</v>
      </c>
      <c r="AV70" s="116">
        <f>AR70+AS70+AT70+AU70</f>
        <v>110.672</v>
      </c>
      <c r="AW70" s="297">
        <f>21.488</f>
        <v>21.488</v>
      </c>
      <c r="AX70" s="297">
        <f>20.582</f>
        <v>20.582000000000001</v>
      </c>
      <c r="AY70" s="297">
        <f>18.223</f>
        <v>18.222999999999999</v>
      </c>
      <c r="AZ70" s="297">
        <f>14.845</f>
        <v>14.845000000000001</v>
      </c>
      <c r="BA70" s="116">
        <f>AW70+AX70+AY70+AZ70</f>
        <v>75.138000000000005</v>
      </c>
      <c r="BB70" s="298">
        <f>13.965</f>
        <v>13.965</v>
      </c>
      <c r="BC70" s="298">
        <f>15.42</f>
        <v>15.42</v>
      </c>
      <c r="BD70" s="298">
        <f>11.999</f>
        <v>11.999000000000001</v>
      </c>
      <c r="BE70" s="298">
        <f>12.907</f>
        <v>12.907</v>
      </c>
      <c r="BF70" s="116">
        <f>BB70+BC70+BD70+BE70</f>
        <v>54.290999999999997</v>
      </c>
      <c r="BG70" s="298">
        <f>11.223</f>
        <v>11.223000000000001</v>
      </c>
      <c r="BH70" s="298">
        <f>9.268</f>
        <v>9.2680000000000007</v>
      </c>
      <c r="BI70" s="298">
        <v>9.76</v>
      </c>
      <c r="BJ70" s="299">
        <v>8.4749999999999996</v>
      </c>
      <c r="BK70" s="116">
        <f>BG70+BH70+BI70+BJ70</f>
        <v>38.725999999999999</v>
      </c>
      <c r="BL70" s="299">
        <v>7.718</v>
      </c>
      <c r="BM70" s="298">
        <v>7.0470285714285721</v>
      </c>
      <c r="BN70" s="298">
        <v>7.421126333312781</v>
      </c>
      <c r="BO70" s="298">
        <v>7</v>
      </c>
      <c r="BP70" s="116">
        <f>SUM(BL70:BO70)</f>
        <v>29.186154904741354</v>
      </c>
      <c r="BQ70" s="299">
        <v>6</v>
      </c>
      <c r="BR70" s="298">
        <v>5</v>
      </c>
      <c r="BS70" s="298"/>
      <c r="BT70" s="298"/>
      <c r="BV70" s="298"/>
      <c r="BW70" s="298"/>
      <c r="BX70" s="298"/>
      <c r="BY70" s="298"/>
      <c r="CA70" s="298"/>
      <c r="CB70" s="298"/>
      <c r="CC70" s="298"/>
      <c r="CD70" s="298"/>
      <c r="CF70" s="298"/>
      <c r="CG70" s="298"/>
      <c r="CH70" s="298"/>
      <c r="CI70" s="298"/>
      <c r="CK70" s="298"/>
      <c r="CL70" s="298"/>
      <c r="CM70" s="298"/>
      <c r="CN70" s="298"/>
      <c r="CP70" s="298"/>
      <c r="CQ70" s="298"/>
      <c r="CR70" s="298"/>
      <c r="CS70" s="298"/>
      <c r="CU70" s="298"/>
      <c r="CV70" s="298"/>
      <c r="CW70" s="298"/>
      <c r="CX70" s="298"/>
      <c r="CZ70" s="298"/>
      <c r="DA70" s="298"/>
      <c r="DB70" s="298"/>
      <c r="DC70" s="298"/>
      <c r="DE70" s="298"/>
      <c r="DF70" s="298"/>
      <c r="DG70" s="298"/>
      <c r="DH70" s="298"/>
      <c r="DJ70" s="298"/>
      <c r="DK70" s="298"/>
      <c r="DL70" s="298"/>
      <c r="DM70" s="298"/>
      <c r="DO70" s="298"/>
      <c r="DP70" s="298"/>
      <c r="DQ70" s="298"/>
      <c r="DR70" s="298"/>
      <c r="DT70" s="298"/>
      <c r="DU70" s="298"/>
      <c r="DV70" s="298"/>
      <c r="DW70" s="298"/>
      <c r="DY70" s="298"/>
      <c r="DZ70" s="298"/>
      <c r="EA70" s="298"/>
      <c r="EB70" s="298"/>
      <c r="ED70" s="298"/>
      <c r="EE70" s="298"/>
      <c r="EF70" s="298"/>
      <c r="EG70" s="298"/>
      <c r="EI70" s="298"/>
      <c r="EJ70" s="298"/>
      <c r="EK70" s="298"/>
      <c r="EL70" s="298"/>
      <c r="EN70" s="298"/>
      <c r="EO70" s="298"/>
      <c r="EP70" s="298"/>
      <c r="EQ70" s="298"/>
    </row>
    <row r="71" spans="2:152" ht="12.75" hidden="1" customHeight="1" outlineLevel="1">
      <c r="B71" s="231" t="s">
        <v>81</v>
      </c>
      <c r="D71" s="297"/>
      <c r="E71" s="297"/>
      <c r="F71" s="297"/>
      <c r="G71" s="297"/>
      <c r="I71" s="297"/>
      <c r="J71" s="297"/>
      <c r="K71" s="297"/>
      <c r="L71" s="297"/>
      <c r="N71" s="297"/>
      <c r="O71" s="297"/>
      <c r="P71" s="297"/>
      <c r="Q71" s="297"/>
      <c r="S71" s="297"/>
      <c r="T71" s="297"/>
      <c r="U71" s="297"/>
      <c r="V71" s="297"/>
      <c r="X71" s="297">
        <f>5.127</f>
        <v>5.1269999999999998</v>
      </c>
      <c r="Y71" s="297">
        <f>5.953</f>
        <v>5.9530000000000003</v>
      </c>
      <c r="Z71" s="297">
        <f>6.675</f>
        <v>6.6749999999999998</v>
      </c>
      <c r="AA71" s="297">
        <f>8.385</f>
        <v>8.3849999999999998</v>
      </c>
      <c r="AB71" s="116">
        <f>X71+Y71+Z71+AA71</f>
        <v>26.14</v>
      </c>
      <c r="AC71" s="297">
        <f>8.285</f>
        <v>8.2850000000000001</v>
      </c>
      <c r="AD71" s="297">
        <f>3.417</f>
        <v>3.4169999999999998</v>
      </c>
      <c r="AE71" s="297">
        <f>4.764</f>
        <v>4.7640000000000002</v>
      </c>
      <c r="AF71" s="297">
        <f>5.364</f>
        <v>5.3639999999999999</v>
      </c>
      <c r="AG71" s="116">
        <f>AC71+AD71+AE71+AF71</f>
        <v>21.830000000000002</v>
      </c>
      <c r="AH71" s="297">
        <f>3.284</f>
        <v>3.2839999999999998</v>
      </c>
      <c r="AI71" s="297">
        <f>5.253</f>
        <v>5.2530000000000001</v>
      </c>
      <c r="AJ71" s="297">
        <f>5.036</f>
        <v>5.0359999999999996</v>
      </c>
      <c r="AK71" s="297">
        <f>4.934</f>
        <v>4.9340000000000002</v>
      </c>
      <c r="AL71" s="116">
        <f>AH71+AI71+AJ71+AK71</f>
        <v>18.506999999999998</v>
      </c>
      <c r="AM71" s="297">
        <f>8.145</f>
        <v>8.1449999999999996</v>
      </c>
      <c r="AN71" s="297">
        <f>3.506</f>
        <v>3.5059999999999998</v>
      </c>
      <c r="AO71" s="297">
        <f>4.01</f>
        <v>4.01</v>
      </c>
      <c r="AP71" s="297">
        <f>4.377</f>
        <v>4.3769999999999998</v>
      </c>
      <c r="AQ71" s="116">
        <f>AM71+AN71+AO71+AP71</f>
        <v>20.038</v>
      </c>
      <c r="AR71" s="297">
        <f>3.184</f>
        <v>3.1840000000000002</v>
      </c>
      <c r="AS71" s="297">
        <f>3.313</f>
        <v>3.3130000000000002</v>
      </c>
      <c r="AT71" s="297">
        <f>3.369</f>
        <v>3.3690000000000002</v>
      </c>
      <c r="AU71" s="297">
        <f>3.506</f>
        <v>3.5059999999999998</v>
      </c>
      <c r="AV71" s="116">
        <f>AR71+AS71+AT71+AU71</f>
        <v>13.372</v>
      </c>
      <c r="AW71" s="297">
        <f>2.734</f>
        <v>2.734</v>
      </c>
      <c r="AX71" s="297">
        <f>3.309</f>
        <v>3.3090000000000002</v>
      </c>
      <c r="AY71" s="297">
        <f>3.238</f>
        <v>3.238</v>
      </c>
      <c r="AZ71" s="297">
        <f>3.001</f>
        <v>3.0009999999999999</v>
      </c>
      <c r="BA71" s="116">
        <f>AW71+AX71+AY71+AZ71</f>
        <v>12.282</v>
      </c>
      <c r="BB71" s="298">
        <f>2.523</f>
        <v>2.5230000000000001</v>
      </c>
      <c r="BC71" s="298">
        <f>2.599</f>
        <v>2.5990000000000002</v>
      </c>
      <c r="BD71" s="298">
        <f>2.705</f>
        <v>2.7050000000000001</v>
      </c>
      <c r="BE71" s="298">
        <f>2.835</f>
        <v>2.835</v>
      </c>
      <c r="BF71" s="116">
        <f>BB71+BC71+BD71+BE71</f>
        <v>10.661999999999999</v>
      </c>
      <c r="BG71" s="298">
        <v>2.25</v>
      </c>
      <c r="BH71" s="298">
        <v>2.3170000000000002</v>
      </c>
      <c r="BI71" s="298">
        <v>1.978</v>
      </c>
      <c r="BJ71" s="299">
        <v>1.649</v>
      </c>
      <c r="BK71" s="116">
        <f>BG71+BH71+BI71+BJ71</f>
        <v>8.1939999999999991</v>
      </c>
      <c r="BL71" s="299">
        <v>1.7749999999999999</v>
      </c>
      <c r="BM71" s="298">
        <v>1.5445129972783245</v>
      </c>
      <c r="BN71" s="298">
        <v>1.3185354806286256</v>
      </c>
      <c r="BO71" s="298">
        <v>3.1462515220930491</v>
      </c>
      <c r="BP71" s="116">
        <f>SUM(BL71:BO71)</f>
        <v>7.7842999999999991</v>
      </c>
      <c r="BQ71" s="299">
        <v>1</v>
      </c>
      <c r="BR71" s="298">
        <v>1</v>
      </c>
      <c r="BS71" s="298"/>
      <c r="BT71" s="298"/>
      <c r="BV71" s="711"/>
      <c r="BW71" s="711"/>
      <c r="BX71" s="711"/>
      <c r="BY71" s="711"/>
      <c r="CA71" s="711"/>
      <c r="CB71" s="298"/>
      <c r="CC71" s="298"/>
      <c r="CD71" s="298"/>
      <c r="CF71" s="298"/>
      <c r="CG71" s="298"/>
      <c r="CH71" s="298"/>
      <c r="CI71" s="298"/>
      <c r="CK71" s="298"/>
      <c r="CL71" s="298"/>
      <c r="CM71" s="298"/>
      <c r="CN71" s="298"/>
      <c r="CP71" s="298"/>
      <c r="CQ71" s="298"/>
      <c r="CR71" s="298"/>
      <c r="CS71" s="298"/>
      <c r="CU71" s="298"/>
      <c r="CV71" s="298"/>
      <c r="CW71" s="298"/>
      <c r="CX71" s="298"/>
      <c r="CZ71" s="298"/>
      <c r="DA71" s="298"/>
      <c r="DB71" s="298"/>
      <c r="DC71" s="298"/>
      <c r="DE71" s="298"/>
      <c r="DF71" s="298"/>
      <c r="DG71" s="298"/>
      <c r="DH71" s="298"/>
      <c r="DJ71" s="298"/>
      <c r="DK71" s="298"/>
      <c r="DL71" s="298"/>
      <c r="DM71" s="298"/>
      <c r="DO71" s="298"/>
      <c r="DP71" s="298"/>
      <c r="DQ71" s="298"/>
      <c r="DR71" s="298"/>
      <c r="DT71" s="298"/>
      <c r="DU71" s="298"/>
      <c r="DV71" s="298"/>
      <c r="DW71" s="298"/>
      <c r="DY71" s="298"/>
      <c r="DZ71" s="298"/>
      <c r="EA71" s="298"/>
      <c r="EB71" s="298"/>
      <c r="ED71" s="298"/>
      <c r="EE71" s="298"/>
      <c r="EF71" s="298"/>
      <c r="EG71" s="298"/>
      <c r="EI71" s="298"/>
      <c r="EJ71" s="298"/>
      <c r="EK71" s="298"/>
      <c r="EL71" s="298"/>
      <c r="EN71" s="298"/>
      <c r="EO71" s="298"/>
      <c r="EP71" s="298"/>
      <c r="EQ71" s="298"/>
    </row>
    <row r="72" spans="2:152" ht="12.75" hidden="1" customHeight="1" outlineLevel="2">
      <c r="B72" s="231" t="s">
        <v>82</v>
      </c>
      <c r="D72" s="297"/>
      <c r="E72" s="297"/>
      <c r="F72" s="297"/>
      <c r="G72" s="297"/>
      <c r="I72" s="297"/>
      <c r="J72" s="297"/>
      <c r="K72" s="297"/>
      <c r="L72" s="297"/>
      <c r="N72" s="297">
        <f>+N68-N69</f>
        <v>9.5220000000000002</v>
      </c>
      <c r="O72" s="297">
        <f>+O68-O69</f>
        <v>13.362</v>
      </c>
      <c r="P72" s="297">
        <v>15.164999999999999</v>
      </c>
      <c r="Q72" s="297">
        <v>18.686</v>
      </c>
      <c r="R72" s="116">
        <f>N72+O72+P72+Q72</f>
        <v>56.734999999999999</v>
      </c>
      <c r="S72" s="297">
        <v>24.341999999999999</v>
      </c>
      <c r="T72" s="297">
        <v>26.689</v>
      </c>
      <c r="U72" s="297">
        <v>24.952999999999999</v>
      </c>
      <c r="V72" s="297">
        <v>27.616</v>
      </c>
      <c r="W72" s="116">
        <f>S72+T72+U72+V72</f>
        <v>103.6</v>
      </c>
      <c r="X72" s="297">
        <f>X70+X71</f>
        <v>30.266999999999999</v>
      </c>
      <c r="Y72" s="297">
        <f>Y70+Y71</f>
        <v>33.044000000000004</v>
      </c>
      <c r="Z72" s="297">
        <f>Z70+Z71</f>
        <v>31.687000000000001</v>
      </c>
      <c r="AA72" s="297">
        <f>AA70+AA71</f>
        <v>38.209000000000003</v>
      </c>
      <c r="AB72" s="116">
        <f>X72+Y72+Z72+AA72</f>
        <v>133.20699999999999</v>
      </c>
      <c r="AC72" s="297">
        <f>AC70+AC71</f>
        <v>41.575000000000003</v>
      </c>
      <c r="AD72" s="297">
        <f>AD70+AD71</f>
        <v>42.682000000000002</v>
      </c>
      <c r="AE72" s="297">
        <f>AE70+AE71</f>
        <v>46.886000000000003</v>
      </c>
      <c r="AF72" s="297">
        <f>AF70+AF71</f>
        <v>48.099999999999994</v>
      </c>
      <c r="AG72" s="116">
        <f>AC72+AD72+AE72+AF72</f>
        <v>179.24299999999999</v>
      </c>
      <c r="AH72" s="297">
        <f>AH70+AH71</f>
        <v>51.747</v>
      </c>
      <c r="AI72" s="297">
        <f>AI70+AI71</f>
        <v>55.783999999999999</v>
      </c>
      <c r="AJ72" s="297">
        <f>AJ70+AJ71</f>
        <v>54.472999999999999</v>
      </c>
      <c r="AK72" s="297">
        <f>AK70+AK71</f>
        <v>47.614999999999995</v>
      </c>
      <c r="AL72" s="116">
        <f>AH72+AI72+AJ72+AK72</f>
        <v>209.61900000000003</v>
      </c>
      <c r="AM72" s="297">
        <f>AM70+AM71</f>
        <v>47.061999999999998</v>
      </c>
      <c r="AN72" s="297">
        <f>AN70+AN71</f>
        <v>44.302999999999997</v>
      </c>
      <c r="AO72" s="297">
        <f>AO70+AO71</f>
        <v>42.132999999999996</v>
      </c>
      <c r="AP72" s="297">
        <f>AP70+AP71</f>
        <v>40.449000000000005</v>
      </c>
      <c r="AQ72" s="116">
        <f>AM72+AN72+AO72+AP72</f>
        <v>173.947</v>
      </c>
      <c r="AR72" s="297">
        <f>AR70+AR71</f>
        <v>36.558999999999997</v>
      </c>
      <c r="AS72" s="297">
        <f>AS70+AS71</f>
        <v>31.863999999999997</v>
      </c>
      <c r="AT72" s="297">
        <f>AT70+AT71</f>
        <v>28.463999999999999</v>
      </c>
      <c r="AU72" s="297">
        <f>AU70+AU71</f>
        <v>27.157</v>
      </c>
      <c r="AV72" s="116">
        <f>AR72+AS72+AT72+AU72</f>
        <v>124.044</v>
      </c>
      <c r="AW72" s="297">
        <f>AW70+AW71</f>
        <v>24.222000000000001</v>
      </c>
      <c r="AX72" s="297">
        <f>AX70+AX71</f>
        <v>23.891000000000002</v>
      </c>
      <c r="AY72" s="297">
        <f>AY70+AY71</f>
        <v>21.460999999999999</v>
      </c>
      <c r="AZ72" s="297">
        <f>AZ70+AZ71</f>
        <v>17.846</v>
      </c>
      <c r="BA72" s="116">
        <f>AW72+AX72+AY72+AZ72</f>
        <v>87.42</v>
      </c>
      <c r="BB72" s="298">
        <f>BB70+BB71</f>
        <v>16.488</v>
      </c>
      <c r="BC72" s="298">
        <f>BC70+BC71</f>
        <v>18.018999999999998</v>
      </c>
      <c r="BD72" s="298">
        <f>BD70+BD71</f>
        <v>14.704000000000001</v>
      </c>
      <c r="BE72" s="298">
        <f>BE70+BE71</f>
        <v>15.742000000000001</v>
      </c>
      <c r="BF72" s="116">
        <f>BB72+BC72+BD72+BE72</f>
        <v>64.953000000000003</v>
      </c>
      <c r="BG72" s="298">
        <f>BG70+BG71</f>
        <v>13.473000000000001</v>
      </c>
      <c r="BH72" s="298">
        <f>BH70+BH71</f>
        <v>11.585000000000001</v>
      </c>
      <c r="BI72" s="298">
        <f>BI70+BI71</f>
        <v>11.738</v>
      </c>
      <c r="BJ72" s="298">
        <f>BJ70+BJ71</f>
        <v>10.123999999999999</v>
      </c>
      <c r="BK72" s="116">
        <f>BG72+BH72+BI72+BJ72</f>
        <v>46.92</v>
      </c>
      <c r="BL72" s="298">
        <v>9.4930000000000003</v>
      </c>
      <c r="BM72" s="298">
        <v>8.5915415687068961</v>
      </c>
      <c r="BN72" s="298">
        <v>8.7396618139414066</v>
      </c>
      <c r="BO72" s="298">
        <v>5</v>
      </c>
      <c r="BP72" s="116">
        <f>BL72+BM72+BN72+BO72</f>
        <v>31.824203382648303</v>
      </c>
      <c r="BQ72" s="298">
        <f>BQ70+BQ71</f>
        <v>7</v>
      </c>
      <c r="BR72" s="298">
        <f>BR70+BR71</f>
        <v>6</v>
      </c>
      <c r="BS72" s="298"/>
      <c r="BT72" s="298"/>
      <c r="BV72" s="298"/>
      <c r="BW72" s="711"/>
      <c r="BX72" s="711"/>
      <c r="BY72" s="711"/>
      <c r="CA72" s="711"/>
      <c r="CB72" s="298"/>
      <c r="CC72" s="298"/>
      <c r="CD72" s="298"/>
      <c r="CF72" s="298"/>
      <c r="CG72" s="298"/>
      <c r="CH72" s="298"/>
      <c r="CI72" s="298"/>
      <c r="CK72" s="298"/>
      <c r="CL72" s="298"/>
      <c r="CM72" s="298"/>
      <c r="CN72" s="298"/>
      <c r="CP72" s="298"/>
      <c r="CQ72" s="298"/>
      <c r="CR72" s="298"/>
      <c r="CS72" s="298"/>
      <c r="CU72" s="298"/>
      <c r="CV72" s="298"/>
      <c r="CW72" s="298"/>
      <c r="CX72" s="298"/>
      <c r="CZ72" s="298"/>
      <c r="DA72" s="298"/>
      <c r="DB72" s="298"/>
      <c r="DC72" s="298"/>
      <c r="DE72" s="298"/>
      <c r="DF72" s="298"/>
      <c r="DG72" s="298"/>
      <c r="DH72" s="298"/>
      <c r="DJ72" s="298"/>
      <c r="DK72" s="298"/>
      <c r="DL72" s="298"/>
      <c r="DM72" s="298"/>
      <c r="DO72" s="298"/>
      <c r="DP72" s="298"/>
      <c r="DQ72" s="298"/>
      <c r="DR72" s="298"/>
      <c r="DT72" s="298"/>
      <c r="DU72" s="298"/>
      <c r="DV72" s="298"/>
      <c r="DW72" s="298"/>
      <c r="DY72" s="298"/>
      <c r="DZ72" s="298"/>
      <c r="EA72" s="298"/>
      <c r="EB72" s="298"/>
      <c r="ED72" s="298"/>
      <c r="EE72" s="298"/>
      <c r="EF72" s="298"/>
      <c r="EG72" s="298"/>
      <c r="EI72" s="298"/>
      <c r="EJ72" s="298"/>
      <c r="EK72" s="298"/>
      <c r="EL72" s="298"/>
      <c r="EN72" s="298"/>
      <c r="EO72" s="298"/>
      <c r="EP72" s="298"/>
      <c r="EQ72" s="298"/>
    </row>
    <row r="73" spans="2:152" ht="12.75" hidden="1" customHeight="1" outlineLevel="1" collapsed="1">
      <c r="B73" s="231"/>
      <c r="D73" s="297"/>
      <c r="E73" s="297"/>
      <c r="F73" s="297"/>
      <c r="G73" s="297"/>
      <c r="I73" s="297"/>
      <c r="J73" s="297"/>
      <c r="K73" s="297"/>
      <c r="L73" s="297"/>
      <c r="N73" s="297"/>
      <c r="O73" s="297"/>
      <c r="P73" s="297"/>
      <c r="Q73" s="297"/>
      <c r="S73" s="297"/>
      <c r="T73" s="297"/>
      <c r="U73" s="297"/>
      <c r="V73" s="297"/>
      <c r="X73" s="297"/>
      <c r="Y73" s="297"/>
      <c r="Z73" s="297"/>
      <c r="AA73" s="297"/>
      <c r="AC73" s="297"/>
      <c r="AD73" s="297"/>
      <c r="AE73" s="297"/>
      <c r="AF73" s="297"/>
      <c r="AH73" s="297"/>
      <c r="AI73" s="297"/>
      <c r="AJ73" s="297"/>
      <c r="AK73" s="297"/>
      <c r="AM73" s="297"/>
      <c r="AN73" s="297"/>
      <c r="AO73" s="297"/>
      <c r="AP73" s="297"/>
      <c r="AR73" s="297"/>
      <c r="AS73" s="297"/>
      <c r="AT73" s="297"/>
      <c r="AU73" s="297"/>
      <c r="AW73" s="297"/>
      <c r="AX73" s="297"/>
      <c r="AY73" s="297"/>
      <c r="AZ73" s="297"/>
      <c r="BB73" s="298"/>
      <c r="BC73" s="298"/>
      <c r="BD73" s="298"/>
      <c r="BE73" s="298"/>
      <c r="BF73" s="355"/>
      <c r="BG73" s="298"/>
      <c r="BH73" s="298"/>
      <c r="BI73" s="298"/>
      <c r="BJ73" s="298"/>
      <c r="BK73" s="355"/>
      <c r="BL73" s="298"/>
      <c r="BM73" s="298"/>
      <c r="BN73" s="298"/>
      <c r="BO73" s="298"/>
      <c r="BP73" s="355"/>
      <c r="BQ73" s="298"/>
      <c r="BR73" s="298"/>
      <c r="BS73" s="298"/>
      <c r="BT73" s="298"/>
      <c r="BU73" s="355"/>
      <c r="BV73" s="309"/>
      <c r="BW73" s="309"/>
      <c r="BX73" s="309"/>
      <c r="BY73" s="309"/>
      <c r="BZ73" s="355"/>
      <c r="CA73" s="309"/>
      <c r="CB73" s="309"/>
      <c r="CC73" s="298"/>
      <c r="CD73" s="298"/>
      <c r="CE73" s="355"/>
      <c r="CF73" s="298"/>
      <c r="CG73" s="298"/>
      <c r="CH73" s="298"/>
      <c r="CI73" s="298"/>
      <c r="CJ73" s="355"/>
      <c r="CK73" s="298"/>
      <c r="CL73" s="298"/>
      <c r="CM73" s="298"/>
      <c r="CN73" s="298"/>
      <c r="CO73" s="355"/>
      <c r="CP73" s="298"/>
      <c r="CQ73" s="298"/>
      <c r="CR73" s="298"/>
      <c r="CS73" s="298"/>
      <c r="CT73" s="355"/>
      <c r="CU73" s="298"/>
      <c r="CV73" s="298"/>
      <c r="CW73" s="298"/>
      <c r="CX73" s="298"/>
      <c r="CY73" s="355"/>
      <c r="CZ73" s="298"/>
      <c r="DA73" s="298"/>
      <c r="DB73" s="298"/>
      <c r="DC73" s="298"/>
      <c r="DD73" s="355"/>
      <c r="DE73" s="298"/>
      <c r="DF73" s="298"/>
      <c r="DG73" s="298"/>
      <c r="DH73" s="298"/>
      <c r="DI73" s="355"/>
      <c r="DJ73" s="298"/>
      <c r="DK73" s="298"/>
      <c r="DL73" s="298"/>
      <c r="DM73" s="298"/>
      <c r="DN73" s="355"/>
      <c r="DO73" s="298"/>
      <c r="DP73" s="298"/>
      <c r="DQ73" s="298"/>
      <c r="DR73" s="298"/>
      <c r="DS73" s="355"/>
      <c r="DT73" s="298"/>
      <c r="DU73" s="298"/>
      <c r="DV73" s="298"/>
      <c r="DW73" s="298"/>
      <c r="DX73" s="355"/>
      <c r="DY73" s="298"/>
      <c r="DZ73" s="298"/>
      <c r="EA73" s="298"/>
      <c r="EB73" s="298"/>
      <c r="EC73" s="355"/>
      <c r="ED73" s="298"/>
      <c r="EE73" s="298"/>
      <c r="EF73" s="298"/>
      <c r="EG73" s="298"/>
      <c r="EH73" s="355"/>
      <c r="EI73" s="298"/>
      <c r="EJ73" s="298"/>
      <c r="EK73" s="298"/>
      <c r="EL73" s="298"/>
      <c r="EM73" s="355"/>
      <c r="EN73" s="298"/>
      <c r="EO73" s="298"/>
      <c r="EP73" s="298"/>
      <c r="EQ73" s="298"/>
      <c r="ER73" s="355"/>
    </row>
    <row r="74" spans="2:152" ht="12.75" hidden="1" customHeight="1" outlineLevel="1">
      <c r="B74" s="230" t="s">
        <v>64</v>
      </c>
      <c r="C74" s="230"/>
      <c r="D74" s="352"/>
      <c r="E74" s="352"/>
      <c r="F74" s="352"/>
      <c r="G74" s="352"/>
      <c r="H74" s="230"/>
      <c r="I74" s="352"/>
      <c r="J74" s="352"/>
      <c r="K74" s="352">
        <v>5.9790000000000001</v>
      </c>
      <c r="L74" s="352">
        <f>10.021-5.979</f>
        <v>4.0420000000000007</v>
      </c>
      <c r="M74" s="230">
        <f>+L74+K74+J74+I74</f>
        <v>10.021000000000001</v>
      </c>
      <c r="N74" s="352">
        <v>11.96</v>
      </c>
      <c r="O74" s="352">
        <v>16.456</v>
      </c>
      <c r="P74" s="352">
        <f>SUM(P75:P77)</f>
        <v>15.962999999999999</v>
      </c>
      <c r="Q74" s="352">
        <f>SUM(Q75:Q77)</f>
        <v>13.216000000000001</v>
      </c>
      <c r="R74" s="230">
        <f>+Q74+P74+O74+N74</f>
        <v>57.595000000000006</v>
      </c>
      <c r="S74" s="352">
        <f t="shared" ref="S74:AZ74" si="42">SUM(S75:S77)</f>
        <v>12.446</v>
      </c>
      <c r="T74" s="352">
        <f t="shared" si="42"/>
        <v>12.132999999999999</v>
      </c>
      <c r="U74" s="352">
        <f t="shared" si="42"/>
        <v>11.737</v>
      </c>
      <c r="V74" s="352">
        <f t="shared" si="42"/>
        <v>11.17</v>
      </c>
      <c r="W74" s="230">
        <f t="shared" si="42"/>
        <v>47.486000000000004</v>
      </c>
      <c r="X74" s="352">
        <f t="shared" si="42"/>
        <v>9.9620000000000015</v>
      </c>
      <c r="Y74" s="352">
        <f t="shared" si="42"/>
        <v>8.6650000000000009</v>
      </c>
      <c r="Z74" s="352">
        <f t="shared" si="42"/>
        <v>9.2720000000000002</v>
      </c>
      <c r="AA74" s="352">
        <f t="shared" si="42"/>
        <v>8.4939999999999998</v>
      </c>
      <c r="AB74" s="230">
        <f t="shared" si="42"/>
        <v>36.393000000000001</v>
      </c>
      <c r="AC74" s="352">
        <f t="shared" si="42"/>
        <v>8.3230000000000004</v>
      </c>
      <c r="AD74" s="352">
        <f t="shared" si="42"/>
        <v>9.604000000000001</v>
      </c>
      <c r="AE74" s="352">
        <f t="shared" si="42"/>
        <v>6.4610000000000003</v>
      </c>
      <c r="AF74" s="352">
        <f t="shared" si="42"/>
        <v>7.1049999999999995</v>
      </c>
      <c r="AG74" s="230">
        <f t="shared" si="42"/>
        <v>31.493000000000002</v>
      </c>
      <c r="AH74" s="352">
        <f t="shared" si="42"/>
        <v>8.3890000000000011</v>
      </c>
      <c r="AI74" s="352">
        <f t="shared" si="42"/>
        <v>8.0879999999999992</v>
      </c>
      <c r="AJ74" s="352">
        <f t="shared" si="42"/>
        <v>7.6340000000000003</v>
      </c>
      <c r="AK74" s="352">
        <f t="shared" si="42"/>
        <v>6.9689999999999994</v>
      </c>
      <c r="AL74" s="230">
        <f t="shared" si="42"/>
        <v>31.080000000000002</v>
      </c>
      <c r="AM74" s="352">
        <f t="shared" si="42"/>
        <v>7.234</v>
      </c>
      <c r="AN74" s="352">
        <f t="shared" si="42"/>
        <v>7.0960000000000001</v>
      </c>
      <c r="AO74" s="352">
        <f t="shared" si="42"/>
        <v>6.7289999999999992</v>
      </c>
      <c r="AP74" s="352">
        <f t="shared" si="42"/>
        <v>6.9730000000000008</v>
      </c>
      <c r="AQ74" s="230">
        <f t="shared" si="42"/>
        <v>28.032</v>
      </c>
      <c r="AR74" s="352">
        <f t="shared" si="42"/>
        <v>7.1559999999999997</v>
      </c>
      <c r="AS74" s="352">
        <f t="shared" si="42"/>
        <v>6.7450000000000001</v>
      </c>
      <c r="AT74" s="352">
        <f t="shared" si="42"/>
        <v>6.6959999999999997</v>
      </c>
      <c r="AU74" s="352">
        <f t="shared" si="42"/>
        <v>7.0819999999999999</v>
      </c>
      <c r="AV74" s="230">
        <f t="shared" si="42"/>
        <v>27.678999999999998</v>
      </c>
      <c r="AW74" s="352">
        <f t="shared" si="42"/>
        <v>6.5759999999999996</v>
      </c>
      <c r="AX74" s="352">
        <f t="shared" si="42"/>
        <v>6.7319999999999993</v>
      </c>
      <c r="AY74" s="352">
        <f t="shared" si="42"/>
        <v>7.6670000000000007</v>
      </c>
      <c r="AZ74" s="352">
        <f t="shared" si="42"/>
        <v>7.7890000000000006</v>
      </c>
      <c r="BA74" s="230">
        <f t="shared" ref="BA74:BO74" si="43">BA76+BA75+BA77</f>
        <v>28.763999999999999</v>
      </c>
      <c r="BB74" s="353">
        <f t="shared" si="43"/>
        <v>6.7770000000000001</v>
      </c>
      <c r="BC74" s="353">
        <f t="shared" si="43"/>
        <v>7.8129999999999988</v>
      </c>
      <c r="BD74" s="353">
        <f t="shared" si="43"/>
        <v>7.2289999999999992</v>
      </c>
      <c r="BE74" s="353">
        <f t="shared" si="43"/>
        <v>7.629999999999999</v>
      </c>
      <c r="BF74" s="230">
        <f t="shared" si="43"/>
        <v>29.448999999999998</v>
      </c>
      <c r="BG74" s="353">
        <f t="shared" si="43"/>
        <v>6.6709999999999994</v>
      </c>
      <c r="BH74" s="353">
        <f t="shared" si="43"/>
        <v>6.6390000000000002</v>
      </c>
      <c r="BI74" s="353">
        <f t="shared" si="43"/>
        <v>6.8459999999999992</v>
      </c>
      <c r="BJ74" s="353">
        <f t="shared" si="43"/>
        <v>7.2489999999999997</v>
      </c>
      <c r="BK74" s="230">
        <f t="shared" si="43"/>
        <v>27.404999999999998</v>
      </c>
      <c r="BL74" s="353">
        <f t="shared" si="43"/>
        <v>6.5020000000000007</v>
      </c>
      <c r="BM74" s="353">
        <f t="shared" si="43"/>
        <v>6.8846289300247152</v>
      </c>
      <c r="BN74" s="353">
        <f t="shared" si="43"/>
        <v>7.1292328648772383</v>
      </c>
      <c r="BO74" s="353">
        <f t="shared" si="43"/>
        <v>3.5157164483107604</v>
      </c>
      <c r="BP74" s="230">
        <f>BP76+BP75+BP77</f>
        <v>24.031578243212717</v>
      </c>
      <c r="BQ74" s="353">
        <f>BQ76+BQ75+BQ77</f>
        <v>6.7207103193048203</v>
      </c>
      <c r="BR74" s="353">
        <v>5</v>
      </c>
      <c r="BS74" s="353"/>
      <c r="BT74" s="353"/>
      <c r="BU74" s="230"/>
      <c r="BV74" s="353"/>
      <c r="BW74" s="353"/>
      <c r="BX74" s="353"/>
      <c r="BY74" s="353"/>
      <c r="BZ74" s="230"/>
      <c r="CA74" s="358"/>
      <c r="CB74" s="353"/>
      <c r="CC74" s="353"/>
      <c r="CD74" s="353"/>
      <c r="CE74" s="230"/>
      <c r="CF74" s="353"/>
      <c r="CG74" s="353"/>
      <c r="CH74" s="353"/>
      <c r="CI74" s="353"/>
      <c r="CJ74" s="230"/>
      <c r="CK74" s="353"/>
      <c r="CL74" s="353"/>
      <c r="CM74" s="353"/>
      <c r="CN74" s="353"/>
      <c r="CO74" s="230"/>
      <c r="CP74" s="353"/>
      <c r="CQ74" s="353"/>
      <c r="CR74" s="353"/>
      <c r="CS74" s="353"/>
      <c r="CT74" s="230"/>
      <c r="CU74" s="353"/>
      <c r="CV74" s="353"/>
      <c r="CW74" s="353"/>
      <c r="CX74" s="353"/>
      <c r="CY74" s="230"/>
      <c r="CZ74" s="353"/>
      <c r="DA74" s="353"/>
      <c r="DB74" s="353"/>
      <c r="DC74" s="353"/>
      <c r="DD74" s="230"/>
      <c r="DE74" s="353"/>
      <c r="DF74" s="353"/>
      <c r="DG74" s="353"/>
      <c r="DH74" s="353"/>
      <c r="DI74" s="230"/>
      <c r="DJ74" s="353"/>
      <c r="DK74" s="353"/>
      <c r="DL74" s="353"/>
      <c r="DM74" s="353"/>
      <c r="DN74" s="230"/>
      <c r="DO74" s="353"/>
      <c r="DP74" s="353"/>
      <c r="DQ74" s="353"/>
      <c r="DR74" s="353"/>
      <c r="DS74" s="230"/>
      <c r="DT74" s="353"/>
      <c r="DU74" s="353"/>
      <c r="DV74" s="353"/>
      <c r="DW74" s="353"/>
      <c r="DX74" s="230"/>
      <c r="DY74" s="353"/>
      <c r="DZ74" s="353"/>
      <c r="EA74" s="353"/>
      <c r="EB74" s="353"/>
      <c r="EC74" s="230"/>
      <c r="ED74" s="353"/>
      <c r="EE74" s="353"/>
      <c r="EF74" s="353"/>
      <c r="EG74" s="353"/>
      <c r="EH74" s="230"/>
      <c r="EI74" s="353"/>
      <c r="EJ74" s="353"/>
      <c r="EK74" s="353"/>
      <c r="EL74" s="353"/>
      <c r="EM74" s="230"/>
      <c r="EN74" s="353"/>
      <c r="EO74" s="353"/>
      <c r="EP74" s="353"/>
      <c r="EQ74" s="353"/>
      <c r="ER74" s="230"/>
    </row>
    <row r="75" spans="2:152" ht="12.75" hidden="1" customHeight="1" outlineLevel="1">
      <c r="B75" s="231" t="s">
        <v>723</v>
      </c>
      <c r="D75" s="297"/>
      <c r="E75" s="297"/>
      <c r="F75" s="297"/>
      <c r="G75" s="297"/>
      <c r="I75" s="297"/>
      <c r="J75" s="297"/>
      <c r="K75" s="297"/>
      <c r="L75" s="297"/>
      <c r="N75" s="297"/>
      <c r="O75" s="297"/>
      <c r="P75" s="297">
        <v>12.763999999999999</v>
      </c>
      <c r="Q75" s="297">
        <v>8.8740000000000006</v>
      </c>
      <c r="R75" s="116">
        <f>+Q75+P75+O75+N75</f>
        <v>21.637999999999998</v>
      </c>
      <c r="S75" s="297">
        <v>5.4139999999999997</v>
      </c>
      <c r="T75" s="297">
        <v>4.8979999999999997</v>
      </c>
      <c r="U75" s="297">
        <v>4.7869999999999999</v>
      </c>
      <c r="V75" s="297">
        <v>4.476</v>
      </c>
      <c r="W75" s="116">
        <f>+V75+U75+T75+S75</f>
        <v>19.574999999999999</v>
      </c>
      <c r="X75" s="297">
        <v>4.0060000000000002</v>
      </c>
      <c r="Y75" s="297">
        <v>4.3140000000000001</v>
      </c>
      <c r="Z75" s="297">
        <v>5.0640000000000001</v>
      </c>
      <c r="AA75" s="297">
        <v>3.694</v>
      </c>
      <c r="AB75" s="116">
        <f>+AA75+Z75+Y75+X75</f>
        <v>17.077999999999999</v>
      </c>
      <c r="AC75" s="297">
        <v>3.4550000000000001</v>
      </c>
      <c r="AD75" s="297">
        <v>3.4430000000000001</v>
      </c>
      <c r="AE75" s="297">
        <v>3.3149999999999999</v>
      </c>
      <c r="AF75" s="297">
        <v>3.23</v>
      </c>
      <c r="AG75" s="116">
        <f>+AF75+AE75+AD75+AC75</f>
        <v>13.443</v>
      </c>
      <c r="AH75" s="297">
        <v>3.8380000000000001</v>
      </c>
      <c r="AI75" s="297">
        <v>4.1059999999999999</v>
      </c>
      <c r="AJ75" s="297">
        <v>4.0010000000000003</v>
      </c>
      <c r="AK75" s="297">
        <v>3.859</v>
      </c>
      <c r="AL75" s="116">
        <f>+AK75+AJ75+AI75+AH75</f>
        <v>15.804000000000002</v>
      </c>
      <c r="AM75" s="297">
        <v>3.63</v>
      </c>
      <c r="AN75" s="297">
        <v>3.7160000000000002</v>
      </c>
      <c r="AO75" s="297">
        <v>3.8650000000000002</v>
      </c>
      <c r="AP75" s="297">
        <v>4.0940000000000003</v>
      </c>
      <c r="AQ75" s="116">
        <f>+AP75+AO75+AN75+AM75</f>
        <v>15.305</v>
      </c>
      <c r="AR75" s="297">
        <v>4.2439999999999998</v>
      </c>
      <c r="AS75" s="297">
        <v>4.1349999999999998</v>
      </c>
      <c r="AT75" s="297">
        <v>3.9660000000000002</v>
      </c>
      <c r="AU75" s="297">
        <v>4.3970000000000002</v>
      </c>
      <c r="AV75" s="116">
        <f>+AU75+AT75+AS75+AR75</f>
        <v>16.741999999999997</v>
      </c>
      <c r="AW75" s="297">
        <v>3.9020000000000001</v>
      </c>
      <c r="AX75" s="297">
        <v>3.9140000000000001</v>
      </c>
      <c r="AY75" s="297">
        <v>4.6660000000000004</v>
      </c>
      <c r="AZ75" s="297">
        <v>4.734</v>
      </c>
      <c r="BA75" s="116">
        <f>SUM(AW75:AZ75)</f>
        <v>17.216000000000001</v>
      </c>
      <c r="BB75" s="298">
        <v>4.093</v>
      </c>
      <c r="BC75" s="298">
        <v>4.7699999999999996</v>
      </c>
      <c r="BD75" s="298">
        <v>4.7169999999999996</v>
      </c>
      <c r="BE75" s="298">
        <v>4.9509999999999996</v>
      </c>
      <c r="BF75" s="116">
        <f>SUM(BB75:BE75)</f>
        <v>18.530999999999999</v>
      </c>
      <c r="BG75" s="298">
        <v>4.5289999999999999</v>
      </c>
      <c r="BH75" s="298">
        <v>4.7679999999999998</v>
      </c>
      <c r="BI75" s="298">
        <v>5.1269999999999998</v>
      </c>
      <c r="BJ75" s="299">
        <v>5.524</v>
      </c>
      <c r="BK75" s="116">
        <f>SUM(BG75:BJ75)</f>
        <v>19.948</v>
      </c>
      <c r="BL75" s="299">
        <v>4.8170000000000002</v>
      </c>
      <c r="BM75" s="299">
        <v>5.2249132804872742</v>
      </c>
      <c r="BN75" s="299">
        <v>5.6183159373024862</v>
      </c>
      <c r="BO75" s="299">
        <v>2</v>
      </c>
      <c r="BP75" s="116">
        <f>SUM(BL75:BO75)</f>
        <v>17.660229217789762</v>
      </c>
      <c r="BQ75" s="299">
        <v>5.7207103193048203</v>
      </c>
      <c r="BR75" s="298">
        <v>4</v>
      </c>
      <c r="BS75" s="298"/>
      <c r="BT75" s="298"/>
      <c r="BV75" s="298"/>
      <c r="BW75" s="298"/>
      <c r="BX75" s="298"/>
      <c r="BY75" s="298"/>
      <c r="CA75" s="298"/>
      <c r="CB75" s="298"/>
      <c r="CC75" s="298"/>
      <c r="CD75" s="298"/>
      <c r="CF75" s="298"/>
      <c r="CG75" s="298"/>
      <c r="CH75" s="298"/>
      <c r="CI75" s="298"/>
      <c r="CK75" s="298"/>
      <c r="CL75" s="298"/>
      <c r="CM75" s="298"/>
      <c r="CN75" s="298"/>
      <c r="CP75" s="298"/>
      <c r="CQ75" s="298"/>
      <c r="CR75" s="298"/>
      <c r="CS75" s="298"/>
      <c r="CU75" s="298"/>
      <c r="CV75" s="298"/>
      <c r="CW75" s="298"/>
      <c r="CX75" s="298"/>
      <c r="CZ75" s="298"/>
      <c r="DA75" s="298"/>
      <c r="DB75" s="298"/>
      <c r="DC75" s="298"/>
      <c r="DE75" s="298"/>
      <c r="DF75" s="298"/>
      <c r="DG75" s="298"/>
      <c r="DH75" s="298"/>
      <c r="DJ75" s="298"/>
      <c r="DK75" s="298"/>
      <c r="DL75" s="298"/>
      <c r="DM75" s="298"/>
      <c r="DO75" s="298"/>
      <c r="DP75" s="298"/>
      <c r="DQ75" s="298"/>
      <c r="DR75" s="298"/>
      <c r="DT75" s="298"/>
      <c r="DU75" s="298"/>
      <c r="DV75" s="298"/>
      <c r="DW75" s="298"/>
      <c r="DY75" s="298"/>
      <c r="DZ75" s="298"/>
      <c r="EA75" s="298"/>
      <c r="EB75" s="298"/>
      <c r="ED75" s="298"/>
      <c r="EE75" s="298"/>
      <c r="EF75" s="298"/>
      <c r="EG75" s="298"/>
      <c r="EI75" s="298"/>
      <c r="EJ75" s="298"/>
      <c r="EK75" s="298"/>
      <c r="EL75" s="298"/>
      <c r="EN75" s="298"/>
      <c r="EO75" s="298"/>
      <c r="EP75" s="298"/>
      <c r="EQ75" s="298"/>
    </row>
    <row r="76" spans="2:152" ht="12.75" hidden="1" customHeight="1" outlineLevel="1">
      <c r="B76" s="231" t="s">
        <v>722</v>
      </c>
      <c r="D76" s="297"/>
      <c r="E76" s="297"/>
      <c r="F76" s="297"/>
      <c r="G76" s="297"/>
      <c r="I76" s="297"/>
      <c r="J76" s="297"/>
      <c r="K76" s="297"/>
      <c r="L76" s="297"/>
      <c r="N76" s="297"/>
      <c r="O76" s="297"/>
      <c r="P76" s="297">
        <v>3.1989999999999998</v>
      </c>
      <c r="Q76" s="297">
        <v>4.3419999999999996</v>
      </c>
      <c r="R76" s="116">
        <f>+Q76+P76+O76+N76</f>
        <v>7.5409999999999995</v>
      </c>
      <c r="S76" s="297">
        <v>7.032</v>
      </c>
      <c r="T76" s="297">
        <v>7.2350000000000003</v>
      </c>
      <c r="U76" s="297">
        <v>6.95</v>
      </c>
      <c r="V76" s="297">
        <v>6.694</v>
      </c>
      <c r="W76" s="116">
        <f>+V76+U76+T76+S76</f>
        <v>27.911000000000001</v>
      </c>
      <c r="X76" s="297">
        <v>5.3380000000000001</v>
      </c>
      <c r="Y76" s="297">
        <v>3.9159999999999999</v>
      </c>
      <c r="Z76" s="297">
        <v>3.347</v>
      </c>
      <c r="AA76" s="297">
        <v>3.24</v>
      </c>
      <c r="AB76" s="116">
        <f>+AA76+Z76+Y76+X76</f>
        <v>15.841000000000001</v>
      </c>
      <c r="AC76" s="297">
        <f>3.874</f>
        <v>3.8740000000000001</v>
      </c>
      <c r="AD76" s="297">
        <f>2.732</f>
        <v>2.7320000000000002</v>
      </c>
      <c r="AE76" s="297">
        <f>2.408</f>
        <v>2.4079999999999999</v>
      </c>
      <c r="AF76" s="297">
        <f>2.261</f>
        <v>2.2610000000000001</v>
      </c>
      <c r="AG76" s="116">
        <f>+AF76+AE76+AD76+AC76</f>
        <v>11.275</v>
      </c>
      <c r="AH76" s="297">
        <f>2.581</f>
        <v>2.581</v>
      </c>
      <c r="AI76" s="297">
        <v>2.0939999999999999</v>
      </c>
      <c r="AJ76" s="297">
        <v>2.762</v>
      </c>
      <c r="AK76" s="297">
        <v>2.3820000000000001</v>
      </c>
      <c r="AL76" s="116">
        <f>+AK76+AJ76+AI76+AH76</f>
        <v>9.8189999999999991</v>
      </c>
      <c r="AM76" s="297">
        <v>2.3540000000000001</v>
      </c>
      <c r="AN76" s="297">
        <v>2.21</v>
      </c>
      <c r="AO76" s="297">
        <v>1.863</v>
      </c>
      <c r="AP76" s="297">
        <v>1.8169999999999999</v>
      </c>
      <c r="AQ76" s="116">
        <f>+AP76+AO76+AN76+AM76</f>
        <v>8.2439999999999998</v>
      </c>
      <c r="AR76" s="297">
        <v>1.875</v>
      </c>
      <c r="AS76" s="297">
        <v>1.6839999999999999</v>
      </c>
      <c r="AT76" s="297">
        <v>1.657</v>
      </c>
      <c r="AU76" s="297">
        <v>1.659</v>
      </c>
      <c r="AV76" s="116">
        <f>+AU76+AT76+AS76+AR76</f>
        <v>6.875</v>
      </c>
      <c r="AW76" s="297">
        <v>1.6850000000000001</v>
      </c>
      <c r="AX76" s="297">
        <v>1.7050000000000001</v>
      </c>
      <c r="AY76" s="297">
        <v>1.772</v>
      </c>
      <c r="AZ76" s="297">
        <v>1.698</v>
      </c>
      <c r="BA76" s="116">
        <f>SUM(AW76:AZ76)</f>
        <v>6.8599999999999994</v>
      </c>
      <c r="BB76" s="298">
        <v>1.8109999999999999</v>
      </c>
      <c r="BC76" s="298">
        <v>1.7410000000000001</v>
      </c>
      <c r="BD76" s="298">
        <v>1.617</v>
      </c>
      <c r="BE76" s="298">
        <v>1.544</v>
      </c>
      <c r="BF76" s="116">
        <f>SUM(BB76:BE76)</f>
        <v>6.713000000000001</v>
      </c>
      <c r="BG76" s="298">
        <v>1.7509999999999999</v>
      </c>
      <c r="BH76" s="298">
        <v>1.5840000000000001</v>
      </c>
      <c r="BI76" s="298">
        <v>1.56</v>
      </c>
      <c r="BJ76" s="299">
        <v>1.569</v>
      </c>
      <c r="BK76" s="116">
        <f>SUM(BG76:BJ76)</f>
        <v>6.4639999999999995</v>
      </c>
      <c r="BL76" s="299">
        <v>1.56</v>
      </c>
      <c r="BM76" s="299">
        <v>1.3727156495374406</v>
      </c>
      <c r="BN76" s="299">
        <v>1.351916927574752</v>
      </c>
      <c r="BO76" s="299">
        <v>1.3597164483107602</v>
      </c>
      <c r="BP76" s="116">
        <f>SUM(BL76:BO76)</f>
        <v>5.6443490254229527</v>
      </c>
      <c r="BQ76" s="299">
        <v>1</v>
      </c>
      <c r="BR76" s="298">
        <v>1</v>
      </c>
      <c r="BS76" s="298"/>
      <c r="BT76" s="298"/>
      <c r="BV76" s="298"/>
      <c r="BW76" s="298"/>
      <c r="BX76" s="298"/>
      <c r="BY76" s="298"/>
      <c r="CA76" s="298"/>
      <c r="CB76" s="298"/>
      <c r="CC76" s="298"/>
      <c r="CD76" s="298"/>
      <c r="CF76" s="298"/>
      <c r="CG76" s="298"/>
      <c r="CH76" s="298"/>
      <c r="CI76" s="298"/>
      <c r="CJ76" s="17"/>
      <c r="CK76" s="298"/>
      <c r="CL76" s="298"/>
      <c r="CM76" s="298"/>
      <c r="CN76" s="298"/>
      <c r="CP76" s="298"/>
      <c r="CQ76" s="298"/>
      <c r="CR76" s="298"/>
      <c r="CS76" s="298"/>
      <c r="CU76" s="298"/>
      <c r="CV76" s="298"/>
      <c r="CW76" s="298"/>
      <c r="CX76" s="298"/>
      <c r="CZ76" s="298"/>
      <c r="DA76" s="298"/>
      <c r="DB76" s="298"/>
      <c r="DC76" s="298"/>
      <c r="DE76" s="298"/>
      <c r="DF76" s="298"/>
      <c r="DG76" s="298"/>
      <c r="DH76" s="298"/>
      <c r="DJ76" s="298"/>
      <c r="DK76" s="298"/>
      <c r="DL76" s="298"/>
      <c r="DM76" s="298"/>
      <c r="DO76" s="298"/>
      <c r="DP76" s="298"/>
      <c r="DQ76" s="298"/>
      <c r="DR76" s="298"/>
      <c r="DT76" s="298"/>
      <c r="DU76" s="298"/>
      <c r="DV76" s="298"/>
      <c r="DW76" s="298"/>
      <c r="DY76" s="298"/>
      <c r="DZ76" s="298"/>
      <c r="EA76" s="298"/>
      <c r="EB76" s="298"/>
      <c r="ED76" s="298"/>
      <c r="EE76" s="298"/>
      <c r="EF76" s="298"/>
      <c r="EG76" s="298"/>
      <c r="EI76" s="298"/>
      <c r="EJ76" s="298"/>
      <c r="EK76" s="298"/>
      <c r="EL76" s="298"/>
      <c r="EN76" s="298"/>
      <c r="EO76" s="298"/>
      <c r="EP76" s="298"/>
      <c r="EQ76" s="298"/>
    </row>
    <row r="77" spans="2:152" ht="12.75" hidden="1" customHeight="1" outlineLevel="1">
      <c r="B77" s="231" t="s">
        <v>81</v>
      </c>
      <c r="D77" s="297"/>
      <c r="E77" s="297"/>
      <c r="F77" s="297"/>
      <c r="G77" s="297"/>
      <c r="I77" s="297"/>
      <c r="J77" s="297"/>
      <c r="K77" s="297"/>
      <c r="L77" s="297"/>
      <c r="N77" s="297"/>
      <c r="O77" s="297"/>
      <c r="P77" s="297"/>
      <c r="Q77" s="297"/>
      <c r="S77" s="297">
        <v>0</v>
      </c>
      <c r="T77" s="297">
        <v>0</v>
      </c>
      <c r="U77" s="297">
        <v>0</v>
      </c>
      <c r="V77" s="297">
        <v>0</v>
      </c>
      <c r="W77" s="116">
        <f>+V77+U77+T77+S77</f>
        <v>0</v>
      </c>
      <c r="X77" s="297">
        <v>0.61799999999999999</v>
      </c>
      <c r="Y77" s="297">
        <v>0.435</v>
      </c>
      <c r="Z77" s="297">
        <v>0.86099999999999999</v>
      </c>
      <c r="AA77" s="297">
        <v>1.56</v>
      </c>
      <c r="AB77" s="116">
        <f>+AA77+Z77+Y77+X77</f>
        <v>3.4740000000000002</v>
      </c>
      <c r="AC77" s="297">
        <v>0.99399999999999999</v>
      </c>
      <c r="AD77" s="297">
        <v>3.4289999999999998</v>
      </c>
      <c r="AE77" s="297">
        <v>0.73799999999999999</v>
      </c>
      <c r="AF77" s="297">
        <v>1.6140000000000001</v>
      </c>
      <c r="AG77" s="116">
        <f>+AF77+AE77+AD77+AC77</f>
        <v>6.7750000000000004</v>
      </c>
      <c r="AH77" s="297">
        <v>1.97</v>
      </c>
      <c r="AI77" s="297">
        <v>1.8879999999999999</v>
      </c>
      <c r="AJ77" s="297">
        <v>0.871</v>
      </c>
      <c r="AK77" s="297">
        <v>0.72799999999999998</v>
      </c>
      <c r="AL77" s="116">
        <f>+AK77+AJ77+AI77+AH77</f>
        <v>5.4569999999999999</v>
      </c>
      <c r="AM77" s="297">
        <v>1.25</v>
      </c>
      <c r="AN77" s="297">
        <v>1.17</v>
      </c>
      <c r="AO77" s="297">
        <v>1.0009999999999999</v>
      </c>
      <c r="AP77" s="297">
        <v>1.0620000000000001</v>
      </c>
      <c r="AQ77" s="116">
        <f>+AP77+AO77+AN77+AM77</f>
        <v>4.4829999999999997</v>
      </c>
      <c r="AR77" s="297">
        <v>1.0369999999999999</v>
      </c>
      <c r="AS77" s="297">
        <v>0.92600000000000005</v>
      </c>
      <c r="AT77" s="297">
        <v>1.073</v>
      </c>
      <c r="AU77" s="297">
        <v>1.026</v>
      </c>
      <c r="AV77" s="116">
        <f>+AU77+AT77+AS77+AR77</f>
        <v>4.0620000000000003</v>
      </c>
      <c r="AW77" s="297">
        <v>0.98899999999999999</v>
      </c>
      <c r="AX77" s="297">
        <v>1.113</v>
      </c>
      <c r="AY77" s="297">
        <v>1.2290000000000001</v>
      </c>
      <c r="AZ77" s="297">
        <v>1.357</v>
      </c>
      <c r="BA77" s="116">
        <f>SUM(AW77:AZ77)</f>
        <v>4.6879999999999997</v>
      </c>
      <c r="BB77" s="298">
        <v>0.873</v>
      </c>
      <c r="BC77" s="298">
        <v>1.302</v>
      </c>
      <c r="BD77" s="298">
        <v>0.89500000000000002</v>
      </c>
      <c r="BE77" s="298">
        <v>1.135</v>
      </c>
      <c r="BF77" s="116">
        <f>SUM(BB77:BE77)</f>
        <v>4.2050000000000001</v>
      </c>
      <c r="BG77" s="298">
        <v>0.39100000000000001</v>
      </c>
      <c r="BH77" s="298">
        <v>0.28699999999999998</v>
      </c>
      <c r="BI77" s="298">
        <v>0.159</v>
      </c>
      <c r="BJ77" s="299">
        <v>0.156</v>
      </c>
      <c r="BK77" s="116">
        <f>SUM(BG77:BJ77)</f>
        <v>0.99299999999999999</v>
      </c>
      <c r="BL77" s="299">
        <v>0.125</v>
      </c>
      <c r="BM77" s="299">
        <v>0.28699999999999998</v>
      </c>
      <c r="BN77" s="299">
        <v>0.159</v>
      </c>
      <c r="BO77" s="299">
        <v>0.156</v>
      </c>
      <c r="BP77" s="116">
        <f>SUM(BL77:BO77)</f>
        <v>0.72699999999999998</v>
      </c>
      <c r="BQ77" s="299">
        <v>0</v>
      </c>
      <c r="BR77" s="298">
        <f>$BU$77/4</f>
        <v>0</v>
      </c>
      <c r="BS77" s="298"/>
      <c r="BT77" s="298"/>
      <c r="BV77" s="298"/>
      <c r="BW77" s="298"/>
      <c r="BX77" s="298"/>
      <c r="BY77" s="298"/>
      <c r="CA77" s="298"/>
      <c r="CB77" s="298"/>
      <c r="CC77" s="298"/>
      <c r="CD77" s="298"/>
      <c r="CF77" s="298"/>
      <c r="CG77" s="298"/>
      <c r="CH77" s="298"/>
      <c r="CI77" s="298"/>
      <c r="CK77" s="298"/>
      <c r="CL77" s="298"/>
      <c r="CM77" s="298"/>
      <c r="CN77" s="298"/>
      <c r="CP77" s="298"/>
      <c r="CQ77" s="298"/>
      <c r="CR77" s="298"/>
      <c r="CS77" s="298"/>
      <c r="CU77" s="298"/>
      <c r="CV77" s="298"/>
      <c r="CW77" s="298"/>
      <c r="CX77" s="298"/>
      <c r="CZ77" s="298"/>
      <c r="DA77" s="298"/>
      <c r="DB77" s="298"/>
      <c r="DC77" s="298"/>
      <c r="DE77" s="298"/>
      <c r="DF77" s="298"/>
      <c r="DG77" s="298"/>
      <c r="DH77" s="298"/>
      <c r="DJ77" s="298"/>
      <c r="DK77" s="298"/>
      <c r="DL77" s="298"/>
      <c r="DM77" s="298"/>
      <c r="DO77" s="298"/>
      <c r="DP77" s="298"/>
      <c r="DQ77" s="298"/>
      <c r="DR77" s="298"/>
      <c r="DT77" s="298"/>
      <c r="DU77" s="298"/>
      <c r="DV77" s="298"/>
      <c r="DW77" s="298"/>
      <c r="DY77" s="298"/>
      <c r="DZ77" s="298"/>
      <c r="EA77" s="298"/>
      <c r="EB77" s="298"/>
      <c r="ED77" s="298"/>
      <c r="EE77" s="298"/>
      <c r="EF77" s="298"/>
      <c r="EG77" s="298"/>
      <c r="EI77" s="298"/>
      <c r="EJ77" s="298"/>
      <c r="EK77" s="298"/>
      <c r="EL77" s="298"/>
      <c r="EN77" s="298"/>
      <c r="EO77" s="298"/>
      <c r="EP77" s="298"/>
      <c r="EQ77" s="298"/>
    </row>
    <row r="78" spans="2:152" ht="12.75" hidden="1" customHeight="1" outlineLevel="1">
      <c r="B78" s="231"/>
      <c r="D78" s="297"/>
      <c r="E78" s="297"/>
      <c r="F78" s="297"/>
      <c r="G78" s="297"/>
      <c r="I78" s="297"/>
      <c r="J78" s="297"/>
      <c r="K78" s="297"/>
      <c r="L78" s="297"/>
      <c r="N78" s="297"/>
      <c r="O78" s="297"/>
      <c r="P78" s="297"/>
      <c r="Q78" s="297"/>
      <c r="S78" s="297"/>
      <c r="T78" s="297"/>
      <c r="U78" s="297"/>
      <c r="V78" s="297"/>
      <c r="X78" s="297"/>
      <c r="Y78" s="297"/>
      <c r="Z78" s="297"/>
      <c r="AA78" s="297"/>
      <c r="AC78" s="297"/>
      <c r="AD78" s="297"/>
      <c r="AE78" s="297"/>
      <c r="AF78" s="297"/>
      <c r="AH78" s="297"/>
      <c r="AI78" s="297"/>
      <c r="AJ78" s="297"/>
      <c r="AK78" s="297"/>
      <c r="AM78" s="297"/>
      <c r="AN78" s="297"/>
      <c r="AO78" s="297"/>
      <c r="AP78" s="297"/>
      <c r="AR78" s="297"/>
      <c r="AS78" s="297"/>
      <c r="AT78" s="297"/>
      <c r="AU78" s="297"/>
      <c r="AW78" s="297"/>
      <c r="AX78" s="297"/>
      <c r="AY78" s="297"/>
      <c r="AZ78" s="297"/>
      <c r="BB78" s="298"/>
      <c r="BC78" s="298"/>
      <c r="BD78" s="298"/>
      <c r="BE78" s="298"/>
      <c r="BG78" s="298"/>
      <c r="BH78" s="298"/>
      <c r="BI78" s="298"/>
      <c r="BJ78" s="298"/>
      <c r="BL78" s="298"/>
      <c r="BM78" s="298"/>
      <c r="BN78" s="298"/>
      <c r="BO78" s="298"/>
      <c r="BQ78" s="298"/>
      <c r="BR78" s="298"/>
      <c r="BS78" s="298"/>
      <c r="BT78" s="298"/>
      <c r="BV78" s="298"/>
      <c r="BW78" s="298"/>
      <c r="BX78" s="298"/>
      <c r="BY78" s="298"/>
      <c r="CA78" s="298"/>
      <c r="CB78" s="298"/>
      <c r="CC78" s="298"/>
      <c r="CD78" s="298"/>
      <c r="CF78" s="298"/>
      <c r="CG78" s="298"/>
      <c r="CH78" s="298"/>
      <c r="CI78" s="298"/>
      <c r="CK78" s="298"/>
      <c r="CL78" s="298"/>
      <c r="CM78" s="298"/>
      <c r="CN78" s="298"/>
      <c r="CP78" s="298"/>
      <c r="CQ78" s="298"/>
      <c r="CR78" s="298"/>
      <c r="CS78" s="298"/>
      <c r="CU78" s="298"/>
      <c r="CV78" s="298"/>
      <c r="CW78" s="298"/>
      <c r="CX78" s="298"/>
      <c r="CZ78" s="298"/>
      <c r="DA78" s="298"/>
      <c r="DB78" s="298"/>
      <c r="DC78" s="298"/>
      <c r="DE78" s="298"/>
      <c r="DF78" s="298"/>
      <c r="DG78" s="298"/>
      <c r="DH78" s="298"/>
      <c r="DJ78" s="298"/>
      <c r="DK78" s="298"/>
      <c r="DL78" s="298"/>
      <c r="DM78" s="298"/>
      <c r="DO78" s="298"/>
      <c r="DP78" s="298"/>
      <c r="DQ78" s="298"/>
      <c r="DR78" s="298"/>
      <c r="DT78" s="298"/>
      <c r="DU78" s="298"/>
      <c r="DV78" s="298"/>
      <c r="DW78" s="298"/>
      <c r="DY78" s="298"/>
      <c r="DZ78" s="298"/>
      <c r="EA78" s="298"/>
      <c r="EB78" s="298"/>
      <c r="ED78" s="298"/>
      <c r="EE78" s="298"/>
      <c r="EF78" s="298"/>
      <c r="EG78" s="298"/>
      <c r="EI78" s="298"/>
      <c r="EJ78" s="298"/>
      <c r="EK78" s="298"/>
      <c r="EL78" s="298"/>
      <c r="EN78" s="298"/>
      <c r="EO78" s="298"/>
      <c r="EP78" s="298"/>
      <c r="EQ78" s="298"/>
    </row>
    <row r="79" spans="2:152" ht="12.75" hidden="1" customHeight="1" outlineLevel="1">
      <c r="B79" s="230" t="s">
        <v>861</v>
      </c>
      <c r="D79" s="297"/>
      <c r="E79" s="297"/>
      <c r="F79" s="297"/>
      <c r="G79" s="297"/>
      <c r="I79" s="297"/>
      <c r="J79" s="297"/>
      <c r="K79" s="297"/>
      <c r="L79" s="297"/>
      <c r="N79" s="297"/>
      <c r="O79" s="297"/>
      <c r="P79" s="297"/>
      <c r="Q79" s="297"/>
      <c r="S79" s="297"/>
      <c r="T79" s="297"/>
      <c r="U79" s="297"/>
      <c r="V79" s="297"/>
      <c r="X79" s="297"/>
      <c r="Y79" s="297"/>
      <c r="Z79" s="297"/>
      <c r="AA79" s="297"/>
      <c r="AC79" s="297"/>
      <c r="AD79" s="297"/>
      <c r="AE79" s="297"/>
      <c r="AF79" s="297"/>
      <c r="AH79" s="297"/>
      <c r="AI79" s="297"/>
      <c r="AJ79" s="297"/>
      <c r="AK79" s="297"/>
      <c r="AM79" s="297"/>
      <c r="AN79" s="297"/>
      <c r="AO79" s="297"/>
      <c r="AP79" s="297"/>
      <c r="AQ79" s="230"/>
      <c r="AR79" s="297"/>
      <c r="AS79" s="297"/>
      <c r="AT79" s="297"/>
      <c r="AU79" s="297"/>
      <c r="AV79" s="230"/>
      <c r="AW79" s="352"/>
      <c r="AX79" s="352"/>
      <c r="AY79" s="352"/>
      <c r="AZ79" s="352"/>
      <c r="BA79" s="230"/>
      <c r="BB79" s="353"/>
      <c r="BC79" s="353"/>
      <c r="BD79" s="353"/>
      <c r="BE79" s="353"/>
      <c r="BF79" s="230"/>
      <c r="BG79" s="353"/>
      <c r="BH79" s="353"/>
      <c r="BI79" s="353"/>
      <c r="BJ79" s="353"/>
      <c r="BK79" s="230"/>
      <c r="BL79" s="353">
        <f t="shared" ref="BL79:BQ79" si="44">+BL80+BL81+BL82</f>
        <v>0</v>
      </c>
      <c r="BM79" s="353">
        <f t="shared" si="44"/>
        <v>2.2868175046631496</v>
      </c>
      <c r="BN79" s="353">
        <f t="shared" si="44"/>
        <v>2.691007569496648</v>
      </c>
      <c r="BO79" s="353">
        <f t="shared" si="44"/>
        <v>9.7970010384828381</v>
      </c>
      <c r="BP79" s="230">
        <f t="shared" si="44"/>
        <v>14.774826112642636</v>
      </c>
      <c r="BQ79" s="353">
        <f t="shared" si="44"/>
        <v>6.5221860066860806</v>
      </c>
      <c r="BR79" s="353">
        <v>4</v>
      </c>
      <c r="BS79" s="353"/>
      <c r="BT79" s="353"/>
      <c r="BU79" s="230"/>
      <c r="BV79" s="353"/>
      <c r="BW79" s="353"/>
      <c r="BX79" s="353"/>
      <c r="BY79" s="353"/>
      <c r="BZ79" s="230"/>
      <c r="CA79" s="353"/>
      <c r="CB79" s="353"/>
      <c r="CC79" s="353"/>
      <c r="CD79" s="353"/>
      <c r="CE79" s="230"/>
      <c r="CF79" s="353"/>
      <c r="CG79" s="353"/>
      <c r="CH79" s="353"/>
      <c r="CI79" s="353"/>
      <c r="CJ79" s="230"/>
      <c r="CK79" s="353"/>
      <c r="CL79" s="353"/>
      <c r="CM79" s="353"/>
      <c r="CN79" s="353"/>
      <c r="CO79" s="230"/>
      <c r="CP79" s="353"/>
      <c r="CQ79" s="353"/>
      <c r="CR79" s="353"/>
      <c r="CS79" s="353"/>
      <c r="CT79" s="230"/>
      <c r="CU79" s="353"/>
      <c r="CV79" s="353"/>
      <c r="CW79" s="353"/>
      <c r="CX79" s="353"/>
      <c r="CY79" s="230"/>
      <c r="CZ79" s="353"/>
      <c r="DA79" s="353"/>
      <c r="DB79" s="353"/>
      <c r="DC79" s="353"/>
      <c r="DD79" s="230"/>
      <c r="DE79" s="353"/>
      <c r="DF79" s="353"/>
      <c r="DG79" s="353"/>
      <c r="DH79" s="353"/>
      <c r="DI79" s="230"/>
      <c r="DJ79" s="353"/>
      <c r="DK79" s="353"/>
      <c r="DL79" s="353"/>
      <c r="DM79" s="353"/>
      <c r="DN79" s="230"/>
      <c r="DO79" s="353"/>
      <c r="DP79" s="353"/>
      <c r="DQ79" s="353"/>
      <c r="DR79" s="353"/>
      <c r="DS79" s="230"/>
      <c r="DT79" s="353"/>
      <c r="DU79" s="353"/>
      <c r="DV79" s="353"/>
      <c r="DW79" s="353"/>
      <c r="DX79" s="230"/>
      <c r="DY79" s="353"/>
      <c r="DZ79" s="353"/>
      <c r="EA79" s="353"/>
      <c r="EB79" s="353"/>
      <c r="EC79" s="230"/>
      <c r="ED79" s="353"/>
      <c r="EE79" s="353"/>
      <c r="EF79" s="353"/>
      <c r="EG79" s="353"/>
      <c r="EH79" s="230"/>
      <c r="EI79" s="353"/>
      <c r="EJ79" s="353"/>
      <c r="EK79" s="353"/>
      <c r="EL79" s="353"/>
      <c r="EM79" s="230"/>
      <c r="EN79" s="353"/>
      <c r="EO79" s="353"/>
      <c r="EP79" s="353"/>
      <c r="EQ79" s="353"/>
      <c r="ER79" s="230"/>
    </row>
    <row r="80" spans="2:152" ht="12.75" hidden="1" customHeight="1" outlineLevel="1">
      <c r="B80" s="231" t="s">
        <v>79</v>
      </c>
      <c r="D80" s="297"/>
      <c r="E80" s="297"/>
      <c r="F80" s="297"/>
      <c r="G80" s="297"/>
      <c r="I80" s="297"/>
      <c r="J80" s="297"/>
      <c r="K80" s="297"/>
      <c r="L80" s="297"/>
      <c r="N80" s="297"/>
      <c r="O80" s="297"/>
      <c r="P80" s="297"/>
      <c r="Q80" s="297"/>
      <c r="S80" s="297"/>
      <c r="T80" s="297"/>
      <c r="U80" s="297"/>
      <c r="V80" s="297"/>
      <c r="X80" s="297"/>
      <c r="Y80" s="297"/>
      <c r="Z80" s="297"/>
      <c r="AA80" s="297"/>
      <c r="AC80" s="297"/>
      <c r="AD80" s="297"/>
      <c r="AE80" s="297"/>
      <c r="AF80" s="297"/>
      <c r="AH80" s="297"/>
      <c r="AI80" s="297"/>
      <c r="AJ80" s="297"/>
      <c r="AK80" s="297"/>
      <c r="AM80" s="297"/>
      <c r="AN80" s="297"/>
      <c r="AO80" s="297"/>
      <c r="AP80" s="297"/>
      <c r="AR80" s="297"/>
      <c r="AS80" s="297"/>
      <c r="AT80" s="297"/>
      <c r="AU80" s="297"/>
      <c r="AW80" s="297"/>
      <c r="AX80" s="297"/>
      <c r="AY80" s="297"/>
      <c r="AZ80" s="297"/>
      <c r="BB80" s="298"/>
      <c r="BC80" s="298"/>
      <c r="BD80" s="298"/>
      <c r="BE80" s="298"/>
      <c r="BG80" s="298"/>
      <c r="BH80" s="298"/>
      <c r="BI80" s="298"/>
      <c r="BJ80" s="298"/>
      <c r="BL80" s="299">
        <v>0</v>
      </c>
      <c r="BM80" s="298">
        <v>0</v>
      </c>
      <c r="BN80" s="298">
        <v>0</v>
      </c>
      <c r="BO80" s="298">
        <v>7</v>
      </c>
      <c r="BP80" s="116">
        <f>SUM(BL80:BO80)</f>
        <v>7</v>
      </c>
      <c r="BQ80" s="299">
        <f>14-BQ75-BQ69</f>
        <v>6.5221860066860806</v>
      </c>
      <c r="BR80" s="298">
        <f>(BM80/BP80)*BU80</f>
        <v>0</v>
      </c>
      <c r="BS80" s="298"/>
      <c r="BT80" s="298"/>
      <c r="BV80" s="298"/>
      <c r="BW80" s="298"/>
      <c r="BX80" s="298"/>
      <c r="BY80" s="298"/>
      <c r="CA80" s="298"/>
      <c r="CB80" s="298"/>
      <c r="CC80" s="298"/>
      <c r="CD80" s="298"/>
      <c r="CF80" s="298"/>
      <c r="CG80" s="298"/>
      <c r="CH80" s="298"/>
      <c r="CI80" s="298"/>
      <c r="CK80" s="298"/>
      <c r="CL80" s="298"/>
      <c r="CM80" s="298"/>
      <c r="CN80" s="298"/>
      <c r="CP80" s="298"/>
      <c r="CQ80" s="298"/>
      <c r="CR80" s="298"/>
      <c r="CS80" s="298"/>
      <c r="CU80" s="298"/>
      <c r="CV80" s="298"/>
      <c r="CW80" s="298"/>
      <c r="CX80" s="298"/>
      <c r="CZ80" s="298"/>
      <c r="DA80" s="298"/>
      <c r="DB80" s="298"/>
      <c r="DC80" s="298"/>
      <c r="DE80" s="298"/>
      <c r="DF80" s="298"/>
      <c r="DG80" s="298"/>
      <c r="DH80" s="298"/>
      <c r="DJ80" s="298"/>
      <c r="DK80" s="298"/>
      <c r="DL80" s="298"/>
      <c r="DM80" s="298"/>
      <c r="DO80" s="298"/>
      <c r="DP80" s="298"/>
      <c r="DQ80" s="298"/>
      <c r="DR80" s="298"/>
      <c r="DT80" s="298"/>
      <c r="DU80" s="298"/>
      <c r="DV80" s="298"/>
      <c r="DW80" s="298"/>
      <c r="DY80" s="298"/>
      <c r="DZ80" s="298"/>
      <c r="EA80" s="298"/>
      <c r="EB80" s="298"/>
      <c r="ED80" s="298"/>
      <c r="EE80" s="298"/>
      <c r="EF80" s="298"/>
      <c r="EG80" s="298"/>
      <c r="EI80" s="298"/>
      <c r="EJ80" s="298"/>
      <c r="EK80" s="298"/>
      <c r="EL80" s="298"/>
      <c r="EN80" s="298"/>
      <c r="EO80" s="298"/>
      <c r="EP80" s="298"/>
      <c r="EQ80" s="298"/>
    </row>
    <row r="81" spans="2:148" ht="12.75" hidden="1" customHeight="1" outlineLevel="1">
      <c r="B81" s="231" t="s">
        <v>727</v>
      </c>
      <c r="D81" s="297"/>
      <c r="E81" s="297"/>
      <c r="F81" s="297"/>
      <c r="G81" s="297"/>
      <c r="I81" s="297"/>
      <c r="J81" s="297"/>
      <c r="K81" s="297"/>
      <c r="L81" s="297"/>
      <c r="N81" s="297"/>
      <c r="O81" s="297"/>
      <c r="P81" s="297"/>
      <c r="Q81" s="297"/>
      <c r="S81" s="297"/>
      <c r="T81" s="297"/>
      <c r="U81" s="297"/>
      <c r="V81" s="297"/>
      <c r="X81" s="297"/>
      <c r="Y81" s="297"/>
      <c r="Z81" s="297"/>
      <c r="AA81" s="297"/>
      <c r="AC81" s="297"/>
      <c r="AD81" s="297"/>
      <c r="AE81" s="297"/>
      <c r="AF81" s="297"/>
      <c r="AH81" s="297"/>
      <c r="AI81" s="297"/>
      <c r="AJ81" s="297"/>
      <c r="AK81" s="297"/>
      <c r="AM81" s="297"/>
      <c r="AN81" s="297"/>
      <c r="AO81" s="297"/>
      <c r="AP81" s="297"/>
      <c r="AR81" s="297"/>
      <c r="AS81" s="297"/>
      <c r="AT81" s="297"/>
      <c r="AU81" s="297"/>
      <c r="AW81" s="297"/>
      <c r="AX81" s="297"/>
      <c r="AY81" s="297"/>
      <c r="AZ81" s="297"/>
      <c r="BB81" s="298"/>
      <c r="BC81" s="298"/>
      <c r="BD81" s="298"/>
      <c r="BE81" s="298"/>
      <c r="BG81" s="298"/>
      <c r="BH81" s="298"/>
      <c r="BI81" s="298"/>
      <c r="BJ81" s="298"/>
      <c r="BL81" s="299">
        <v>0</v>
      </c>
      <c r="BM81" s="298">
        <v>2.2868175046631496</v>
      </c>
      <c r="BN81" s="298">
        <v>2.691007569496648</v>
      </c>
      <c r="BO81" s="298">
        <v>1.7970010384828381</v>
      </c>
      <c r="BP81" s="116">
        <f>SUM(BL81:BO81)</f>
        <v>6.7748261126426357</v>
      </c>
      <c r="BQ81" s="299">
        <v>0</v>
      </c>
      <c r="BR81" s="298">
        <v>4</v>
      </c>
      <c r="BS81" s="298"/>
      <c r="BT81" s="298"/>
      <c r="BV81" s="298"/>
      <c r="BW81" s="298"/>
      <c r="BX81" s="298"/>
      <c r="BY81" s="298"/>
      <c r="CA81" s="298"/>
      <c r="CB81" s="298"/>
      <c r="CC81" s="298"/>
      <c r="CD81" s="298"/>
      <c r="CF81" s="298"/>
      <c r="CG81" s="298"/>
      <c r="CH81" s="298"/>
      <c r="CI81" s="298"/>
      <c r="CK81" s="298"/>
      <c r="CL81" s="298"/>
      <c r="CM81" s="298"/>
      <c r="CN81" s="298"/>
      <c r="CP81" s="298"/>
      <c r="CQ81" s="298"/>
      <c r="CR81" s="298"/>
      <c r="CS81" s="298"/>
      <c r="CU81" s="298"/>
      <c r="CV81" s="298"/>
      <c r="CW81" s="298"/>
      <c r="CX81" s="298"/>
      <c r="CZ81" s="298"/>
      <c r="DA81" s="298"/>
      <c r="DB81" s="298"/>
      <c r="DC81" s="298"/>
      <c r="DE81" s="298"/>
      <c r="DF81" s="298"/>
      <c r="DG81" s="298"/>
      <c r="DH81" s="298"/>
      <c r="DJ81" s="298"/>
      <c r="DK81" s="298"/>
      <c r="DL81" s="298"/>
      <c r="DM81" s="298"/>
      <c r="DO81" s="298"/>
      <c r="DP81" s="298"/>
      <c r="DQ81" s="298"/>
      <c r="DR81" s="298"/>
      <c r="DT81" s="298"/>
      <c r="DU81" s="298"/>
      <c r="DV81" s="298"/>
      <c r="DW81" s="298"/>
      <c r="DY81" s="298"/>
      <c r="DZ81" s="298"/>
      <c r="EA81" s="298"/>
      <c r="EB81" s="298"/>
      <c r="ED81" s="298"/>
      <c r="EE81" s="298"/>
      <c r="EF81" s="298"/>
      <c r="EG81" s="298"/>
      <c r="EI81" s="298"/>
      <c r="EJ81" s="298"/>
      <c r="EK81" s="298"/>
      <c r="EL81" s="298"/>
      <c r="EN81" s="298"/>
      <c r="EO81" s="298"/>
      <c r="EP81" s="298"/>
      <c r="EQ81" s="298"/>
    </row>
    <row r="82" spans="2:148" ht="12.75" hidden="1" customHeight="1" outlineLevel="1">
      <c r="B82" s="231" t="s">
        <v>81</v>
      </c>
      <c r="D82" s="297"/>
      <c r="E82" s="297"/>
      <c r="F82" s="297"/>
      <c r="G82" s="297"/>
      <c r="I82" s="297"/>
      <c r="J82" s="297"/>
      <c r="K82" s="297"/>
      <c r="L82" s="297"/>
      <c r="N82" s="297"/>
      <c r="O82" s="297"/>
      <c r="P82" s="297"/>
      <c r="Q82" s="297"/>
      <c r="S82" s="297"/>
      <c r="T82" s="297"/>
      <c r="U82" s="297"/>
      <c r="V82" s="297"/>
      <c r="X82" s="297"/>
      <c r="Y82" s="297"/>
      <c r="Z82" s="297"/>
      <c r="AA82" s="297"/>
      <c r="AC82" s="297"/>
      <c r="AD82" s="297"/>
      <c r="AE82" s="297"/>
      <c r="AF82" s="297"/>
      <c r="AH82" s="297"/>
      <c r="AI82" s="297"/>
      <c r="AJ82" s="297"/>
      <c r="AK82" s="297"/>
      <c r="AM82" s="297"/>
      <c r="AN82" s="297"/>
      <c r="AO82" s="297"/>
      <c r="AP82" s="297"/>
      <c r="AR82" s="297"/>
      <c r="AS82" s="297"/>
      <c r="AT82" s="297"/>
      <c r="AU82" s="297"/>
      <c r="AW82" s="297"/>
      <c r="AX82" s="297"/>
      <c r="AY82" s="297"/>
      <c r="AZ82" s="297"/>
      <c r="BB82" s="298"/>
      <c r="BC82" s="298"/>
      <c r="BD82" s="298"/>
      <c r="BE82" s="298"/>
      <c r="BG82" s="298"/>
      <c r="BH82" s="298"/>
      <c r="BI82" s="298"/>
      <c r="BJ82" s="298"/>
      <c r="BL82" s="299">
        <v>0</v>
      </c>
      <c r="BM82" s="299">
        <v>0</v>
      </c>
      <c r="BN82" s="299">
        <v>0</v>
      </c>
      <c r="BO82" s="299">
        <v>1</v>
      </c>
      <c r="BP82" s="116">
        <f>SUM(BL82:BO82)</f>
        <v>1</v>
      </c>
      <c r="BQ82" s="299">
        <v>0</v>
      </c>
      <c r="BR82" s="298">
        <f>(BM82/BP82)*BU82</f>
        <v>0</v>
      </c>
      <c r="BS82" s="298"/>
      <c r="BT82" s="298"/>
      <c r="BV82" s="298"/>
      <c r="BW82" s="298"/>
      <c r="BX82" s="298"/>
      <c r="BY82" s="298"/>
      <c r="CA82" s="298"/>
      <c r="CB82" s="298"/>
      <c r="CC82" s="298"/>
      <c r="CD82" s="298"/>
      <c r="CF82" s="298"/>
      <c r="CG82" s="298"/>
      <c r="CH82" s="298"/>
      <c r="CI82" s="298"/>
      <c r="CK82" s="298"/>
      <c r="CL82" s="298"/>
      <c r="CM82" s="298"/>
      <c r="CN82" s="298"/>
      <c r="CP82" s="298"/>
      <c r="CQ82" s="298"/>
      <c r="CR82" s="298"/>
      <c r="CS82" s="298"/>
      <c r="CU82" s="298"/>
      <c r="CV82" s="298"/>
      <c r="CW82" s="298"/>
      <c r="CX82" s="298"/>
      <c r="CZ82" s="298"/>
      <c r="DA82" s="298"/>
      <c r="DB82" s="298"/>
      <c r="DC82" s="298"/>
      <c r="DE82" s="298"/>
      <c r="DF82" s="298"/>
      <c r="DG82" s="298"/>
      <c r="DH82" s="298"/>
      <c r="DJ82" s="298"/>
      <c r="DK82" s="298"/>
      <c r="DL82" s="298"/>
      <c r="DM82" s="298"/>
      <c r="DO82" s="298"/>
      <c r="DP82" s="298"/>
      <c r="DQ82" s="298"/>
      <c r="DR82" s="298"/>
      <c r="DT82" s="298"/>
      <c r="DU82" s="298"/>
      <c r="DV82" s="298"/>
      <c r="DW82" s="298"/>
      <c r="DY82" s="298"/>
      <c r="DZ82" s="298"/>
      <c r="EA82" s="298"/>
      <c r="EB82" s="298"/>
      <c r="ED82" s="298"/>
      <c r="EE82" s="298"/>
      <c r="EF82" s="298"/>
      <c r="EG82" s="298"/>
      <c r="EI82" s="298"/>
      <c r="EJ82" s="298"/>
      <c r="EK82" s="298"/>
      <c r="EL82" s="298"/>
      <c r="EN82" s="298"/>
      <c r="EO82" s="298"/>
      <c r="EP82" s="298"/>
      <c r="EQ82" s="298"/>
    </row>
    <row r="83" spans="2:148" ht="12.75" hidden="1" customHeight="1" outlineLevel="1">
      <c r="B83" s="231"/>
      <c r="D83" s="297"/>
      <c r="E83" s="297"/>
      <c r="F83" s="297"/>
      <c r="G83" s="297"/>
      <c r="I83" s="297"/>
      <c r="J83" s="297"/>
      <c r="K83" s="297"/>
      <c r="L83" s="297"/>
      <c r="N83" s="297"/>
      <c r="O83" s="297"/>
      <c r="P83" s="297"/>
      <c r="Q83" s="297"/>
      <c r="S83" s="297"/>
      <c r="T83" s="297"/>
      <c r="U83" s="297"/>
      <c r="V83" s="297"/>
      <c r="X83" s="297"/>
      <c r="Y83" s="297"/>
      <c r="Z83" s="297"/>
      <c r="AA83" s="297"/>
      <c r="AC83" s="297"/>
      <c r="AD83" s="297"/>
      <c r="AE83" s="297"/>
      <c r="AF83" s="297"/>
      <c r="AH83" s="297"/>
      <c r="AI83" s="297"/>
      <c r="AJ83" s="297"/>
      <c r="AK83" s="297"/>
      <c r="AM83" s="297"/>
      <c r="AN83" s="297"/>
      <c r="AO83" s="297"/>
      <c r="AP83" s="297"/>
      <c r="AR83" s="297"/>
      <c r="AS83" s="297"/>
      <c r="AT83" s="297"/>
      <c r="AU83" s="297"/>
      <c r="AW83" s="297"/>
      <c r="AX83" s="297"/>
      <c r="AY83" s="297"/>
      <c r="AZ83" s="297"/>
      <c r="BB83" s="298"/>
      <c r="BC83" s="298"/>
      <c r="BD83" s="298"/>
      <c r="BE83" s="298"/>
      <c r="BG83" s="298"/>
      <c r="BH83" s="298"/>
      <c r="BI83" s="298"/>
      <c r="BJ83" s="298"/>
      <c r="BL83" s="298"/>
      <c r="BM83" s="298"/>
      <c r="BN83" s="298"/>
      <c r="BO83" s="298"/>
      <c r="BQ83" s="298"/>
      <c r="BR83" s="298"/>
      <c r="BS83" s="298"/>
      <c r="BT83" s="298"/>
      <c r="BV83" s="298"/>
      <c r="BW83" s="298"/>
      <c r="BX83" s="298"/>
      <c r="BY83" s="298"/>
      <c r="CA83" s="298"/>
      <c r="CB83" s="298"/>
      <c r="CC83" s="298"/>
      <c r="CD83" s="298"/>
      <c r="CF83" s="298"/>
      <c r="CG83" s="298"/>
      <c r="CH83" s="298"/>
      <c r="CI83" s="298"/>
      <c r="CK83" s="298"/>
      <c r="CL83" s="298"/>
      <c r="CM83" s="298"/>
      <c r="CN83" s="298"/>
      <c r="CP83" s="298"/>
      <c r="CQ83" s="298"/>
      <c r="CR83" s="298"/>
      <c r="CS83" s="298"/>
      <c r="CU83" s="298"/>
      <c r="CV83" s="298"/>
      <c r="CW83" s="298"/>
      <c r="CX83" s="298"/>
      <c r="CZ83" s="298"/>
      <c r="DA83" s="298"/>
      <c r="DB83" s="298"/>
      <c r="DC83" s="298"/>
      <c r="DE83" s="298"/>
      <c r="DF83" s="298"/>
      <c r="DG83" s="298"/>
      <c r="DH83" s="298"/>
      <c r="DJ83" s="298"/>
      <c r="DK83" s="298"/>
      <c r="DL83" s="298"/>
      <c r="DM83" s="298"/>
      <c r="DO83" s="298"/>
      <c r="DP83" s="298"/>
      <c r="DQ83" s="298"/>
      <c r="DR83" s="298"/>
      <c r="DT83" s="298"/>
      <c r="DU83" s="298"/>
      <c r="DV83" s="298"/>
      <c r="DW83" s="298"/>
      <c r="DY83" s="298"/>
      <c r="DZ83" s="298"/>
      <c r="EA83" s="298"/>
      <c r="EB83" s="298"/>
      <c r="ED83" s="298"/>
      <c r="EE83" s="298"/>
      <c r="EF83" s="298"/>
      <c r="EG83" s="298"/>
      <c r="EI83" s="298"/>
      <c r="EJ83" s="298"/>
      <c r="EK83" s="298"/>
      <c r="EL83" s="298"/>
      <c r="EN83" s="298"/>
      <c r="EO83" s="298"/>
      <c r="EP83" s="298"/>
      <c r="EQ83" s="298"/>
    </row>
    <row r="84" spans="2:148" s="230" customFormat="1" collapsed="1">
      <c r="B84" s="234" t="s">
        <v>739</v>
      </c>
      <c r="C84" s="230">
        <f t="shared" ref="C84:AH84" si="45">C79+C74+C68</f>
        <v>0</v>
      </c>
      <c r="D84" s="352">
        <f t="shared" si="45"/>
        <v>0</v>
      </c>
      <c r="E84" s="352">
        <f t="shared" si="45"/>
        <v>0</v>
      </c>
      <c r="F84" s="352">
        <f t="shared" si="45"/>
        <v>0</v>
      </c>
      <c r="G84" s="352">
        <f t="shared" si="45"/>
        <v>0</v>
      </c>
      <c r="H84" s="230">
        <f t="shared" si="45"/>
        <v>0</v>
      </c>
      <c r="I84" s="352">
        <f t="shared" si="45"/>
        <v>5.8</v>
      </c>
      <c r="J84" s="352">
        <f t="shared" si="45"/>
        <v>12.4</v>
      </c>
      <c r="K84" s="352">
        <f t="shared" si="45"/>
        <v>22.378999999999998</v>
      </c>
      <c r="L84" s="352">
        <f t="shared" si="45"/>
        <v>19.842000000000002</v>
      </c>
      <c r="M84" s="230">
        <f t="shared" si="45"/>
        <v>60.420999999999992</v>
      </c>
      <c r="N84" s="352">
        <f t="shared" si="45"/>
        <v>30.882000000000001</v>
      </c>
      <c r="O84" s="352">
        <f t="shared" si="45"/>
        <v>44.417999999999999</v>
      </c>
      <c r="P84" s="352">
        <f t="shared" si="45"/>
        <v>45.697000000000003</v>
      </c>
      <c r="Q84" s="352">
        <f t="shared" si="45"/>
        <v>49.122999999999998</v>
      </c>
      <c r="R84" s="230">
        <f t="shared" si="45"/>
        <v>170.12</v>
      </c>
      <c r="S84" s="352">
        <f t="shared" si="45"/>
        <v>55.110999999999997</v>
      </c>
      <c r="T84" s="352">
        <f t="shared" si="45"/>
        <v>57.938000000000002</v>
      </c>
      <c r="U84" s="352">
        <f t="shared" si="45"/>
        <v>58.63</v>
      </c>
      <c r="V84" s="352">
        <f t="shared" si="45"/>
        <v>62.338999999999999</v>
      </c>
      <c r="W84" s="230">
        <f t="shared" si="45"/>
        <v>234.01799999999997</v>
      </c>
      <c r="X84" s="352">
        <f t="shared" si="45"/>
        <v>62.617000000000012</v>
      </c>
      <c r="Y84" s="352">
        <f t="shared" si="45"/>
        <v>65.509000000000015</v>
      </c>
      <c r="Z84" s="352">
        <f t="shared" si="45"/>
        <v>64.385000000000005</v>
      </c>
      <c r="AA84" s="352">
        <f t="shared" si="45"/>
        <v>74.413000000000011</v>
      </c>
      <c r="AB84" s="230">
        <f t="shared" si="45"/>
        <v>266.92400000000004</v>
      </c>
      <c r="AC84" s="352">
        <f t="shared" si="45"/>
        <v>79.667000000000002</v>
      </c>
      <c r="AD84" s="352">
        <f t="shared" si="45"/>
        <v>84.777000000000001</v>
      </c>
      <c r="AE84" s="352">
        <f t="shared" si="45"/>
        <v>85.733999999999995</v>
      </c>
      <c r="AF84" s="352">
        <f t="shared" si="45"/>
        <v>84.037000000000006</v>
      </c>
      <c r="AG84" s="230">
        <f t="shared" si="45"/>
        <v>334.21499999999997</v>
      </c>
      <c r="AH84" s="352">
        <f t="shared" si="45"/>
        <v>91.411000000000001</v>
      </c>
      <c r="AI84" s="352">
        <f t="shared" ref="AI84:BM84" si="46">AI79+AI74+AI68</f>
        <v>98.452999999999989</v>
      </c>
      <c r="AJ84" s="352">
        <f t="shared" si="46"/>
        <v>98.850999999999999</v>
      </c>
      <c r="AK84" s="352">
        <f t="shared" si="46"/>
        <v>83.387999999999991</v>
      </c>
      <c r="AL84" s="230">
        <f t="shared" si="46"/>
        <v>372.10299999999995</v>
      </c>
      <c r="AM84" s="352">
        <f t="shared" si="46"/>
        <v>79.947999999999993</v>
      </c>
      <c r="AN84" s="352">
        <f t="shared" si="46"/>
        <v>74.17</v>
      </c>
      <c r="AO84" s="352">
        <f t="shared" si="46"/>
        <v>74.656999999999996</v>
      </c>
      <c r="AP84" s="352">
        <f t="shared" si="46"/>
        <v>70.852000000000004</v>
      </c>
      <c r="AQ84" s="230">
        <f t="shared" si="46"/>
        <v>299.62700000000001</v>
      </c>
      <c r="AR84" s="352">
        <f t="shared" si="46"/>
        <v>65.28</v>
      </c>
      <c r="AS84" s="352">
        <f t="shared" si="46"/>
        <v>58.079000000000001</v>
      </c>
      <c r="AT84" s="352">
        <f t="shared" si="46"/>
        <v>54.214999999999996</v>
      </c>
      <c r="AU84" s="352">
        <f t="shared" si="46"/>
        <v>50.696999999999996</v>
      </c>
      <c r="AV84" s="230">
        <f t="shared" si="46"/>
        <v>228.27099999999999</v>
      </c>
      <c r="AW84" s="352">
        <f t="shared" si="46"/>
        <v>44.672000000000004</v>
      </c>
      <c r="AX84" s="352">
        <f t="shared" si="46"/>
        <v>45.387999999999998</v>
      </c>
      <c r="AY84" s="352">
        <f t="shared" si="46"/>
        <v>43.298000000000002</v>
      </c>
      <c r="AZ84" s="352">
        <f t="shared" si="46"/>
        <v>40.085000000000001</v>
      </c>
      <c r="BA84" s="230">
        <f t="shared" si="46"/>
        <v>173.44300000000001</v>
      </c>
      <c r="BB84" s="353">
        <f t="shared" si="46"/>
        <v>36.073999999999998</v>
      </c>
      <c r="BC84" s="353">
        <f t="shared" si="46"/>
        <v>34.003999999999998</v>
      </c>
      <c r="BD84" s="353">
        <f t="shared" si="46"/>
        <v>34.548000000000002</v>
      </c>
      <c r="BE84" s="353">
        <f t="shared" si="46"/>
        <v>33.138000000000005</v>
      </c>
      <c r="BF84" s="230">
        <f t="shared" si="46"/>
        <v>137.76400000000001</v>
      </c>
      <c r="BG84" s="353">
        <f t="shared" si="46"/>
        <v>33.094000000000001</v>
      </c>
      <c r="BH84" s="353">
        <f t="shared" si="46"/>
        <v>28.095000000000002</v>
      </c>
      <c r="BI84" s="353">
        <f t="shared" si="46"/>
        <v>27.162000000000003</v>
      </c>
      <c r="BJ84" s="353">
        <f t="shared" si="46"/>
        <v>20.148999999999997</v>
      </c>
      <c r="BK84" s="230">
        <f t="shared" si="46"/>
        <v>108.5</v>
      </c>
      <c r="BL84" s="353">
        <f>BL79+BL74+BL68</f>
        <v>18.225000000000001</v>
      </c>
      <c r="BM84" s="353">
        <f t="shared" si="46"/>
        <v>24.343000000000004</v>
      </c>
      <c r="BN84" s="353">
        <f>BN79+BN74+BN68</f>
        <v>24.277999999999999</v>
      </c>
      <c r="BO84" s="353">
        <f>BO79+BO74+BO68</f>
        <v>20.872107738503651</v>
      </c>
      <c r="BP84" s="230">
        <f>BP79+BP74+BP68</f>
        <v>87.718107738503647</v>
      </c>
      <c r="BQ84" s="353">
        <f>BQ79+BQ74+BQ68</f>
        <v>22</v>
      </c>
      <c r="BR84" s="356">
        <v>16</v>
      </c>
      <c r="BS84" s="356">
        <v>15</v>
      </c>
      <c r="BT84" s="356">
        <v>16</v>
      </c>
      <c r="BU84" s="230">
        <f>SUM(BQ84:BT84)</f>
        <v>69</v>
      </c>
      <c r="BV84" s="356">
        <v>28</v>
      </c>
      <c r="BW84" s="356">
        <v>20</v>
      </c>
      <c r="BX84" s="356">
        <v>19</v>
      </c>
      <c r="BY84" s="356">
        <v>16</v>
      </c>
      <c r="BZ84" s="230">
        <f>SUM(BV84:BY84)</f>
        <v>83</v>
      </c>
      <c r="CA84" s="356">
        <v>30</v>
      </c>
      <c r="CB84" s="356">
        <v>36</v>
      </c>
      <c r="CC84" s="356">
        <v>56</v>
      </c>
      <c r="CD84" s="997">
        <v>74</v>
      </c>
      <c r="CE84" s="230">
        <f>SUM(CA84:CD84)</f>
        <v>196</v>
      </c>
      <c r="CF84" s="353">
        <f>CJ84/4</f>
        <v>53.900000000000006</v>
      </c>
      <c r="CG84" s="712">
        <f>CJ84/4</f>
        <v>53.900000000000006</v>
      </c>
      <c r="CH84" s="712">
        <f>CJ84/4</f>
        <v>53.900000000000006</v>
      </c>
      <c r="CI84" s="712">
        <f>CJ84-SUM(CF84:CH84)</f>
        <v>53.900000000000006</v>
      </c>
      <c r="CJ84" s="698">
        <f>CE84*1.1</f>
        <v>215.60000000000002</v>
      </c>
      <c r="CK84" s="353">
        <f>CK79+CK74+CK68</f>
        <v>0</v>
      </c>
      <c r="CL84" s="353">
        <f>CL79+CL74+CL68</f>
        <v>0</v>
      </c>
      <c r="CM84" s="353">
        <f>CM79+CM74+CM68</f>
        <v>0</v>
      </c>
      <c r="CN84" s="353">
        <f>CN79+CN74+CN68</f>
        <v>0</v>
      </c>
      <c r="CO84" s="698">
        <f>CJ84*1.1</f>
        <v>237.16000000000005</v>
      </c>
      <c r="CP84" s="353">
        <f>CP79+CP74+CP68</f>
        <v>0</v>
      </c>
      <c r="CQ84" s="353">
        <f>CQ79+CQ74+CQ68</f>
        <v>0</v>
      </c>
      <c r="CR84" s="353">
        <f>CR79+CR74+CR68</f>
        <v>0</v>
      </c>
      <c r="CS84" s="353">
        <f>CS79+CS74+CS68</f>
        <v>0</v>
      </c>
      <c r="CT84" s="698">
        <f>CO84*1.1</f>
        <v>260.87600000000009</v>
      </c>
      <c r="CU84" s="353">
        <f>CU79+CU74+CU68</f>
        <v>0</v>
      </c>
      <c r="CV84" s="353">
        <f>CV79+CV74+CV68</f>
        <v>0</v>
      </c>
      <c r="CW84" s="353">
        <f>CW79+CW74+CW68</f>
        <v>0</v>
      </c>
      <c r="CX84" s="353">
        <f>CX79+CX74+CX68</f>
        <v>0</v>
      </c>
      <c r="CY84" s="698">
        <f>CT84*1.1</f>
        <v>286.9636000000001</v>
      </c>
      <c r="CZ84" s="353">
        <f>CZ79+CZ74+CZ68</f>
        <v>0</v>
      </c>
      <c r="DA84" s="353">
        <f>DA79+DA74+DA68</f>
        <v>0</v>
      </c>
      <c r="DB84" s="353">
        <f>DB79+DB74+DB68</f>
        <v>0</v>
      </c>
      <c r="DC84" s="353">
        <f>DC79+DC74+DC68</f>
        <v>0</v>
      </c>
      <c r="DD84" s="698">
        <f>CY84*1.1</f>
        <v>315.65996000000013</v>
      </c>
      <c r="DE84" s="353">
        <f>DE79+DE74+DE68</f>
        <v>0</v>
      </c>
      <c r="DF84" s="353">
        <f>DF79+DF74+DF68</f>
        <v>0</v>
      </c>
      <c r="DG84" s="353">
        <f>DG79+DG74+DG68</f>
        <v>0</v>
      </c>
      <c r="DH84" s="353">
        <f>DH79+DH74+DH68</f>
        <v>0</v>
      </c>
      <c r="DI84" s="698">
        <f>DD84*1.1</f>
        <v>347.22595600000017</v>
      </c>
      <c r="DJ84" s="353">
        <f>DJ79+DJ74+DJ68</f>
        <v>0</v>
      </c>
      <c r="DK84" s="353">
        <f>DK79+DK74+DK68</f>
        <v>0</v>
      </c>
      <c r="DL84" s="353">
        <f>DL79+DL74+DL68</f>
        <v>0</v>
      </c>
      <c r="DM84" s="353">
        <f>DM79+DM74+DM68</f>
        <v>0</v>
      </c>
      <c r="DN84" s="698">
        <f>DI84*1.1</f>
        <v>381.9485516000002</v>
      </c>
      <c r="DO84" s="353">
        <f>DO79+DO74+DO68</f>
        <v>0</v>
      </c>
      <c r="DP84" s="353">
        <f>DP79+DP74+DP68</f>
        <v>0</v>
      </c>
      <c r="DQ84" s="353">
        <f>DQ79+DQ74+DQ68</f>
        <v>0</v>
      </c>
      <c r="DR84" s="353">
        <f>DR79+DR74+DR68</f>
        <v>0</v>
      </c>
      <c r="DS84" s="230">
        <f>DN84*0.8</f>
        <v>305.55884128000019</v>
      </c>
      <c r="DT84" s="353">
        <f>DT79+DT74+DT68</f>
        <v>0</v>
      </c>
      <c r="DU84" s="353">
        <f>DU79+DU74+DU68</f>
        <v>0</v>
      </c>
      <c r="DV84" s="353">
        <f>DV79+DV74+DV68</f>
        <v>0</v>
      </c>
      <c r="DW84" s="353">
        <f>DW79+DW74+DW68</f>
        <v>0</v>
      </c>
      <c r="DX84" s="698">
        <f>DS84*0.8</f>
        <v>244.44707302400016</v>
      </c>
      <c r="DY84" s="353">
        <f>DY79+DY74+DY68</f>
        <v>0</v>
      </c>
      <c r="DZ84" s="353">
        <f>DZ79+DZ74+DZ68</f>
        <v>0</v>
      </c>
      <c r="EA84" s="353">
        <f>EA79+EA74+EA68</f>
        <v>0</v>
      </c>
      <c r="EB84" s="353">
        <f>EB79+EB74+EB68</f>
        <v>0</v>
      </c>
      <c r="EC84" s="698">
        <f>DX84*0.8</f>
        <v>195.55765841920015</v>
      </c>
      <c r="ED84" s="353">
        <f>ED79+ED74+ED68</f>
        <v>0</v>
      </c>
      <c r="EE84" s="353">
        <f>EE79+EE74+EE68</f>
        <v>0</v>
      </c>
      <c r="EF84" s="353">
        <f>EF79+EF74+EF68</f>
        <v>0</v>
      </c>
      <c r="EG84" s="353">
        <f>EG79+EG74+EG68</f>
        <v>0</v>
      </c>
      <c r="EH84" s="698">
        <f>EC84*0.8</f>
        <v>156.44612673536014</v>
      </c>
      <c r="EI84" s="353">
        <f>EI79+EI74+EI68</f>
        <v>0</v>
      </c>
      <c r="EJ84" s="353">
        <f>EJ79+EJ74+EJ68</f>
        <v>0</v>
      </c>
      <c r="EK84" s="353">
        <f>EK79+EK74+EK68</f>
        <v>0</v>
      </c>
      <c r="EL84" s="353">
        <f>EL79+EL74+EL68</f>
        <v>0</v>
      </c>
      <c r="EM84" s="698">
        <f>EH84*0.8</f>
        <v>125.15690138828812</v>
      </c>
      <c r="EN84" s="353">
        <f>EN79+EN74+EN68</f>
        <v>0</v>
      </c>
      <c r="EO84" s="353">
        <f>EO79+EO74+EO68</f>
        <v>0</v>
      </c>
      <c r="EP84" s="353">
        <f>EP79+EP74+EP68</f>
        <v>0</v>
      </c>
      <c r="EQ84" s="353">
        <f>EQ79+EQ74+EQ68</f>
        <v>0</v>
      </c>
      <c r="ER84" s="698">
        <f>EM84*0.8</f>
        <v>100.1255211106305</v>
      </c>
    </row>
    <row r="85" spans="2:148" s="230" customFormat="1" hidden="1" outlineLevel="1">
      <c r="B85" s="686" t="s">
        <v>79</v>
      </c>
      <c r="D85" s="352"/>
      <c r="E85" s="352"/>
      <c r="F85" s="352"/>
      <c r="G85" s="352"/>
      <c r="I85" s="352"/>
      <c r="J85" s="352"/>
      <c r="K85" s="352"/>
      <c r="L85" s="352"/>
      <c r="N85" s="352"/>
      <c r="O85" s="352"/>
      <c r="P85" s="352"/>
      <c r="Q85" s="352"/>
      <c r="S85" s="352"/>
      <c r="T85" s="352"/>
      <c r="U85" s="352"/>
      <c r="V85" s="352"/>
      <c r="X85" s="352"/>
      <c r="Y85" s="352"/>
      <c r="Z85" s="352"/>
      <c r="AA85" s="352"/>
      <c r="AC85" s="352"/>
      <c r="AD85" s="352"/>
      <c r="AE85" s="352"/>
      <c r="AF85" s="352"/>
      <c r="AH85" s="352"/>
      <c r="AI85" s="352"/>
      <c r="AJ85" s="352"/>
      <c r="AK85" s="352"/>
      <c r="AM85" s="352"/>
      <c r="AN85" s="352"/>
      <c r="AO85" s="352"/>
      <c r="AP85" s="352"/>
      <c r="AR85" s="352"/>
      <c r="AS85" s="352"/>
      <c r="AT85" s="352"/>
      <c r="AU85" s="352"/>
      <c r="AW85" s="352"/>
      <c r="AX85" s="352"/>
      <c r="AY85" s="352"/>
      <c r="AZ85" s="352"/>
      <c r="BB85" s="353"/>
      <c r="BC85" s="353"/>
      <c r="BD85" s="353"/>
      <c r="BE85" s="353"/>
      <c r="BG85" s="353"/>
      <c r="BH85" s="353"/>
      <c r="BI85" s="353"/>
      <c r="BJ85" s="353"/>
      <c r="BL85" s="353"/>
      <c r="BM85" s="353"/>
      <c r="BN85" s="353"/>
      <c r="BO85" s="353"/>
      <c r="BQ85" s="353"/>
      <c r="BR85" s="356"/>
      <c r="BS85" s="356"/>
      <c r="BT85" s="356"/>
      <c r="BV85" s="356"/>
      <c r="BW85" s="353"/>
      <c r="BX85" s="353"/>
      <c r="BY85" s="353"/>
      <c r="CA85" s="353"/>
      <c r="CB85" s="353"/>
      <c r="CC85" s="353"/>
      <c r="CD85" s="353"/>
      <c r="CF85" s="353"/>
      <c r="CG85" s="353"/>
      <c r="CH85" s="353"/>
      <c r="CI85" s="353"/>
      <c r="CK85" s="353"/>
      <c r="CL85" s="353"/>
      <c r="CM85" s="353"/>
      <c r="CN85" s="353"/>
      <c r="CP85" s="353"/>
      <c r="CQ85" s="353"/>
      <c r="CR85" s="353"/>
      <c r="CS85" s="353"/>
      <c r="CU85" s="353"/>
      <c r="CV85" s="353"/>
      <c r="CW85" s="353"/>
      <c r="CX85" s="353"/>
      <c r="CZ85" s="353"/>
      <c r="DA85" s="353"/>
      <c r="DB85" s="353"/>
      <c r="DC85" s="353"/>
      <c r="DE85" s="353"/>
      <c r="DF85" s="353"/>
      <c r="DG85" s="353"/>
      <c r="DH85" s="353"/>
      <c r="DJ85" s="353"/>
      <c r="DK85" s="353"/>
      <c r="DL85" s="353"/>
      <c r="DM85" s="353"/>
      <c r="DO85" s="353"/>
      <c r="DP85" s="353"/>
      <c r="DQ85" s="353"/>
      <c r="DR85" s="353"/>
      <c r="DT85" s="353"/>
      <c r="DU85" s="353"/>
      <c r="DV85" s="353"/>
      <c r="DW85" s="353"/>
      <c r="DY85" s="353"/>
      <c r="DZ85" s="353"/>
      <c r="EA85" s="353"/>
      <c r="EB85" s="353"/>
      <c r="ED85" s="353"/>
      <c r="EE85" s="353"/>
      <c r="EF85" s="353"/>
      <c r="EG85" s="353"/>
      <c r="EI85" s="353"/>
      <c r="EJ85" s="353"/>
      <c r="EK85" s="353"/>
      <c r="EL85" s="353"/>
      <c r="EN85" s="353"/>
      <c r="EO85" s="353"/>
      <c r="EP85" s="353"/>
      <c r="EQ85" s="353"/>
    </row>
    <row r="86" spans="2:148" s="230" customFormat="1" hidden="1" outlineLevel="1">
      <c r="B86" s="686" t="s">
        <v>858</v>
      </c>
      <c r="D86" s="352"/>
      <c r="E86" s="352"/>
      <c r="F86" s="352"/>
      <c r="G86" s="352"/>
      <c r="I86" s="352"/>
      <c r="J86" s="352"/>
      <c r="K86" s="352"/>
      <c r="L86" s="352"/>
      <c r="N86" s="352"/>
      <c r="O86" s="352"/>
      <c r="P86" s="352"/>
      <c r="Q86" s="352"/>
      <c r="S86" s="352"/>
      <c r="T86" s="352"/>
      <c r="U86" s="352"/>
      <c r="V86" s="352"/>
      <c r="X86" s="352"/>
      <c r="Y86" s="352"/>
      <c r="Z86" s="352"/>
      <c r="AA86" s="352"/>
      <c r="AC86" s="352"/>
      <c r="AD86" s="352"/>
      <c r="AE86" s="352"/>
      <c r="AF86" s="352"/>
      <c r="AH86" s="352"/>
      <c r="AI86" s="352"/>
      <c r="AJ86" s="352"/>
      <c r="AK86" s="352"/>
      <c r="AM86" s="352"/>
      <c r="AN86" s="352"/>
      <c r="AO86" s="352"/>
      <c r="AP86" s="352"/>
      <c r="AR86" s="352"/>
      <c r="AS86" s="352"/>
      <c r="AT86" s="352"/>
      <c r="AU86" s="352"/>
      <c r="AW86" s="352"/>
      <c r="AX86" s="352"/>
      <c r="AY86" s="352"/>
      <c r="AZ86" s="352"/>
      <c r="BB86" s="353"/>
      <c r="BC86" s="353"/>
      <c r="BD86" s="353"/>
      <c r="BE86" s="353"/>
      <c r="BG86" s="353"/>
      <c r="BH86" s="353"/>
      <c r="BI86" s="353"/>
      <c r="BJ86" s="353"/>
      <c r="BL86" s="353"/>
      <c r="BM86" s="353"/>
      <c r="BN86" s="353"/>
      <c r="BO86" s="353"/>
      <c r="BQ86" s="353"/>
      <c r="BR86" s="356"/>
      <c r="BS86" s="356"/>
      <c r="BT86" s="356"/>
      <c r="BV86" s="356"/>
      <c r="BW86" s="353"/>
      <c r="BX86" s="353"/>
      <c r="BY86" s="353"/>
      <c r="CA86" s="353"/>
      <c r="CB86" s="353"/>
      <c r="CC86" s="353"/>
      <c r="CD86" s="353"/>
      <c r="CF86" s="353"/>
      <c r="CG86" s="353"/>
      <c r="CH86" s="353"/>
      <c r="CI86" s="353"/>
      <c r="CK86" s="353"/>
      <c r="CL86" s="353"/>
      <c r="CM86" s="353"/>
      <c r="CN86" s="353"/>
      <c r="CP86" s="353"/>
      <c r="CQ86" s="353"/>
      <c r="CR86" s="353"/>
      <c r="CS86" s="353"/>
      <c r="CU86" s="353"/>
      <c r="CV86" s="353"/>
      <c r="CW86" s="353"/>
      <c r="CX86" s="353"/>
      <c r="CZ86" s="353"/>
      <c r="DA86" s="353"/>
      <c r="DB86" s="353"/>
      <c r="DC86" s="353"/>
      <c r="DE86" s="353"/>
      <c r="DF86" s="353"/>
      <c r="DG86" s="353"/>
      <c r="DH86" s="353"/>
      <c r="DJ86" s="353"/>
      <c r="DK86" s="353"/>
      <c r="DL86" s="353"/>
      <c r="DM86" s="353"/>
      <c r="DO86" s="353"/>
      <c r="DP86" s="353"/>
      <c r="DQ86" s="353"/>
      <c r="DR86" s="353"/>
      <c r="DT86" s="353"/>
      <c r="DU86" s="353"/>
      <c r="DV86" s="353"/>
      <c r="DW86" s="353"/>
      <c r="DY86" s="353"/>
      <c r="DZ86" s="353"/>
      <c r="EA86" s="353"/>
      <c r="EB86" s="353"/>
      <c r="ED86" s="353"/>
      <c r="EE86" s="353"/>
      <c r="EF86" s="353"/>
      <c r="EG86" s="353"/>
      <c r="EI86" s="353"/>
      <c r="EJ86" s="353"/>
      <c r="EK86" s="353"/>
      <c r="EL86" s="353"/>
      <c r="EN86" s="353"/>
      <c r="EO86" s="353"/>
      <c r="EP86" s="353"/>
      <c r="EQ86" s="353"/>
    </row>
    <row r="87" spans="2:148" s="230" customFormat="1" hidden="1" outlineLevel="1">
      <c r="B87" s="686" t="s">
        <v>81</v>
      </c>
      <c r="D87" s="352"/>
      <c r="E87" s="352"/>
      <c r="F87" s="352"/>
      <c r="G87" s="352"/>
      <c r="I87" s="352"/>
      <c r="J87" s="352"/>
      <c r="K87" s="352"/>
      <c r="L87" s="352"/>
      <c r="N87" s="352"/>
      <c r="O87" s="352"/>
      <c r="P87" s="352"/>
      <c r="Q87" s="352"/>
      <c r="S87" s="352"/>
      <c r="T87" s="352"/>
      <c r="U87" s="352"/>
      <c r="V87" s="352"/>
      <c r="X87" s="352"/>
      <c r="Y87" s="352"/>
      <c r="Z87" s="352"/>
      <c r="AA87" s="352"/>
      <c r="AC87" s="352"/>
      <c r="AD87" s="352"/>
      <c r="AE87" s="352"/>
      <c r="AF87" s="352"/>
      <c r="AH87" s="352"/>
      <c r="AI87" s="352"/>
      <c r="AJ87" s="352"/>
      <c r="AK87" s="352"/>
      <c r="AM87" s="352"/>
      <c r="AN87" s="352"/>
      <c r="AO87" s="352"/>
      <c r="AP87" s="352"/>
      <c r="AR87" s="352"/>
      <c r="AS87" s="352"/>
      <c r="AT87" s="352"/>
      <c r="AU87" s="352"/>
      <c r="AW87" s="352"/>
      <c r="AX87" s="352"/>
      <c r="AY87" s="352"/>
      <c r="AZ87" s="352"/>
      <c r="BB87" s="353"/>
      <c r="BC87" s="353"/>
      <c r="BD87" s="353"/>
      <c r="BE87" s="353"/>
      <c r="BG87" s="353"/>
      <c r="BH87" s="353"/>
      <c r="BI87" s="353"/>
      <c r="BJ87" s="353"/>
      <c r="BL87" s="353"/>
      <c r="BM87" s="353"/>
      <c r="BN87" s="353"/>
      <c r="BO87" s="353"/>
      <c r="BQ87" s="353"/>
      <c r="BR87" s="356"/>
      <c r="BS87" s="356"/>
      <c r="BT87" s="356"/>
      <c r="BV87" s="356"/>
      <c r="BW87" s="353"/>
      <c r="BX87" s="353"/>
      <c r="BY87" s="353"/>
      <c r="CA87" s="353"/>
      <c r="CB87" s="353"/>
      <c r="CC87" s="353"/>
      <c r="CD87" s="353"/>
      <c r="CF87" s="353"/>
      <c r="CG87" s="353"/>
      <c r="CH87" s="353"/>
      <c r="CI87" s="353"/>
      <c r="CK87" s="353"/>
      <c r="CL87" s="353"/>
      <c r="CM87" s="353"/>
      <c r="CN87" s="353"/>
      <c r="CP87" s="353"/>
      <c r="CQ87" s="353"/>
      <c r="CR87" s="353"/>
      <c r="CS87" s="353"/>
      <c r="CU87" s="353"/>
      <c r="CV87" s="353"/>
      <c r="CW87" s="353"/>
      <c r="CX87" s="353"/>
      <c r="CZ87" s="353"/>
      <c r="DA87" s="353"/>
      <c r="DB87" s="353"/>
      <c r="DC87" s="353"/>
      <c r="DE87" s="353"/>
      <c r="DF87" s="353"/>
      <c r="DG87" s="353"/>
      <c r="DH87" s="353"/>
      <c r="DJ87" s="353"/>
      <c r="DK87" s="353"/>
      <c r="DL87" s="353"/>
      <c r="DM87" s="353"/>
      <c r="DO87" s="353"/>
      <c r="DP87" s="353"/>
      <c r="DQ87" s="353"/>
      <c r="DR87" s="353"/>
      <c r="DT87" s="353"/>
      <c r="DU87" s="353"/>
      <c r="DV87" s="353"/>
      <c r="DW87" s="353"/>
      <c r="DY87" s="353"/>
      <c r="DZ87" s="353"/>
      <c r="EA87" s="353"/>
      <c r="EB87" s="353"/>
      <c r="ED87" s="353"/>
      <c r="EE87" s="353"/>
      <c r="EF87" s="353"/>
      <c r="EG87" s="353"/>
      <c r="EI87" s="353"/>
      <c r="EJ87" s="353"/>
      <c r="EK87" s="353"/>
      <c r="EL87" s="353"/>
      <c r="EN87" s="353"/>
      <c r="EO87" s="353"/>
      <c r="EP87" s="353"/>
      <c r="EQ87" s="353"/>
    </row>
    <row r="88" spans="2:148" collapsed="1">
      <c r="B88" s="231"/>
      <c r="D88" s="297"/>
      <c r="E88" s="297"/>
      <c r="F88" s="297"/>
      <c r="G88" s="297"/>
      <c r="I88" s="297"/>
      <c r="J88" s="297"/>
      <c r="K88" s="297"/>
      <c r="L88" s="297"/>
      <c r="N88" s="297"/>
      <c r="O88" s="297"/>
      <c r="P88" s="297"/>
      <c r="Q88" s="297"/>
      <c r="S88" s="297"/>
      <c r="T88" s="297"/>
      <c r="U88" s="297"/>
      <c r="V88" s="297"/>
      <c r="X88" s="297"/>
      <c r="Y88" s="297"/>
      <c r="Z88" s="297"/>
      <c r="AA88" s="297"/>
      <c r="AC88" s="297"/>
      <c r="AD88" s="297"/>
      <c r="AE88" s="297"/>
      <c r="AF88" s="297"/>
      <c r="AH88" s="297"/>
      <c r="AI88" s="297"/>
      <c r="AJ88" s="297"/>
      <c r="AK88" s="297"/>
      <c r="AM88" s="297"/>
      <c r="AN88" s="297"/>
      <c r="AO88" s="297"/>
      <c r="AP88" s="297"/>
      <c r="AR88" s="297"/>
      <c r="AS88" s="297"/>
      <c r="AT88" s="297"/>
      <c r="AU88" s="297"/>
      <c r="AW88" s="297"/>
      <c r="AX88" s="297"/>
      <c r="AY88" s="297"/>
      <c r="AZ88" s="297"/>
      <c r="BB88" s="298"/>
      <c r="BC88" s="298"/>
      <c r="BD88" s="298"/>
      <c r="BE88" s="298"/>
      <c r="BG88" s="298"/>
      <c r="BH88" s="298"/>
      <c r="BI88" s="298"/>
      <c r="BJ88" s="298"/>
      <c r="BL88" s="298"/>
      <c r="BM88" s="298"/>
      <c r="BN88" s="298"/>
      <c r="BO88" s="298"/>
      <c r="BQ88" s="298"/>
      <c r="BR88" s="298"/>
      <c r="BS88" s="298"/>
      <c r="BT88" s="298"/>
      <c r="BV88" s="298"/>
      <c r="BW88" s="298"/>
      <c r="BX88" s="298"/>
      <c r="BY88" s="298"/>
      <c r="CA88" s="298"/>
      <c r="CB88" s="298"/>
      <c r="CC88" s="298"/>
      <c r="CD88" s="298"/>
      <c r="CF88" s="298"/>
      <c r="CG88" s="298"/>
      <c r="CH88" s="298"/>
      <c r="CI88" s="298"/>
      <c r="CK88" s="298"/>
      <c r="CL88" s="298"/>
      <c r="CM88" s="298"/>
      <c r="CN88" s="298"/>
      <c r="CP88" s="298"/>
      <c r="CQ88" s="298"/>
      <c r="CR88" s="298"/>
      <c r="CS88" s="298"/>
      <c r="CU88" s="298"/>
      <c r="CV88" s="298"/>
      <c r="CW88" s="298"/>
      <c r="CX88" s="298"/>
      <c r="CZ88" s="298"/>
      <c r="DA88" s="298"/>
      <c r="DB88" s="298"/>
      <c r="DC88" s="298"/>
      <c r="DE88" s="298"/>
      <c r="DF88" s="298"/>
      <c r="DG88" s="298"/>
      <c r="DH88" s="298"/>
      <c r="DJ88" s="298"/>
      <c r="DK88" s="298"/>
      <c r="DL88" s="298"/>
      <c r="DM88" s="298"/>
      <c r="DO88" s="298"/>
      <c r="DP88" s="298"/>
      <c r="DQ88" s="298"/>
      <c r="DR88" s="298"/>
      <c r="DT88" s="298"/>
      <c r="DU88" s="298"/>
      <c r="DV88" s="298"/>
      <c r="DW88" s="298"/>
      <c r="DY88" s="298"/>
      <c r="DZ88" s="298"/>
      <c r="EA88" s="298"/>
      <c r="EB88" s="298"/>
      <c r="ED88" s="298"/>
      <c r="EE88" s="298"/>
      <c r="EF88" s="298"/>
      <c r="EG88" s="298"/>
      <c r="EI88" s="298"/>
      <c r="EJ88" s="298"/>
      <c r="EK88" s="298"/>
      <c r="EL88" s="298"/>
      <c r="EN88" s="298"/>
      <c r="EO88" s="298"/>
      <c r="EP88" s="298"/>
      <c r="EQ88" s="298"/>
    </row>
    <row r="89" spans="2:148">
      <c r="B89" s="230" t="s">
        <v>83</v>
      </c>
      <c r="C89" s="230">
        <f t="shared" ref="C89:AH89" si="47">C3+C8+C13+C58+C23+C18+C84+C28+C48</f>
        <v>15.586</v>
      </c>
      <c r="D89" s="352">
        <f t="shared" si="47"/>
        <v>27.164999999999999</v>
      </c>
      <c r="E89" s="352">
        <f t="shared" si="47"/>
        <v>44.734000000000002</v>
      </c>
      <c r="F89" s="352">
        <f t="shared" si="47"/>
        <v>68.933000000000007</v>
      </c>
      <c r="G89" s="352">
        <f t="shared" si="47"/>
        <v>84.983000000000004</v>
      </c>
      <c r="H89" s="230">
        <f t="shared" si="47"/>
        <v>225.815</v>
      </c>
      <c r="I89" s="352">
        <f t="shared" si="47"/>
        <v>113.072</v>
      </c>
      <c r="J89" s="352">
        <f t="shared" si="47"/>
        <v>179.435</v>
      </c>
      <c r="K89" s="352">
        <f t="shared" si="47"/>
        <v>137.77500000000001</v>
      </c>
      <c r="L89" s="352">
        <f t="shared" si="47"/>
        <v>196.61699999999999</v>
      </c>
      <c r="M89" s="230">
        <f t="shared" si="47"/>
        <v>626.89900000000011</v>
      </c>
      <c r="N89" s="352">
        <f t="shared" si="47"/>
        <v>223.97800000000001</v>
      </c>
      <c r="O89" s="352">
        <f t="shared" si="47"/>
        <v>241.58</v>
      </c>
      <c r="P89" s="352">
        <f t="shared" si="47"/>
        <v>257.78399999999999</v>
      </c>
      <c r="Q89" s="352">
        <f t="shared" si="47"/>
        <v>297.55700000000002</v>
      </c>
      <c r="R89" s="230">
        <f t="shared" si="47"/>
        <v>1020.899</v>
      </c>
      <c r="S89" s="352">
        <f t="shared" si="47"/>
        <v>344.12099999999998</v>
      </c>
      <c r="T89" s="352">
        <f t="shared" si="47"/>
        <v>390.15899999999999</v>
      </c>
      <c r="U89" s="352">
        <f t="shared" si="47"/>
        <v>410.428</v>
      </c>
      <c r="V89" s="352">
        <f t="shared" si="47"/>
        <v>435.92200000000003</v>
      </c>
      <c r="W89" s="230">
        <f t="shared" si="47"/>
        <v>1580.63</v>
      </c>
      <c r="X89" s="352">
        <f t="shared" si="47"/>
        <v>503.33800000000002</v>
      </c>
      <c r="Y89" s="352">
        <f t="shared" si="47"/>
        <v>532.20499999999993</v>
      </c>
      <c r="Z89" s="352">
        <f t="shared" si="47"/>
        <v>612.41499999999996</v>
      </c>
      <c r="AA89" s="352">
        <f t="shared" si="47"/>
        <v>708.17699999999991</v>
      </c>
      <c r="AB89" s="230">
        <f t="shared" si="47"/>
        <v>2356.1350000000002</v>
      </c>
      <c r="AC89" s="352">
        <f t="shared" si="47"/>
        <v>776.09300000000007</v>
      </c>
      <c r="AD89" s="352">
        <f t="shared" si="47"/>
        <v>837.41800000000012</v>
      </c>
      <c r="AE89" s="352">
        <f t="shared" si="47"/>
        <v>885.02699999999993</v>
      </c>
      <c r="AF89" s="352">
        <f t="shared" si="47"/>
        <v>940.80700000000013</v>
      </c>
      <c r="AG89" s="230">
        <f t="shared" si="47"/>
        <v>3439.3450000000003</v>
      </c>
      <c r="AH89" s="352">
        <f t="shared" si="47"/>
        <v>1047.68</v>
      </c>
      <c r="AI89" s="352">
        <f t="shared" ref="AI89:BN89" si="48">AI3+AI8+AI13+AI58+AI23+AI18+AI84+AI28+AI48</f>
        <v>1120.384</v>
      </c>
      <c r="AJ89" s="352">
        <f t="shared" si="48"/>
        <v>1231.5329999999999</v>
      </c>
      <c r="AK89" s="352">
        <f t="shared" si="48"/>
        <v>1272.8349999999998</v>
      </c>
      <c r="AL89" s="230">
        <f t="shared" si="48"/>
        <v>4672.4319999999998</v>
      </c>
      <c r="AM89" s="352">
        <f t="shared" si="48"/>
        <v>1340.7890000000002</v>
      </c>
      <c r="AN89" s="352">
        <f t="shared" si="48"/>
        <v>1410.316</v>
      </c>
      <c r="AO89" s="352">
        <f t="shared" si="48"/>
        <v>1470.2310000000002</v>
      </c>
      <c r="AP89" s="352">
        <f t="shared" si="48"/>
        <v>1617.5960000000002</v>
      </c>
      <c r="AQ89" s="230">
        <f t="shared" si="48"/>
        <v>5838.9320000000007</v>
      </c>
      <c r="AR89" s="352">
        <f t="shared" si="48"/>
        <v>1596.6369999999999</v>
      </c>
      <c r="AS89" s="352">
        <f t="shared" si="48"/>
        <v>1591.7370000000001</v>
      </c>
      <c r="AT89" s="352">
        <f t="shared" si="48"/>
        <v>1649.9109999999998</v>
      </c>
      <c r="AU89" s="352">
        <f t="shared" si="48"/>
        <v>1698.7129999999997</v>
      </c>
      <c r="AV89" s="230">
        <f t="shared" si="48"/>
        <v>6536.9980000000005</v>
      </c>
      <c r="AW89" s="352">
        <f t="shared" si="48"/>
        <v>1630.69</v>
      </c>
      <c r="AX89" s="352">
        <f t="shared" si="48"/>
        <v>1764.3980000000001</v>
      </c>
      <c r="AY89" s="352">
        <f t="shared" si="48"/>
        <v>1794.655</v>
      </c>
      <c r="AZ89" s="352">
        <f t="shared" si="48"/>
        <v>1859.973</v>
      </c>
      <c r="BA89" s="230">
        <f t="shared" si="48"/>
        <v>7049.7160000000003</v>
      </c>
      <c r="BB89" s="353">
        <f t="shared" si="48"/>
        <v>1925.806</v>
      </c>
      <c r="BC89" s="353">
        <f t="shared" si="48"/>
        <v>2012.2829999999999</v>
      </c>
      <c r="BD89" s="353">
        <f t="shared" si="48"/>
        <v>2053.3440000000001</v>
      </c>
      <c r="BE89" s="353">
        <f t="shared" si="48"/>
        <v>2207.893</v>
      </c>
      <c r="BF89" s="230">
        <f t="shared" si="48"/>
        <v>8141.7899999999991</v>
      </c>
      <c r="BG89" s="353">
        <f t="shared" si="48"/>
        <v>2061.078</v>
      </c>
      <c r="BH89" s="353">
        <f t="shared" si="48"/>
        <v>2312.2469999999998</v>
      </c>
      <c r="BI89" s="353">
        <f t="shared" si="48"/>
        <v>2326.7269999999999</v>
      </c>
      <c r="BJ89" s="353">
        <f t="shared" si="48"/>
        <v>2639.8269999999998</v>
      </c>
      <c r="BK89" s="230">
        <f t="shared" si="48"/>
        <v>9339.878999999999</v>
      </c>
      <c r="BL89" s="353">
        <f t="shared" si="48"/>
        <v>4508.4970000000003</v>
      </c>
      <c r="BM89" s="353">
        <f t="shared" si="48"/>
        <v>6012.1440000000002</v>
      </c>
      <c r="BN89" s="353">
        <f t="shared" si="48"/>
        <v>5544.5129999999999</v>
      </c>
      <c r="BO89" s="353">
        <f t="shared" ref="BO89:BV89" si="49">BO3+BO8+BO13+BO58+BO23+BO18+BO84+BO28+BO48</f>
        <v>6725.8721077385035</v>
      </c>
      <c r="BP89" s="230">
        <f t="shared" si="49"/>
        <v>22791.426107738502</v>
      </c>
      <c r="BQ89" s="353">
        <f t="shared" si="49"/>
        <v>6988</v>
      </c>
      <c r="BR89" s="353">
        <f t="shared" si="49"/>
        <v>7631</v>
      </c>
      <c r="BS89" s="353">
        <f t="shared" si="49"/>
        <v>7702</v>
      </c>
      <c r="BT89" s="353">
        <f t="shared" si="49"/>
        <v>7886</v>
      </c>
      <c r="BU89" s="230">
        <f t="shared" si="49"/>
        <v>30207</v>
      </c>
      <c r="BV89" s="353">
        <f t="shared" si="49"/>
        <v>7183</v>
      </c>
      <c r="BW89" s="353">
        <f>BW3+BW8+BW13+BW58+BW23+BW18+BW84+BW28+BW48+BW33+BW38+BW43+BW53</f>
        <v>7126</v>
      </c>
      <c r="BX89" s="353">
        <f>BX3+BX8+BX13+BX58+BX23+BX18+BX84+BX28+BX48+BX33+BX38+BX43+BX53</f>
        <v>6841</v>
      </c>
      <c r="BY89" s="353">
        <f>BY3+BY8+BY13+BY58+BY23+BY18+BY84+BY28+BY48+BY33+BY38+BY43+BY53</f>
        <v>6595</v>
      </c>
      <c r="BZ89" s="230">
        <f>BZ3+BZ8+BZ13+BZ58+BZ23+BZ18+BZ84+BZ28+BZ48+BZ33+BZ38+BZ43+BZ53</f>
        <v>27745</v>
      </c>
      <c r="CA89" s="353">
        <f t="shared" ref="CA89:EL89" si="50">CA3+CA8+CA13+CA58+CA23+CA18+CA84+CA28+CA48+CA33+CA38+CA43+CA53</f>
        <v>5841</v>
      </c>
      <c r="CB89" s="353">
        <f t="shared" si="50"/>
        <v>6439</v>
      </c>
      <c r="CC89" s="353">
        <f>CC3+CC8+CC13+CC58+CC23+CC18+CC84+CC28+CC48+CC33+CC38+CC43+CC53+CC63</f>
        <v>5843</v>
      </c>
      <c r="CD89" s="712">
        <f>CD3+CD8+CD13+CD58+CD23+CD18+CD84+CD28+CD48+CD33+CD38+CD43+CD53+CD63</f>
        <v>5213</v>
      </c>
      <c r="CE89" s="230">
        <f>CE3+CE8+CE13+CE58+CE23+CE18+CE84+CE28+CE48+CE33+CE38+CE43+CE53+CE63</f>
        <v>23336</v>
      </c>
      <c r="CF89" s="353">
        <f>CF3+CF8+CF13+CF58+CF23+CF18+CF84+CF28+CF48+CF33+CF38+CF43+CF53+CF63</f>
        <v>4402.5033102460175</v>
      </c>
      <c r="CG89" s="712">
        <f t="shared" ref="CG89:CI89" si="51">CG3+CG8+CG13+CG58+CG23+CG18+CG84+CG28+CG48+CG33+CG38+CG43+CG53+CG63</f>
        <v>4537.2531770534442</v>
      </c>
      <c r="CH89" s="712">
        <f t="shared" si="51"/>
        <v>4664.081062189699</v>
      </c>
      <c r="CI89" s="712">
        <f t="shared" si="51"/>
        <v>4803.5748674148253</v>
      </c>
      <c r="CJ89" s="698">
        <f>CJ3+CJ8+CJ13+CJ58+CJ23+CJ18+CJ84+CJ28+CJ48+CJ33+CJ38+CJ43+CJ53+CJ63</f>
        <v>18407.412416903986</v>
      </c>
      <c r="CK89" s="353" t="e">
        <f t="shared" si="50"/>
        <v>#DIV/0!</v>
      </c>
      <c r="CL89" s="353" t="e">
        <f t="shared" si="50"/>
        <v>#DIV/0!</v>
      </c>
      <c r="CM89" s="353" t="e">
        <f t="shared" si="50"/>
        <v>#DIV/0!</v>
      </c>
      <c r="CN89" s="353" t="e">
        <f t="shared" si="50"/>
        <v>#DIV/0!</v>
      </c>
      <c r="CO89" s="698">
        <f>CO3+CO8+CO13+CO58+CO23+CO18+CO84+CO28+CO48+CO33+CO38+CO43+CO53+CO63</f>
        <v>19074.848448725585</v>
      </c>
      <c r="CP89" s="353" t="e">
        <f t="shared" si="50"/>
        <v>#DIV/0!</v>
      </c>
      <c r="CQ89" s="353" t="e">
        <f t="shared" si="50"/>
        <v>#DIV/0!</v>
      </c>
      <c r="CR89" s="353" t="e">
        <f t="shared" si="50"/>
        <v>#DIV/0!</v>
      </c>
      <c r="CS89" s="353" t="e">
        <f t="shared" si="50"/>
        <v>#DIV/0!</v>
      </c>
      <c r="CT89" s="698">
        <f>CT3+CT8+CT13+CT58+CT23+CT18+CT84+CT28+CT48+CT33+CT38+CT43+CT53+CT63</f>
        <v>20120.346039278691</v>
      </c>
      <c r="CU89" s="353" t="e">
        <f t="shared" si="50"/>
        <v>#DIV/0!</v>
      </c>
      <c r="CV89" s="353" t="e">
        <f t="shared" si="50"/>
        <v>#DIV/0!</v>
      </c>
      <c r="CW89" s="353" t="e">
        <f t="shared" si="50"/>
        <v>#DIV/0!</v>
      </c>
      <c r="CX89" s="353" t="e">
        <f t="shared" si="50"/>
        <v>#DIV/0!</v>
      </c>
      <c r="CY89" s="698">
        <f>CY3+CY8+CY13+CY58+CY23+CY18+CY84+CY28+CY48+CY33+CY38+CY43+CY53+CY63</f>
        <v>17946.126355431243</v>
      </c>
      <c r="CZ89" s="353" t="e">
        <f t="shared" si="50"/>
        <v>#DIV/0!</v>
      </c>
      <c r="DA89" s="353" t="e">
        <f t="shared" si="50"/>
        <v>#DIV/0!</v>
      </c>
      <c r="DB89" s="353" t="e">
        <f t="shared" si="50"/>
        <v>#DIV/0!</v>
      </c>
      <c r="DC89" s="353" t="e">
        <f t="shared" si="50"/>
        <v>#DIV/0!</v>
      </c>
      <c r="DD89" s="698">
        <f>DD3+DD8+DD13+DD58+DD23+DD18+DD84+DD28+DD48+DD33+DD38+DD43+DD53+DD63</f>
        <v>17594.330408367572</v>
      </c>
      <c r="DE89" s="353" t="e">
        <f t="shared" si="50"/>
        <v>#DIV/0!</v>
      </c>
      <c r="DF89" s="353" t="e">
        <f t="shared" si="50"/>
        <v>#DIV/0!</v>
      </c>
      <c r="DG89" s="353" t="e">
        <f t="shared" si="50"/>
        <v>#DIV/0!</v>
      </c>
      <c r="DH89" s="353" t="e">
        <f t="shared" si="50"/>
        <v>#DIV/0!</v>
      </c>
      <c r="DI89" s="698">
        <f>DI3+DI8+DI13+DI58+DI23+DI18+DI84+DI28+DI48+DI33+DI38+DI43+DI53+DI63</f>
        <v>17413.240845797427</v>
      </c>
      <c r="DJ89" s="353" t="e">
        <f t="shared" si="50"/>
        <v>#DIV/0!</v>
      </c>
      <c r="DK89" s="353" t="e">
        <f t="shared" si="50"/>
        <v>#DIV/0!</v>
      </c>
      <c r="DL89" s="353" t="e">
        <f t="shared" si="50"/>
        <v>#DIV/0!</v>
      </c>
      <c r="DM89" s="353" t="e">
        <f t="shared" si="50"/>
        <v>#DIV/0!</v>
      </c>
      <c r="DN89" s="698">
        <f>DN3+DN8+DN13+DN58+DN23+DN18+DN84+DN28+DN48+DN33+DN38+DN43+DN53+DN63</f>
        <v>17559.857489034355</v>
      </c>
      <c r="DO89" s="353" t="e">
        <f t="shared" si="50"/>
        <v>#DIV/0!</v>
      </c>
      <c r="DP89" s="353" t="e">
        <f t="shared" si="50"/>
        <v>#DIV/0!</v>
      </c>
      <c r="DQ89" s="353" t="e">
        <f t="shared" si="50"/>
        <v>#DIV/0!</v>
      </c>
      <c r="DR89" s="353" t="e">
        <f t="shared" si="50"/>
        <v>#DIV/0!</v>
      </c>
      <c r="DS89" s="698">
        <f>DS3+DS8+DS13+DS58+DS23+DS18+DS84+DS28+DS48+DS33+DS38+DS43+DS53+DS63</f>
        <v>11817.939701373973</v>
      </c>
      <c r="DT89" s="353" t="e">
        <f t="shared" si="50"/>
        <v>#DIV/0!</v>
      </c>
      <c r="DU89" s="353" t="e">
        <f t="shared" si="50"/>
        <v>#DIV/0!</v>
      </c>
      <c r="DV89" s="353" t="e">
        <f t="shared" si="50"/>
        <v>#DIV/0!</v>
      </c>
      <c r="DW89" s="353" t="e">
        <f t="shared" si="50"/>
        <v>#DIV/0!</v>
      </c>
      <c r="DX89" s="698">
        <f>DX3+DX8+DX13+DX58+DX23+DX18+DX84+DX28+DX48+DX33+DX38+DX43+DX53+DX63</f>
        <v>10122.386374639573</v>
      </c>
      <c r="DY89" s="353" t="e">
        <f t="shared" si="50"/>
        <v>#DIV/0!</v>
      </c>
      <c r="DZ89" s="353" t="e">
        <f t="shared" si="50"/>
        <v>#DIV/0!</v>
      </c>
      <c r="EA89" s="353" t="e">
        <f t="shared" si="50"/>
        <v>#DIV/0!</v>
      </c>
      <c r="EB89" s="353" t="e">
        <f t="shared" si="50"/>
        <v>#DIV/0!</v>
      </c>
      <c r="EC89" s="698">
        <f>EC3+EC8+EC13+EC58+EC23+EC18+EC84+EC28+EC48+EC33+EC38+EC43+EC53+EC63</f>
        <v>9744.4552213229599</v>
      </c>
      <c r="ED89" s="353" t="e">
        <f t="shared" si="50"/>
        <v>#DIV/0!</v>
      </c>
      <c r="EE89" s="353" t="e">
        <f t="shared" si="50"/>
        <v>#DIV/0!</v>
      </c>
      <c r="EF89" s="353" t="e">
        <f t="shared" si="50"/>
        <v>#DIV/0!</v>
      </c>
      <c r="EG89" s="353" t="e">
        <f t="shared" si="50"/>
        <v>#DIV/0!</v>
      </c>
      <c r="EH89" s="698">
        <f>EH3+EH8+EH13+EH58+EH23+EH18+EH84+EH28+EH48+EH33+EH38+EH43+EH53+EH63</f>
        <v>9443.4164187408496</v>
      </c>
      <c r="EI89" s="353" t="e">
        <f t="shared" si="50"/>
        <v>#DIV/0!</v>
      </c>
      <c r="EJ89" s="353" t="e">
        <f t="shared" si="50"/>
        <v>#DIV/0!</v>
      </c>
      <c r="EK89" s="353" t="e">
        <f t="shared" si="50"/>
        <v>#DIV/0!</v>
      </c>
      <c r="EL89" s="353" t="e">
        <f t="shared" si="50"/>
        <v>#DIV/0!</v>
      </c>
      <c r="EM89" s="698">
        <f>EM3+EM8+EM13+EM58+EM23+EM18+EM84+EM28+EM48+EM33+EM38+EM43+EM53+EM63</f>
        <v>6560.0645757192597</v>
      </c>
      <c r="EN89" s="353" t="e">
        <f t="shared" ref="EN89:EQ89" si="52">EN3+EN8+EN13+EN58+EN23+EN18+EN84+EN28+EN48+EN33+EN38+EN43+EN53</f>
        <v>#DIV/0!</v>
      </c>
      <c r="EO89" s="353" t="e">
        <f t="shared" si="52"/>
        <v>#DIV/0!</v>
      </c>
      <c r="EP89" s="353" t="e">
        <f t="shared" si="52"/>
        <v>#DIV/0!</v>
      </c>
      <c r="EQ89" s="353" t="e">
        <f t="shared" si="52"/>
        <v>#DIV/0!</v>
      </c>
      <c r="ER89" s="698">
        <f>ER3+ER8+ER13+ER58+ER23+ER18+ER84+ER28+ER48+ER33+ER38+ER43+ER53+ER63</f>
        <v>5701.8841934471384</v>
      </c>
    </row>
    <row r="90" spans="2:148" s="696" customFormat="1">
      <c r="B90" s="234" t="s">
        <v>666</v>
      </c>
      <c r="C90" s="698"/>
      <c r="D90" s="352"/>
      <c r="E90" s="352"/>
      <c r="F90" s="352"/>
      <c r="G90" s="352"/>
      <c r="H90" s="698"/>
      <c r="I90" s="352"/>
      <c r="J90" s="352"/>
      <c r="K90" s="352"/>
      <c r="L90" s="352"/>
      <c r="M90" s="698"/>
      <c r="N90" s="352"/>
      <c r="O90" s="352"/>
      <c r="P90" s="352"/>
      <c r="Q90" s="352"/>
      <c r="R90" s="698"/>
      <c r="S90" s="352"/>
      <c r="T90" s="352"/>
      <c r="U90" s="352"/>
      <c r="V90" s="352"/>
      <c r="W90" s="698"/>
      <c r="X90" s="352"/>
      <c r="Y90" s="352"/>
      <c r="Z90" s="352"/>
      <c r="AA90" s="352"/>
      <c r="AB90" s="698"/>
      <c r="AC90" s="352"/>
      <c r="AD90" s="352"/>
      <c r="AE90" s="352"/>
      <c r="AF90" s="352"/>
      <c r="AG90" s="698"/>
      <c r="AH90" s="352"/>
      <c r="AI90" s="352"/>
      <c r="AJ90" s="352"/>
      <c r="AK90" s="352"/>
      <c r="AL90" s="698"/>
      <c r="AM90" s="352"/>
      <c r="AN90" s="352"/>
      <c r="AO90" s="352"/>
      <c r="AP90" s="352"/>
      <c r="AQ90" s="698"/>
      <c r="AR90" s="352"/>
      <c r="AS90" s="352"/>
      <c r="AT90" s="352"/>
      <c r="AU90" s="352"/>
      <c r="AV90" s="698"/>
      <c r="AW90" s="352"/>
      <c r="AX90" s="352"/>
      <c r="AY90" s="352"/>
      <c r="AZ90" s="352"/>
      <c r="BA90" s="698"/>
      <c r="BB90" s="712"/>
      <c r="BC90" s="712"/>
      <c r="BD90" s="712"/>
      <c r="BE90" s="712"/>
      <c r="BF90" s="698"/>
      <c r="BG90" s="712"/>
      <c r="BH90" s="712"/>
      <c r="BI90" s="712"/>
      <c r="BJ90" s="712"/>
      <c r="BK90" s="698">
        <f>BK89-BK91</f>
        <v>9200.4439999999995</v>
      </c>
      <c r="BL90" s="712">
        <f t="shared" ref="BL90:BT90" si="53">BL89-BL91</f>
        <v>2234.1480000000001</v>
      </c>
      <c r="BM90" s="712">
        <f t="shared" si="53"/>
        <v>2531.3790000000004</v>
      </c>
      <c r="BN90" s="712">
        <f t="shared" si="53"/>
        <v>2728.4540000000002</v>
      </c>
      <c r="BO90" s="712">
        <f t="shared" si="53"/>
        <v>2886.8721077385035</v>
      </c>
      <c r="BP90" s="698">
        <f t="shared" si="53"/>
        <v>10381.253107738501</v>
      </c>
      <c r="BQ90" s="712">
        <f t="shared" si="53"/>
        <v>2437</v>
      </c>
      <c r="BR90" s="712">
        <f t="shared" si="53"/>
        <v>2732</v>
      </c>
      <c r="BS90" s="712">
        <f t="shared" si="53"/>
        <v>2904</v>
      </c>
      <c r="BT90" s="712">
        <f t="shared" si="53"/>
        <v>2994</v>
      </c>
      <c r="BU90" s="698">
        <f>BU89-BU91</f>
        <v>11067</v>
      </c>
      <c r="BV90" s="712">
        <f t="shared" ref="BV90:EG90" si="54">BV89-BV91</f>
        <v>2889</v>
      </c>
      <c r="BW90" s="712">
        <f t="shared" si="54"/>
        <v>3140</v>
      </c>
      <c r="BX90" s="712">
        <f t="shared" si="54"/>
        <v>3516</v>
      </c>
      <c r="BY90" s="712">
        <f t="shared" si="54"/>
        <v>3366</v>
      </c>
      <c r="BZ90" s="698">
        <f t="shared" si="54"/>
        <v>12911</v>
      </c>
      <c r="CA90" s="712">
        <f t="shared" si="54"/>
        <v>3265</v>
      </c>
      <c r="CB90" s="712">
        <f t="shared" si="54"/>
        <v>3571</v>
      </c>
      <c r="CC90" s="712">
        <f t="shared" si="54"/>
        <v>3646</v>
      </c>
      <c r="CD90" s="712">
        <f t="shared" si="54"/>
        <v>3717</v>
      </c>
      <c r="CE90" s="698">
        <f t="shared" si="54"/>
        <v>14199</v>
      </c>
      <c r="CF90" s="712">
        <f t="shared" si="54"/>
        <v>3368.0305034414541</v>
      </c>
      <c r="CG90" s="712">
        <f t="shared" si="54"/>
        <v>3620.2297761416112</v>
      </c>
      <c r="CH90" s="712">
        <f t="shared" si="54"/>
        <v>3818.6868484199417</v>
      </c>
      <c r="CI90" s="712">
        <f t="shared" si="54"/>
        <v>4040.5702190017973</v>
      </c>
      <c r="CJ90" s="698">
        <f t="shared" si="54"/>
        <v>14847.517347004805</v>
      </c>
      <c r="CK90" s="712" t="e">
        <f t="shared" si="54"/>
        <v>#DIV/0!</v>
      </c>
      <c r="CL90" s="712" t="e">
        <f t="shared" si="54"/>
        <v>#DIV/0!</v>
      </c>
      <c r="CM90" s="712" t="e">
        <f t="shared" si="54"/>
        <v>#DIV/0!</v>
      </c>
      <c r="CN90" s="712" t="e">
        <f t="shared" si="54"/>
        <v>#DIV/0!</v>
      </c>
      <c r="CO90" s="698">
        <f t="shared" si="54"/>
        <v>15868.20844300629</v>
      </c>
      <c r="CP90" s="712" t="e">
        <f t="shared" si="54"/>
        <v>#DIV/0!</v>
      </c>
      <c r="CQ90" s="712" t="e">
        <f t="shared" si="54"/>
        <v>#DIV/0!</v>
      </c>
      <c r="CR90" s="712" t="e">
        <f t="shared" si="54"/>
        <v>#DIV/0!</v>
      </c>
      <c r="CS90" s="712" t="e">
        <f t="shared" si="54"/>
        <v>#DIV/0!</v>
      </c>
      <c r="CT90" s="698">
        <f t="shared" si="54"/>
        <v>17278.193925182019</v>
      </c>
      <c r="CU90" s="712" t="e">
        <f t="shared" si="54"/>
        <v>#DIV/0!</v>
      </c>
      <c r="CV90" s="712" t="e">
        <f t="shared" si="54"/>
        <v>#DIV/0!</v>
      </c>
      <c r="CW90" s="712" t="e">
        <f t="shared" si="54"/>
        <v>#DIV/0!</v>
      </c>
      <c r="CX90" s="712" t="e">
        <f t="shared" si="54"/>
        <v>#DIV/0!</v>
      </c>
      <c r="CY90" s="698">
        <f t="shared" si="54"/>
        <v>15303.810146499036</v>
      </c>
      <c r="CZ90" s="712" t="e">
        <f t="shared" si="54"/>
        <v>#DIV/0!</v>
      </c>
      <c r="DA90" s="712" t="e">
        <f t="shared" si="54"/>
        <v>#DIV/0!</v>
      </c>
      <c r="DB90" s="712" t="e">
        <f t="shared" si="54"/>
        <v>#DIV/0!</v>
      </c>
      <c r="DC90" s="712" t="e">
        <f t="shared" si="54"/>
        <v>#DIV/0!</v>
      </c>
      <c r="DD90" s="698">
        <f t="shared" si="54"/>
        <v>15211.723810563499</v>
      </c>
      <c r="DE90" s="712" t="e">
        <f t="shared" si="54"/>
        <v>#DIV/0!</v>
      </c>
      <c r="DF90" s="712" t="e">
        <f t="shared" si="54"/>
        <v>#DIV/0!</v>
      </c>
      <c r="DG90" s="712" t="e">
        <f t="shared" si="54"/>
        <v>#DIV/0!</v>
      </c>
      <c r="DH90" s="712" t="e">
        <f t="shared" si="54"/>
        <v>#DIV/0!</v>
      </c>
      <c r="DI90" s="698">
        <f t="shared" si="54"/>
        <v>15258.304082782739</v>
      </c>
      <c r="DJ90" s="712" t="e">
        <f t="shared" si="54"/>
        <v>#DIV/0!</v>
      </c>
      <c r="DK90" s="712" t="e">
        <f t="shared" si="54"/>
        <v>#DIV/0!</v>
      </c>
      <c r="DL90" s="712" t="e">
        <f t="shared" si="54"/>
        <v>#DIV/0!</v>
      </c>
      <c r="DM90" s="712" t="e">
        <f t="shared" si="54"/>
        <v>#DIV/0!</v>
      </c>
      <c r="DN90" s="698">
        <f t="shared" si="54"/>
        <v>15556.243260230072</v>
      </c>
      <c r="DO90" s="712" t="e">
        <f t="shared" si="54"/>
        <v>#DIV/0!</v>
      </c>
      <c r="DP90" s="712" t="e">
        <f t="shared" si="54"/>
        <v>#DIV/0!</v>
      </c>
      <c r="DQ90" s="712" t="e">
        <f t="shared" si="54"/>
        <v>#DIV/0!</v>
      </c>
      <c r="DR90" s="712" t="e">
        <f t="shared" si="54"/>
        <v>#DIV/0!</v>
      </c>
      <c r="DS90" s="698">
        <f t="shared" si="54"/>
        <v>9939.5473397375717</v>
      </c>
      <c r="DT90" s="712" t="e">
        <f t="shared" si="54"/>
        <v>#DIV/0!</v>
      </c>
      <c r="DU90" s="712" t="e">
        <f t="shared" si="54"/>
        <v>#DIV/0!</v>
      </c>
      <c r="DV90" s="712" t="e">
        <f t="shared" si="54"/>
        <v>#DIV/0!</v>
      </c>
      <c r="DW90" s="712" t="e">
        <f t="shared" si="54"/>
        <v>#DIV/0!</v>
      </c>
      <c r="DX90" s="698">
        <f t="shared" si="54"/>
        <v>8368.6985224589116</v>
      </c>
      <c r="DY90" s="712" t="e">
        <f t="shared" si="54"/>
        <v>#DIV/0!</v>
      </c>
      <c r="DZ90" s="712" t="e">
        <f t="shared" si="54"/>
        <v>#DIV/0!</v>
      </c>
      <c r="EA90" s="712" t="e">
        <f t="shared" si="54"/>
        <v>#DIV/0!</v>
      </c>
      <c r="EB90" s="712" t="e">
        <f t="shared" si="54"/>
        <v>#DIV/0!</v>
      </c>
      <c r="EC90" s="698">
        <f t="shared" si="54"/>
        <v>8094.1359953080428</v>
      </c>
      <c r="ED90" s="712" t="e">
        <f t="shared" si="54"/>
        <v>#DIV/0!</v>
      </c>
      <c r="EE90" s="712" t="e">
        <f t="shared" si="54"/>
        <v>#DIV/0!</v>
      </c>
      <c r="EF90" s="712" t="e">
        <f t="shared" si="54"/>
        <v>#DIV/0!</v>
      </c>
      <c r="EG90" s="712" t="e">
        <f t="shared" si="54"/>
        <v>#DIV/0!</v>
      </c>
      <c r="EH90" s="698">
        <f t="shared" ref="EH90:ER90" si="55">EH89-EH91</f>
        <v>7896.4685228328499</v>
      </c>
      <c r="EI90" s="712" t="e">
        <f t="shared" si="55"/>
        <v>#DIV/0!</v>
      </c>
      <c r="EJ90" s="712" t="e">
        <f t="shared" si="55"/>
        <v>#DIV/0!</v>
      </c>
      <c r="EK90" s="712" t="e">
        <f t="shared" si="55"/>
        <v>#DIV/0!</v>
      </c>
      <c r="EL90" s="712" t="e">
        <f t="shared" si="55"/>
        <v>#DIV/0!</v>
      </c>
      <c r="EM90" s="698">
        <f t="shared" si="55"/>
        <v>5701.0349764138409</v>
      </c>
      <c r="EN90" s="712" t="e">
        <f t="shared" si="55"/>
        <v>#DIV/0!</v>
      </c>
      <c r="EO90" s="712" t="e">
        <f t="shared" si="55"/>
        <v>#DIV/0!</v>
      </c>
      <c r="EP90" s="712" t="e">
        <f t="shared" si="55"/>
        <v>#DIV/0!</v>
      </c>
      <c r="EQ90" s="712" t="e">
        <f t="shared" si="55"/>
        <v>#DIV/0!</v>
      </c>
      <c r="ER90" s="698">
        <f t="shared" si="55"/>
        <v>5504.1266266850216</v>
      </c>
    </row>
    <row r="91" spans="2:148" s="696" customFormat="1">
      <c r="B91" s="234" t="s">
        <v>924</v>
      </c>
      <c r="C91" s="698"/>
      <c r="D91" s="352"/>
      <c r="E91" s="352"/>
      <c r="F91" s="352"/>
      <c r="G91" s="352"/>
      <c r="H91" s="698"/>
      <c r="I91" s="352"/>
      <c r="J91" s="352"/>
      <c r="K91" s="352"/>
      <c r="L91" s="352"/>
      <c r="M91" s="698"/>
      <c r="N91" s="352"/>
      <c r="O91" s="352"/>
      <c r="P91" s="352"/>
      <c r="Q91" s="352"/>
      <c r="R91" s="698"/>
      <c r="S91" s="352"/>
      <c r="T91" s="352"/>
      <c r="U91" s="352"/>
      <c r="V91" s="352"/>
      <c r="W91" s="698"/>
      <c r="X91" s="352"/>
      <c r="Y91" s="352"/>
      <c r="Z91" s="352"/>
      <c r="AA91" s="352"/>
      <c r="AB91" s="698"/>
      <c r="AC91" s="352"/>
      <c r="AD91" s="352"/>
      <c r="AE91" s="352"/>
      <c r="AF91" s="352"/>
      <c r="AG91" s="698"/>
      <c r="AH91" s="352"/>
      <c r="AI91" s="352"/>
      <c r="AJ91" s="352"/>
      <c r="AK91" s="352"/>
      <c r="AL91" s="698"/>
      <c r="AM91" s="352"/>
      <c r="AN91" s="352"/>
      <c r="AO91" s="352"/>
      <c r="AP91" s="352"/>
      <c r="AQ91" s="698"/>
      <c r="AR91" s="352"/>
      <c r="AS91" s="352"/>
      <c r="AT91" s="352"/>
      <c r="AU91" s="352"/>
      <c r="AV91" s="698"/>
      <c r="AW91" s="352"/>
      <c r="AX91" s="352"/>
      <c r="AY91" s="352"/>
      <c r="AZ91" s="352"/>
      <c r="BA91" s="698"/>
      <c r="BB91" s="712"/>
      <c r="BC91" s="712"/>
      <c r="BD91" s="712"/>
      <c r="BE91" s="712"/>
      <c r="BF91" s="698"/>
      <c r="BG91" s="712"/>
      <c r="BH91" s="712"/>
      <c r="BI91" s="712"/>
      <c r="BJ91" s="712"/>
      <c r="BK91" s="698">
        <f>BK58+BK53+BK48</f>
        <v>139.435</v>
      </c>
      <c r="BL91" s="712">
        <f t="shared" ref="BL91:DW91" si="56">BL58+BL53+BL48</f>
        <v>2274.3490000000002</v>
      </c>
      <c r="BM91" s="712">
        <f t="shared" si="56"/>
        <v>3480.7649999999999</v>
      </c>
      <c r="BN91" s="712">
        <f t="shared" si="56"/>
        <v>2816.0589999999997</v>
      </c>
      <c r="BO91" s="712">
        <f t="shared" si="56"/>
        <v>3839</v>
      </c>
      <c r="BP91" s="698">
        <f t="shared" si="56"/>
        <v>12410.173000000001</v>
      </c>
      <c r="BQ91" s="712">
        <f t="shared" si="56"/>
        <v>4551</v>
      </c>
      <c r="BR91" s="712">
        <f t="shared" si="56"/>
        <v>4899</v>
      </c>
      <c r="BS91" s="712">
        <f t="shared" si="56"/>
        <v>4798</v>
      </c>
      <c r="BT91" s="712">
        <f t="shared" si="56"/>
        <v>4892</v>
      </c>
      <c r="BU91" s="698">
        <f t="shared" si="56"/>
        <v>19140</v>
      </c>
      <c r="BV91" s="712">
        <f t="shared" si="56"/>
        <v>4294</v>
      </c>
      <c r="BW91" s="712">
        <f t="shared" si="56"/>
        <v>3986</v>
      </c>
      <c r="BX91" s="712">
        <f t="shared" si="56"/>
        <v>3325</v>
      </c>
      <c r="BY91" s="712">
        <f t="shared" si="56"/>
        <v>3229</v>
      </c>
      <c r="BZ91" s="698">
        <f t="shared" si="56"/>
        <v>14834</v>
      </c>
      <c r="CA91" s="712">
        <f>CA58+CA53+CA48+CA63</f>
        <v>2576</v>
      </c>
      <c r="CB91" s="712">
        <f t="shared" ref="CB91:CD91" si="57">CB58+CB53+CB48+CB63</f>
        <v>2868</v>
      </c>
      <c r="CC91" s="712">
        <f t="shared" si="57"/>
        <v>2197</v>
      </c>
      <c r="CD91" s="712">
        <f t="shared" si="57"/>
        <v>1496</v>
      </c>
      <c r="CE91" s="698">
        <f>CE58+CE53+CE48+CE63</f>
        <v>9137</v>
      </c>
      <c r="CF91" s="712">
        <f>CF58+CF53+CF48+CF63</f>
        <v>1034.4728068045631</v>
      </c>
      <c r="CG91" s="712">
        <f t="shared" ref="CG91:CI91" si="58">CG58+CG53+CG48+CG63</f>
        <v>917.02340091183305</v>
      </c>
      <c r="CH91" s="712">
        <f t="shared" si="58"/>
        <v>845.39421376975736</v>
      </c>
      <c r="CI91" s="712">
        <f t="shared" si="58"/>
        <v>763.00464841302812</v>
      </c>
      <c r="CJ91" s="698">
        <f>CJ58+CJ53+CJ48+CJ63</f>
        <v>3559.8950698991816</v>
      </c>
      <c r="CK91" s="712">
        <f t="shared" si="56"/>
        <v>0</v>
      </c>
      <c r="CL91" s="712">
        <f t="shared" si="56"/>
        <v>0</v>
      </c>
      <c r="CM91" s="712">
        <f t="shared" si="56"/>
        <v>0</v>
      </c>
      <c r="CN91" s="712">
        <f t="shared" si="56"/>
        <v>0</v>
      </c>
      <c r="CO91" s="698">
        <f>CO58+CO53+CO48+CO63</f>
        <v>3206.6400057192959</v>
      </c>
      <c r="CP91" s="712">
        <f t="shared" si="56"/>
        <v>0</v>
      </c>
      <c r="CQ91" s="712">
        <f t="shared" si="56"/>
        <v>0</v>
      </c>
      <c r="CR91" s="712">
        <f t="shared" si="56"/>
        <v>0</v>
      </c>
      <c r="CS91" s="712">
        <f t="shared" si="56"/>
        <v>0</v>
      </c>
      <c r="CT91" s="698">
        <f>CT58+CT53+CT48+CT63</f>
        <v>2842.1521140966734</v>
      </c>
      <c r="CU91" s="712">
        <f t="shared" si="56"/>
        <v>0</v>
      </c>
      <c r="CV91" s="712">
        <f t="shared" si="56"/>
        <v>0</v>
      </c>
      <c r="CW91" s="712">
        <f t="shared" si="56"/>
        <v>0</v>
      </c>
      <c r="CX91" s="712">
        <f t="shared" si="56"/>
        <v>0</v>
      </c>
      <c r="CY91" s="698">
        <f>CY58+CY53+CY48+CY63</f>
        <v>2642.3162089322059</v>
      </c>
      <c r="CZ91" s="712">
        <f t="shared" si="56"/>
        <v>0</v>
      </c>
      <c r="DA91" s="712">
        <f t="shared" si="56"/>
        <v>0</v>
      </c>
      <c r="DB91" s="712">
        <f t="shared" si="56"/>
        <v>0</v>
      </c>
      <c r="DC91" s="712">
        <f t="shared" si="56"/>
        <v>0</v>
      </c>
      <c r="DD91" s="698">
        <f>DD58+DD53+DD48+DD63</f>
        <v>2382.6065978040738</v>
      </c>
      <c r="DE91" s="712">
        <f t="shared" si="56"/>
        <v>0</v>
      </c>
      <c r="DF91" s="712">
        <f t="shared" si="56"/>
        <v>0</v>
      </c>
      <c r="DG91" s="712">
        <f t="shared" si="56"/>
        <v>0</v>
      </c>
      <c r="DH91" s="712">
        <f t="shared" si="56"/>
        <v>0</v>
      </c>
      <c r="DI91" s="698">
        <f>DI58+DI53+DI48+DI63</f>
        <v>2154.9367630146889</v>
      </c>
      <c r="DJ91" s="712">
        <f t="shared" si="56"/>
        <v>0</v>
      </c>
      <c r="DK91" s="712">
        <f t="shared" si="56"/>
        <v>0</v>
      </c>
      <c r="DL91" s="712">
        <f t="shared" si="56"/>
        <v>0</v>
      </c>
      <c r="DM91" s="712">
        <f t="shared" si="56"/>
        <v>0</v>
      </c>
      <c r="DN91" s="698">
        <f>DN58+DN53+DN48+DN63</f>
        <v>2003.6142288042838</v>
      </c>
      <c r="DO91" s="712">
        <f t="shared" si="56"/>
        <v>0</v>
      </c>
      <c r="DP91" s="712">
        <f t="shared" si="56"/>
        <v>0</v>
      </c>
      <c r="DQ91" s="712">
        <f t="shared" si="56"/>
        <v>0</v>
      </c>
      <c r="DR91" s="712">
        <f t="shared" si="56"/>
        <v>0</v>
      </c>
      <c r="DS91" s="698">
        <f>DS58+DS53+DS48+DS63</f>
        <v>1878.3923616364018</v>
      </c>
      <c r="DT91" s="712">
        <f t="shared" si="56"/>
        <v>0</v>
      </c>
      <c r="DU91" s="712">
        <f t="shared" si="56"/>
        <v>0</v>
      </c>
      <c r="DV91" s="712">
        <f t="shared" si="56"/>
        <v>0</v>
      </c>
      <c r="DW91" s="712">
        <f t="shared" si="56"/>
        <v>0</v>
      </c>
      <c r="DX91" s="698">
        <f>DX58+DX53+DX48+DX63</f>
        <v>1753.6878521806607</v>
      </c>
      <c r="DY91" s="712">
        <f t="shared" ref="DY91:EQ91" si="59">DY58+DY53+DY48</f>
        <v>0</v>
      </c>
      <c r="DZ91" s="712">
        <f t="shared" si="59"/>
        <v>0</v>
      </c>
      <c r="EA91" s="712">
        <f t="shared" si="59"/>
        <v>0</v>
      </c>
      <c r="EB91" s="712">
        <f t="shared" si="59"/>
        <v>0</v>
      </c>
      <c r="EC91" s="698">
        <f>EC58+EC53+EC48+EC63</f>
        <v>1650.3192260149176</v>
      </c>
      <c r="ED91" s="712">
        <f t="shared" si="59"/>
        <v>0</v>
      </c>
      <c r="EE91" s="712">
        <f t="shared" si="59"/>
        <v>0</v>
      </c>
      <c r="EF91" s="712">
        <f t="shared" si="59"/>
        <v>0</v>
      </c>
      <c r="EG91" s="712">
        <f t="shared" si="59"/>
        <v>0</v>
      </c>
      <c r="EH91" s="698">
        <f>EH58+EH53+EH48+EH63</f>
        <v>1546.9478959079997</v>
      </c>
      <c r="EI91" s="712">
        <f t="shared" si="59"/>
        <v>0</v>
      </c>
      <c r="EJ91" s="712">
        <f t="shared" si="59"/>
        <v>0</v>
      </c>
      <c r="EK91" s="712">
        <f t="shared" si="59"/>
        <v>0</v>
      </c>
      <c r="EL91" s="712">
        <f t="shared" si="59"/>
        <v>0</v>
      </c>
      <c r="EM91" s="698">
        <f>EM58+EM53+EM48+EM63</f>
        <v>859.02959930541851</v>
      </c>
      <c r="EN91" s="712">
        <f t="shared" si="59"/>
        <v>0</v>
      </c>
      <c r="EO91" s="712">
        <f t="shared" si="59"/>
        <v>0</v>
      </c>
      <c r="EP91" s="712">
        <f t="shared" si="59"/>
        <v>0</v>
      </c>
      <c r="EQ91" s="712">
        <f t="shared" si="59"/>
        <v>0</v>
      </c>
      <c r="ER91" s="698">
        <f>ER58+ER53+ER48+ER63</f>
        <v>197.75756676211682</v>
      </c>
    </row>
    <row r="92" spans="2:148" hidden="1" outlineLevel="1">
      <c r="B92" s="686" t="s">
        <v>79</v>
      </c>
      <c r="C92" s="230"/>
      <c r="D92" s="352"/>
      <c r="E92" s="352"/>
      <c r="F92" s="352"/>
      <c r="G92" s="352"/>
      <c r="H92" s="230"/>
      <c r="I92" s="352"/>
      <c r="J92" s="352"/>
      <c r="K92" s="352"/>
      <c r="L92" s="352"/>
      <c r="M92" s="230"/>
      <c r="N92" s="352"/>
      <c r="O92" s="352"/>
      <c r="P92" s="352"/>
      <c r="Q92" s="352"/>
      <c r="R92" s="230"/>
      <c r="S92" s="352"/>
      <c r="T92" s="352"/>
      <c r="U92" s="352"/>
      <c r="V92" s="352"/>
      <c r="W92" s="230"/>
      <c r="X92" s="352"/>
      <c r="Y92" s="352"/>
      <c r="Z92" s="352"/>
      <c r="AA92" s="352"/>
      <c r="AB92" s="230"/>
      <c r="AC92" s="352"/>
      <c r="AD92" s="352"/>
      <c r="AE92" s="352"/>
      <c r="AF92" s="352"/>
      <c r="AG92" s="230"/>
      <c r="AH92" s="352"/>
      <c r="AI92" s="352"/>
      <c r="AJ92" s="352"/>
      <c r="AK92" s="352"/>
      <c r="AL92" s="230"/>
      <c r="AM92" s="352"/>
      <c r="AN92" s="352"/>
      <c r="AO92" s="352"/>
      <c r="AP92" s="352"/>
      <c r="AQ92" s="230"/>
      <c r="AR92" s="352"/>
      <c r="AS92" s="352"/>
      <c r="AT92" s="352"/>
      <c r="AU92" s="352"/>
      <c r="AV92" s="230"/>
      <c r="AW92" s="352"/>
      <c r="AX92" s="352"/>
      <c r="AY92" s="352"/>
      <c r="AZ92" s="352"/>
      <c r="BA92" s="230"/>
      <c r="BB92" s="353"/>
      <c r="BC92" s="353"/>
      <c r="BD92" s="353"/>
      <c r="BE92" s="353"/>
      <c r="BF92" s="230"/>
      <c r="BG92" s="353"/>
      <c r="BH92" s="353"/>
      <c r="BI92" s="353"/>
      <c r="BJ92" s="353"/>
      <c r="BK92" s="230"/>
      <c r="BL92" s="353"/>
      <c r="BM92" s="353"/>
      <c r="BN92" s="353"/>
      <c r="BO92" s="353"/>
      <c r="BP92" s="230"/>
      <c r="BQ92" s="353"/>
      <c r="BR92" s="353"/>
      <c r="BS92" s="353"/>
      <c r="BT92" s="353"/>
      <c r="BU92" s="230"/>
      <c r="BV92" s="353"/>
      <c r="BW92" s="353"/>
      <c r="BX92" s="353"/>
      <c r="BY92" s="353"/>
      <c r="BZ92" s="682">
        <f>BZ4+BZ9+BZ14+BZ19+BZ24+BZ29+BZ34+BZ39</f>
        <v>9035</v>
      </c>
      <c r="CA92" s="353"/>
      <c r="CB92" s="353"/>
      <c r="CC92" s="353"/>
      <c r="CD92" s="353"/>
      <c r="CE92" s="682">
        <f>CE4+CE9+CE14+CE19+CE24+CE29+CE34+CE39</f>
        <v>10240</v>
      </c>
      <c r="CF92" s="353"/>
      <c r="CG92" s="353"/>
      <c r="CH92" s="353"/>
      <c r="CI92" s="353"/>
      <c r="CJ92" s="230"/>
      <c r="CK92" s="353"/>
      <c r="CL92" s="353"/>
      <c r="CM92" s="353"/>
      <c r="CN92" s="353"/>
      <c r="CO92" s="230"/>
      <c r="CP92" s="353"/>
      <c r="CQ92" s="353"/>
      <c r="CR92" s="353"/>
      <c r="CS92" s="353"/>
      <c r="CT92" s="230"/>
      <c r="CU92" s="353"/>
      <c r="CV92" s="353"/>
      <c r="CW92" s="353"/>
      <c r="CX92" s="353"/>
      <c r="CY92" s="230"/>
      <c r="CZ92" s="353"/>
      <c r="DA92" s="353"/>
      <c r="DB92" s="353"/>
      <c r="DC92" s="353"/>
      <c r="DD92" s="230"/>
      <c r="DE92" s="353"/>
      <c r="DF92" s="353"/>
      <c r="DG92" s="353"/>
      <c r="DH92" s="353"/>
      <c r="DI92" s="230"/>
      <c r="DJ92" s="353"/>
      <c r="DK92" s="353"/>
      <c r="DL92" s="353"/>
      <c r="DM92" s="353"/>
      <c r="DN92" s="230"/>
      <c r="DO92" s="353"/>
      <c r="DP92" s="353"/>
      <c r="DQ92" s="353"/>
      <c r="DR92" s="353"/>
      <c r="DS92" s="230"/>
      <c r="DT92" s="353"/>
      <c r="DU92" s="353"/>
      <c r="DV92" s="353"/>
      <c r="DW92" s="353"/>
      <c r="DX92" s="230"/>
      <c r="DY92" s="353"/>
      <c r="DZ92" s="353"/>
      <c r="EA92" s="353"/>
      <c r="EB92" s="353"/>
      <c r="EC92" s="230"/>
      <c r="ED92" s="353"/>
      <c r="EE92" s="353"/>
      <c r="EF92" s="353"/>
      <c r="EG92" s="353"/>
      <c r="EH92" s="230"/>
      <c r="EI92" s="353"/>
      <c r="EJ92" s="353"/>
      <c r="EK92" s="353"/>
      <c r="EL92" s="353"/>
      <c r="EM92" s="230"/>
      <c r="EN92" s="353"/>
      <c r="EO92" s="353"/>
      <c r="EP92" s="353"/>
      <c r="EQ92" s="353"/>
      <c r="ER92" s="230"/>
    </row>
    <row r="93" spans="2:148" hidden="1" outlineLevel="1">
      <c r="B93" s="686" t="s">
        <v>858</v>
      </c>
      <c r="C93" s="230"/>
      <c r="D93" s="352"/>
      <c r="E93" s="352"/>
      <c r="F93" s="352"/>
      <c r="G93" s="352"/>
      <c r="H93" s="230"/>
      <c r="I93" s="352"/>
      <c r="J93" s="352"/>
      <c r="K93" s="352"/>
      <c r="L93" s="352"/>
      <c r="M93" s="230"/>
      <c r="N93" s="352"/>
      <c r="O93" s="352"/>
      <c r="P93" s="352"/>
      <c r="Q93" s="352"/>
      <c r="R93" s="230"/>
      <c r="S93" s="352"/>
      <c r="T93" s="352"/>
      <c r="U93" s="352"/>
      <c r="V93" s="352"/>
      <c r="W93" s="230"/>
      <c r="X93" s="352"/>
      <c r="Y93" s="352"/>
      <c r="Z93" s="352"/>
      <c r="AA93" s="352"/>
      <c r="AB93" s="230"/>
      <c r="AC93" s="352"/>
      <c r="AD93" s="352"/>
      <c r="AE93" s="352"/>
      <c r="AF93" s="352"/>
      <c r="AG93" s="230"/>
      <c r="AH93" s="352"/>
      <c r="AI93" s="352"/>
      <c r="AJ93" s="352"/>
      <c r="AK93" s="352"/>
      <c r="AL93" s="230"/>
      <c r="AM93" s="352"/>
      <c r="AN93" s="352"/>
      <c r="AO93" s="352"/>
      <c r="AP93" s="352"/>
      <c r="AQ93" s="230"/>
      <c r="AR93" s="352"/>
      <c r="AS93" s="352"/>
      <c r="AT93" s="352"/>
      <c r="AU93" s="352"/>
      <c r="AV93" s="230"/>
      <c r="AW93" s="352"/>
      <c r="AX93" s="352"/>
      <c r="AY93" s="352"/>
      <c r="AZ93" s="352"/>
      <c r="BA93" s="230"/>
      <c r="BB93" s="353"/>
      <c r="BC93" s="353"/>
      <c r="BD93" s="353"/>
      <c r="BE93" s="353"/>
      <c r="BF93" s="230"/>
      <c r="BG93" s="353"/>
      <c r="BH93" s="353"/>
      <c r="BI93" s="353"/>
      <c r="BJ93" s="353"/>
      <c r="BK93" s="230"/>
      <c r="BL93" s="353"/>
      <c r="BM93" s="353"/>
      <c r="BN93" s="353"/>
      <c r="BO93" s="353"/>
      <c r="BP93" s="230"/>
      <c r="BQ93" s="353"/>
      <c r="BR93" s="353"/>
      <c r="BS93" s="353"/>
      <c r="BT93" s="353"/>
      <c r="BU93" s="230"/>
      <c r="BV93" s="353"/>
      <c r="BW93" s="353"/>
      <c r="BX93" s="353"/>
      <c r="BY93" s="353"/>
      <c r="BZ93" s="230"/>
      <c r="CA93" s="353"/>
      <c r="CB93" s="353"/>
      <c r="CC93" s="353"/>
      <c r="CD93" s="353"/>
      <c r="CE93" s="230"/>
      <c r="CF93" s="353"/>
      <c r="CG93" s="353"/>
      <c r="CH93" s="353"/>
      <c r="CI93" s="353"/>
      <c r="CJ93" s="230"/>
      <c r="CK93" s="353"/>
      <c r="CL93" s="353"/>
      <c r="CM93" s="353"/>
      <c r="CN93" s="353"/>
      <c r="CO93" s="230"/>
      <c r="CP93" s="353"/>
      <c r="CQ93" s="353"/>
      <c r="CR93" s="353"/>
      <c r="CS93" s="353"/>
      <c r="CT93" s="230"/>
      <c r="CU93" s="353"/>
      <c r="CV93" s="353"/>
      <c r="CW93" s="353"/>
      <c r="CX93" s="353"/>
      <c r="CY93" s="230"/>
      <c r="CZ93" s="353"/>
      <c r="DA93" s="353"/>
      <c r="DB93" s="353"/>
      <c r="DC93" s="353"/>
      <c r="DD93" s="230"/>
      <c r="DE93" s="353"/>
      <c r="DF93" s="353"/>
      <c r="DG93" s="353"/>
      <c r="DH93" s="353"/>
      <c r="DI93" s="230"/>
      <c r="DJ93" s="353"/>
      <c r="DK93" s="353"/>
      <c r="DL93" s="353"/>
      <c r="DM93" s="353"/>
      <c r="DN93" s="230"/>
      <c r="DO93" s="353"/>
      <c r="DP93" s="353"/>
      <c r="DQ93" s="353"/>
      <c r="DR93" s="353"/>
      <c r="DS93" s="230"/>
      <c r="DT93" s="353"/>
      <c r="DU93" s="353"/>
      <c r="DV93" s="353"/>
      <c r="DW93" s="353"/>
      <c r="DX93" s="230"/>
      <c r="DY93" s="353"/>
      <c r="DZ93" s="353"/>
      <c r="EA93" s="353"/>
      <c r="EB93" s="353"/>
      <c r="EC93" s="230"/>
      <c r="ED93" s="353"/>
      <c r="EE93" s="353"/>
      <c r="EF93" s="353"/>
      <c r="EG93" s="353"/>
      <c r="EH93" s="230"/>
      <c r="EI93" s="353"/>
      <c r="EJ93" s="353"/>
      <c r="EK93" s="353"/>
      <c r="EL93" s="353"/>
      <c r="EM93" s="230"/>
      <c r="EN93" s="353"/>
      <c r="EO93" s="353"/>
      <c r="EP93" s="353"/>
      <c r="EQ93" s="353"/>
      <c r="ER93" s="230"/>
    </row>
    <row r="94" spans="2:148" hidden="1" outlineLevel="1">
      <c r="B94" s="686" t="s">
        <v>859</v>
      </c>
      <c r="C94" s="230"/>
      <c r="D94" s="352"/>
      <c r="E94" s="352"/>
      <c r="F94" s="352"/>
      <c r="G94" s="352"/>
      <c r="H94" s="230"/>
      <c r="I94" s="352"/>
      <c r="J94" s="352"/>
      <c r="K94" s="352"/>
      <c r="L94" s="352"/>
      <c r="M94" s="230"/>
      <c r="N94" s="352"/>
      <c r="O94" s="352"/>
      <c r="P94" s="352"/>
      <c r="Q94" s="352"/>
      <c r="R94" s="230"/>
      <c r="S94" s="352"/>
      <c r="T94" s="352"/>
      <c r="U94" s="352"/>
      <c r="V94" s="352"/>
      <c r="W94" s="230"/>
      <c r="X94" s="352"/>
      <c r="Y94" s="352"/>
      <c r="Z94" s="352"/>
      <c r="AA94" s="352"/>
      <c r="AB94" s="230"/>
      <c r="AC94" s="352"/>
      <c r="AD94" s="352"/>
      <c r="AE94" s="352"/>
      <c r="AF94" s="352"/>
      <c r="AG94" s="230"/>
      <c r="AH94" s="352"/>
      <c r="AI94" s="352"/>
      <c r="AJ94" s="352"/>
      <c r="AK94" s="352"/>
      <c r="AL94" s="230"/>
      <c r="AM94" s="352"/>
      <c r="AN94" s="352"/>
      <c r="AO94" s="352"/>
      <c r="AP94" s="352"/>
      <c r="AQ94" s="230"/>
      <c r="AR94" s="352"/>
      <c r="AS94" s="352"/>
      <c r="AT94" s="352"/>
      <c r="AU94" s="352"/>
      <c r="AV94" s="230"/>
      <c r="AW94" s="352"/>
      <c r="AX94" s="352"/>
      <c r="AY94" s="352"/>
      <c r="AZ94" s="352"/>
      <c r="BA94" s="230"/>
      <c r="BB94" s="353"/>
      <c r="BC94" s="353"/>
      <c r="BD94" s="353"/>
      <c r="BE94" s="353"/>
      <c r="BF94" s="230"/>
      <c r="BG94" s="353"/>
      <c r="BH94" s="353"/>
      <c r="BI94" s="353"/>
      <c r="BJ94" s="353"/>
      <c r="BK94" s="230"/>
      <c r="BL94" s="353"/>
      <c r="BM94" s="353"/>
      <c r="BN94" s="353"/>
      <c r="BO94" s="353"/>
      <c r="BP94" s="230"/>
      <c r="BQ94" s="353"/>
      <c r="BR94" s="353"/>
      <c r="BS94" s="353"/>
      <c r="BT94" s="353"/>
      <c r="BU94" s="230"/>
      <c r="BV94" s="353"/>
      <c r="BW94" s="353"/>
      <c r="BX94" s="353"/>
      <c r="BY94" s="353"/>
      <c r="BZ94" s="230"/>
      <c r="CA94" s="353"/>
      <c r="CB94" s="353"/>
      <c r="CC94" s="353"/>
      <c r="CD94" s="353"/>
      <c r="CE94" s="230"/>
      <c r="CF94" s="353"/>
      <c r="CG94" s="353"/>
      <c r="CH94" s="353"/>
      <c r="CI94" s="353"/>
      <c r="CJ94" s="230"/>
      <c r="CK94" s="353"/>
      <c r="CL94" s="353"/>
      <c r="CM94" s="353"/>
      <c r="CN94" s="353"/>
      <c r="CO94" s="230"/>
      <c r="CP94" s="353"/>
      <c r="CQ94" s="353"/>
      <c r="CR94" s="353"/>
      <c r="CS94" s="353"/>
      <c r="CT94" s="230"/>
      <c r="CU94" s="353"/>
      <c r="CV94" s="353"/>
      <c r="CW94" s="353"/>
      <c r="CX94" s="353"/>
      <c r="CY94" s="230"/>
      <c r="CZ94" s="353"/>
      <c r="DA94" s="353"/>
      <c r="DB94" s="353"/>
      <c r="DC94" s="353"/>
      <c r="DD94" s="230"/>
      <c r="DE94" s="353"/>
      <c r="DF94" s="353"/>
      <c r="DG94" s="353"/>
      <c r="DH94" s="353"/>
      <c r="DI94" s="230"/>
      <c r="DJ94" s="353"/>
      <c r="DK94" s="353"/>
      <c r="DL94" s="353"/>
      <c r="DM94" s="353"/>
      <c r="DN94" s="230"/>
      <c r="DO94" s="353"/>
      <c r="DP94" s="353"/>
      <c r="DQ94" s="353"/>
      <c r="DR94" s="353"/>
      <c r="DS94" s="230"/>
      <c r="DT94" s="353"/>
      <c r="DU94" s="353"/>
      <c r="DV94" s="353"/>
      <c r="DW94" s="353"/>
      <c r="DX94" s="230"/>
      <c r="DY94" s="353"/>
      <c r="DZ94" s="353"/>
      <c r="EA94" s="353"/>
      <c r="EB94" s="353"/>
      <c r="EC94" s="230"/>
      <c r="ED94" s="353"/>
      <c r="EE94" s="353"/>
      <c r="EF94" s="353"/>
      <c r="EG94" s="353"/>
      <c r="EH94" s="230"/>
      <c r="EI94" s="353"/>
      <c r="EJ94" s="353"/>
      <c r="EK94" s="353"/>
      <c r="EL94" s="353"/>
      <c r="EM94" s="230"/>
      <c r="EN94" s="353"/>
      <c r="EO94" s="353"/>
      <c r="EP94" s="353"/>
      <c r="EQ94" s="353"/>
      <c r="ER94" s="230"/>
    </row>
    <row r="95" spans="2:148" hidden="1" outlineLevel="1">
      <c r="B95" s="686" t="s">
        <v>860</v>
      </c>
      <c r="C95" s="230"/>
      <c r="D95" s="352"/>
      <c r="E95" s="352"/>
      <c r="F95" s="352"/>
      <c r="G95" s="352"/>
      <c r="H95" s="230"/>
      <c r="I95" s="352"/>
      <c r="J95" s="352"/>
      <c r="K95" s="352"/>
      <c r="L95" s="352"/>
      <c r="M95" s="230"/>
      <c r="N95" s="352"/>
      <c r="O95" s="352"/>
      <c r="P95" s="352"/>
      <c r="Q95" s="352"/>
      <c r="R95" s="230"/>
      <c r="S95" s="352"/>
      <c r="T95" s="352"/>
      <c r="U95" s="352"/>
      <c r="V95" s="352"/>
      <c r="W95" s="230"/>
      <c r="X95" s="352"/>
      <c r="Y95" s="352"/>
      <c r="Z95" s="352"/>
      <c r="AA95" s="352"/>
      <c r="AB95" s="230"/>
      <c r="AC95" s="352"/>
      <c r="AD95" s="352"/>
      <c r="AE95" s="352"/>
      <c r="AF95" s="352"/>
      <c r="AG95" s="230"/>
      <c r="AH95" s="352"/>
      <c r="AI95" s="352"/>
      <c r="AJ95" s="352"/>
      <c r="AK95" s="352"/>
      <c r="AL95" s="230"/>
      <c r="AM95" s="352"/>
      <c r="AN95" s="352"/>
      <c r="AO95" s="352"/>
      <c r="AP95" s="352"/>
      <c r="AQ95" s="230"/>
      <c r="AR95" s="352"/>
      <c r="AS95" s="352"/>
      <c r="AT95" s="352"/>
      <c r="AU95" s="352"/>
      <c r="AV95" s="230"/>
      <c r="AW95" s="352"/>
      <c r="AX95" s="352"/>
      <c r="AY95" s="352"/>
      <c r="AZ95" s="352"/>
      <c r="BA95" s="230"/>
      <c r="BB95" s="353"/>
      <c r="BC95" s="353"/>
      <c r="BD95" s="353"/>
      <c r="BE95" s="353"/>
      <c r="BF95" s="230"/>
      <c r="BG95" s="353"/>
      <c r="BH95" s="353"/>
      <c r="BI95" s="353"/>
      <c r="BJ95" s="353"/>
      <c r="BK95" s="230"/>
      <c r="BL95" s="353"/>
      <c r="BM95" s="353"/>
      <c r="BN95" s="353"/>
      <c r="BO95" s="353"/>
      <c r="BP95" s="230"/>
      <c r="BQ95" s="353"/>
      <c r="BR95" s="353"/>
      <c r="BS95" s="356"/>
      <c r="BT95" s="353"/>
      <c r="BU95" s="230"/>
      <c r="BV95" s="353"/>
      <c r="BW95" s="353"/>
      <c r="BX95" s="353"/>
      <c r="BY95" s="353"/>
      <c r="BZ95" s="230"/>
      <c r="CA95" s="353"/>
      <c r="CB95" s="353"/>
      <c r="CC95" s="353"/>
      <c r="CD95" s="353"/>
      <c r="CE95" s="230"/>
      <c r="CF95" s="353"/>
      <c r="CG95" s="353"/>
      <c r="CH95" s="353"/>
      <c r="CI95" s="353"/>
      <c r="CJ95" s="230"/>
      <c r="CK95" s="353"/>
      <c r="CL95" s="353"/>
      <c r="CM95" s="353"/>
      <c r="CN95" s="353"/>
      <c r="CO95" s="230"/>
      <c r="CP95" s="353"/>
      <c r="CQ95" s="353"/>
      <c r="CR95" s="353"/>
      <c r="CS95" s="353"/>
      <c r="CT95" s="230"/>
      <c r="CU95" s="353"/>
      <c r="CV95" s="353"/>
      <c r="CW95" s="353"/>
      <c r="CX95" s="353"/>
      <c r="CY95" s="230"/>
      <c r="CZ95" s="353"/>
      <c r="DA95" s="353"/>
      <c r="DB95" s="353"/>
      <c r="DC95" s="353"/>
      <c r="DD95" s="230"/>
      <c r="DE95" s="353"/>
      <c r="DF95" s="353"/>
      <c r="DG95" s="353"/>
      <c r="DH95" s="353"/>
      <c r="DI95" s="230"/>
      <c r="DJ95" s="353"/>
      <c r="DK95" s="353"/>
      <c r="DL95" s="353"/>
      <c r="DM95" s="353"/>
      <c r="DN95" s="230"/>
      <c r="DO95" s="353"/>
      <c r="DP95" s="353"/>
      <c r="DQ95" s="353"/>
      <c r="DR95" s="353"/>
      <c r="DS95" s="230"/>
      <c r="DT95" s="353"/>
      <c r="DU95" s="353"/>
      <c r="DV95" s="353"/>
      <c r="DW95" s="353"/>
      <c r="DX95" s="230"/>
      <c r="DY95" s="353"/>
      <c r="DZ95" s="353"/>
      <c r="EA95" s="353"/>
      <c r="EB95" s="353"/>
      <c r="EC95" s="230"/>
      <c r="ED95" s="353"/>
      <c r="EE95" s="353"/>
      <c r="EF95" s="353"/>
      <c r="EG95" s="353"/>
      <c r="EH95" s="230"/>
      <c r="EI95" s="353"/>
      <c r="EJ95" s="353"/>
      <c r="EK95" s="353"/>
      <c r="EL95" s="353"/>
      <c r="EM95" s="230"/>
      <c r="EN95" s="353"/>
      <c r="EO95" s="353"/>
      <c r="EP95" s="353"/>
      <c r="EQ95" s="353"/>
      <c r="ER95" s="230"/>
    </row>
    <row r="96" spans="2:148" collapsed="1">
      <c r="B96" s="230"/>
      <c r="C96" s="230"/>
      <c r="D96" s="352"/>
      <c r="E96" s="352"/>
      <c r="F96" s="352"/>
      <c r="G96" s="352"/>
      <c r="H96" s="230"/>
      <c r="I96" s="352"/>
      <c r="J96" s="352"/>
      <c r="K96" s="352"/>
      <c r="L96" s="352"/>
      <c r="M96" s="230"/>
      <c r="N96" s="352"/>
      <c r="O96" s="352"/>
      <c r="P96" s="352"/>
      <c r="Q96" s="352"/>
      <c r="R96" s="230"/>
      <c r="S96" s="352"/>
      <c r="T96" s="352"/>
      <c r="U96" s="352"/>
      <c r="V96" s="352"/>
      <c r="W96" s="230"/>
      <c r="X96" s="352"/>
      <c r="Y96" s="352"/>
      <c r="Z96" s="352"/>
      <c r="AA96" s="352"/>
      <c r="AB96" s="230"/>
      <c r="AC96" s="352"/>
      <c r="AD96" s="352"/>
      <c r="AE96" s="352"/>
      <c r="AF96" s="352"/>
      <c r="AG96" s="230"/>
      <c r="AH96" s="352"/>
      <c r="AI96" s="352"/>
      <c r="AJ96" s="352"/>
      <c r="AK96" s="352"/>
      <c r="AL96" s="230"/>
      <c r="AM96" s="352"/>
      <c r="AN96" s="352"/>
      <c r="AO96" s="352"/>
      <c r="AP96" s="352"/>
      <c r="AQ96" s="230"/>
      <c r="AR96" s="352"/>
      <c r="AS96" s="352"/>
      <c r="AT96" s="352"/>
      <c r="AU96" s="352"/>
      <c r="AV96" s="230"/>
      <c r="AW96" s="352"/>
      <c r="AX96" s="352"/>
      <c r="AY96" s="352"/>
      <c r="AZ96" s="352"/>
      <c r="BA96" s="230"/>
      <c r="BB96" s="353"/>
      <c r="BC96" s="353"/>
      <c r="BD96" s="353"/>
      <c r="BE96" s="353"/>
      <c r="BF96" s="230"/>
      <c r="BG96" s="353"/>
      <c r="BH96" s="353"/>
      <c r="BI96" s="353"/>
      <c r="BJ96" s="353"/>
      <c r="BK96" s="230"/>
      <c r="BL96" s="353"/>
      <c r="BM96" s="353"/>
      <c r="BN96" s="353"/>
      <c r="BO96" s="353"/>
      <c r="BP96" s="230"/>
      <c r="BQ96" s="353"/>
      <c r="BR96" s="353"/>
      <c r="BS96" s="356"/>
      <c r="BT96" s="353"/>
      <c r="BU96" s="230"/>
      <c r="BV96" s="353"/>
      <c r="BW96" s="353"/>
      <c r="BX96" s="353"/>
      <c r="BY96" s="353"/>
      <c r="BZ96" s="230"/>
      <c r="CA96" s="353"/>
      <c r="CB96" s="353"/>
      <c r="CC96" s="353"/>
      <c r="CD96" s="353"/>
      <c r="CE96" s="230"/>
      <c r="CF96" s="353"/>
      <c r="CG96" s="353"/>
      <c r="CH96" s="353"/>
      <c r="CI96" s="353"/>
      <c r="CJ96" s="230"/>
      <c r="CK96" s="353"/>
      <c r="CL96" s="353"/>
      <c r="CM96" s="353"/>
      <c r="CN96" s="353"/>
      <c r="CO96" s="230"/>
      <c r="CP96" s="353"/>
      <c r="CQ96" s="353"/>
      <c r="CR96" s="353"/>
      <c r="CS96" s="353"/>
      <c r="CT96" s="230"/>
      <c r="CU96" s="353"/>
      <c r="CV96" s="353"/>
      <c r="CW96" s="353"/>
      <c r="CX96" s="353"/>
      <c r="CY96" s="230"/>
      <c r="CZ96" s="353"/>
      <c r="DA96" s="353"/>
      <c r="DB96" s="353"/>
      <c r="DC96" s="353"/>
      <c r="DD96" s="230"/>
      <c r="DE96" s="353"/>
      <c r="DF96" s="353"/>
      <c r="DG96" s="353"/>
      <c r="DH96" s="353"/>
      <c r="DI96" s="230"/>
      <c r="DJ96" s="353"/>
      <c r="DK96" s="353"/>
      <c r="DL96" s="353"/>
      <c r="DM96" s="353"/>
      <c r="DN96" s="230"/>
      <c r="DO96" s="353"/>
      <c r="DP96" s="353"/>
      <c r="DQ96" s="353"/>
      <c r="DR96" s="353"/>
      <c r="DS96" s="230"/>
      <c r="DT96" s="353"/>
      <c r="DU96" s="353"/>
      <c r="DV96" s="353"/>
      <c r="DW96" s="353"/>
      <c r="DX96" s="230"/>
      <c r="DY96" s="353"/>
      <c r="DZ96" s="353"/>
      <c r="EA96" s="353"/>
      <c r="EB96" s="353"/>
      <c r="EC96" s="230"/>
      <c r="ED96" s="353"/>
      <c r="EE96" s="353"/>
      <c r="EF96" s="353"/>
      <c r="EG96" s="353"/>
      <c r="EH96" s="230"/>
      <c r="EI96" s="353"/>
      <c r="EJ96" s="353"/>
      <c r="EK96" s="353"/>
      <c r="EL96" s="353"/>
      <c r="EM96" s="230"/>
      <c r="EN96" s="353"/>
      <c r="EO96" s="353"/>
      <c r="EP96" s="353"/>
      <c r="EQ96" s="353"/>
      <c r="ER96" s="230"/>
    </row>
    <row r="97" spans="2:148" s="696" customFormat="1">
      <c r="B97" s="698" t="s">
        <v>966</v>
      </c>
      <c r="C97" s="698"/>
      <c r="D97" s="352"/>
      <c r="E97" s="352"/>
      <c r="F97" s="352"/>
      <c r="G97" s="352"/>
      <c r="H97" s="698"/>
      <c r="I97" s="352"/>
      <c r="J97" s="352"/>
      <c r="K97" s="352"/>
      <c r="L97" s="352"/>
      <c r="M97" s="698"/>
      <c r="N97" s="352"/>
      <c r="O97" s="352"/>
      <c r="P97" s="352"/>
      <c r="Q97" s="352"/>
      <c r="R97" s="698"/>
      <c r="S97" s="352"/>
      <c r="T97" s="352"/>
      <c r="U97" s="352"/>
      <c r="V97" s="352"/>
      <c r="W97" s="698"/>
      <c r="X97" s="352"/>
      <c r="Y97" s="352"/>
      <c r="Z97" s="352"/>
      <c r="AA97" s="352"/>
      <c r="AB97" s="698"/>
      <c r="AC97" s="352"/>
      <c r="AD97" s="352"/>
      <c r="AE97" s="352"/>
      <c r="AF97" s="352"/>
      <c r="AG97" s="698"/>
      <c r="AH97" s="352"/>
      <c r="AI97" s="352"/>
      <c r="AJ97" s="352"/>
      <c r="AK97" s="352"/>
      <c r="AL97" s="698"/>
      <c r="AM97" s="352"/>
      <c r="AN97" s="352"/>
      <c r="AO97" s="352"/>
      <c r="AP97" s="352"/>
      <c r="AQ97" s="698"/>
      <c r="AR97" s="352"/>
      <c r="AS97" s="352"/>
      <c r="AT97" s="352"/>
      <c r="AU97" s="352"/>
      <c r="AV97" s="698"/>
      <c r="AW97" s="352"/>
      <c r="AX97" s="352"/>
      <c r="AY97" s="352"/>
      <c r="AZ97" s="352"/>
      <c r="BA97" s="698"/>
      <c r="BB97" s="712"/>
      <c r="BC97" s="712"/>
      <c r="BD97" s="712"/>
      <c r="BE97" s="712"/>
      <c r="BF97" s="698"/>
      <c r="BG97" s="712"/>
      <c r="BH97" s="712"/>
      <c r="BI97" s="712"/>
      <c r="BJ97" s="712"/>
      <c r="BK97" s="698"/>
      <c r="BL97" s="712"/>
      <c r="BM97" s="712"/>
      <c r="BN97" s="712"/>
      <c r="BO97" s="712"/>
      <c r="BP97" s="698"/>
      <c r="BQ97" s="712"/>
      <c r="BR97" s="712"/>
      <c r="BS97" s="356"/>
      <c r="BT97" s="712"/>
      <c r="BU97" s="698"/>
      <c r="BV97" s="712"/>
      <c r="BW97" s="712"/>
      <c r="BX97" s="712"/>
      <c r="BY97" s="712"/>
      <c r="BZ97" s="698"/>
      <c r="CA97" s="712"/>
      <c r="CB97" s="712"/>
      <c r="CC97" s="712"/>
      <c r="CD97" s="712">
        <f>SUM(CD98:CD100)</f>
        <v>7</v>
      </c>
      <c r="CE97" s="698">
        <f>SUM(CE98:CE100)</f>
        <v>7</v>
      </c>
      <c r="CF97" s="712">
        <f>SUM(CF98:CF100)</f>
        <v>25</v>
      </c>
      <c r="CG97" s="712">
        <f t="shared" ref="CG97:CI97" si="60">SUM(CG98:CG100)</f>
        <v>50</v>
      </c>
      <c r="CH97" s="712">
        <f t="shared" si="60"/>
        <v>70</v>
      </c>
      <c r="CI97" s="712">
        <f t="shared" si="60"/>
        <v>79.184658264249435</v>
      </c>
      <c r="CJ97" s="698">
        <f>SUM(CJ98:CJ100)</f>
        <v>224.18465826424944</v>
      </c>
      <c r="CK97" s="712"/>
      <c r="CL97" s="712"/>
      <c r="CM97" s="712"/>
      <c r="CN97" s="712"/>
      <c r="CO97" s="698">
        <f>SUM(CO98:CO100)</f>
        <v>494.69906588477852</v>
      </c>
      <c r="CP97" s="712"/>
      <c r="CQ97" s="712"/>
      <c r="CR97" s="712"/>
      <c r="CS97" s="712"/>
      <c r="CT97" s="698">
        <f>SUM(CT98:CT100)</f>
        <v>1007.7860942380649</v>
      </c>
      <c r="CU97" s="712"/>
      <c r="CV97" s="712"/>
      <c r="CW97" s="712"/>
      <c r="CX97" s="712"/>
      <c r="CY97" s="698">
        <f>SUM(CY98:CY100)</f>
        <v>1618.4530704487636</v>
      </c>
      <c r="CZ97" s="712"/>
      <c r="DA97" s="712"/>
      <c r="DB97" s="712"/>
      <c r="DC97" s="712"/>
      <c r="DD97" s="698">
        <f>SUM(DD98:DD100)</f>
        <v>2340.1334644633039</v>
      </c>
      <c r="DE97" s="712"/>
      <c r="DF97" s="712"/>
      <c r="DG97" s="712"/>
      <c r="DH97" s="712"/>
      <c r="DI97" s="698">
        <f>SUM(DI98:DI100)</f>
        <v>2936.4506809307231</v>
      </c>
      <c r="DJ97" s="712"/>
      <c r="DK97" s="712"/>
      <c r="DL97" s="712"/>
      <c r="DM97" s="712"/>
      <c r="DN97" s="698">
        <f>SUM(DN98:DN100)</f>
        <v>3190.5624656777745</v>
      </c>
      <c r="DO97" s="712"/>
      <c r="DP97" s="712"/>
      <c r="DQ97" s="712"/>
      <c r="DR97" s="712"/>
      <c r="DS97" s="698">
        <f>SUM(DS98:DS100)</f>
        <v>3313.2646953985059</v>
      </c>
      <c r="DT97" s="712"/>
      <c r="DU97" s="712"/>
      <c r="DV97" s="712"/>
      <c r="DW97" s="712"/>
      <c r="DX97" s="698">
        <f>SUM(DX98:DX100)</f>
        <v>3416.3501519123397</v>
      </c>
      <c r="DY97" s="712"/>
      <c r="DZ97" s="712"/>
      <c r="EA97" s="712"/>
      <c r="EB97" s="712"/>
      <c r="EC97" s="698">
        <f>SUM(EC98:EC100)</f>
        <v>3525.4656645101441</v>
      </c>
      <c r="ED97" s="712"/>
      <c r="EE97" s="712"/>
      <c r="EF97" s="712"/>
      <c r="EG97" s="712"/>
      <c r="EH97" s="698">
        <f>SUM(EH98:EH100)</f>
        <v>3637.9862219526044</v>
      </c>
      <c r="EI97" s="712"/>
      <c r="EJ97" s="712"/>
      <c r="EK97" s="712"/>
      <c r="EL97" s="712"/>
      <c r="EM97" s="698">
        <f>SUM(EM98:EM100)</f>
        <v>3754.1089185099518</v>
      </c>
      <c r="EN97" s="712"/>
      <c r="EO97" s="712"/>
      <c r="EP97" s="712"/>
      <c r="EQ97" s="712"/>
      <c r="ER97" s="698">
        <f>SUM(ER98:ER100)</f>
        <v>3874.0430474367176</v>
      </c>
    </row>
    <row r="98" spans="2:148" s="696" customFormat="1">
      <c r="B98" s="699" t="s">
        <v>79</v>
      </c>
      <c r="C98" s="698"/>
      <c r="D98" s="352"/>
      <c r="E98" s="352"/>
      <c r="F98" s="352"/>
      <c r="G98" s="352"/>
      <c r="H98" s="698"/>
      <c r="I98" s="352"/>
      <c r="J98" s="352"/>
      <c r="K98" s="352"/>
      <c r="L98" s="352"/>
      <c r="M98" s="698"/>
      <c r="N98" s="352"/>
      <c r="O98" s="352"/>
      <c r="P98" s="352"/>
      <c r="Q98" s="352"/>
      <c r="R98" s="698"/>
      <c r="S98" s="352"/>
      <c r="T98" s="352"/>
      <c r="U98" s="352"/>
      <c r="V98" s="352"/>
      <c r="W98" s="698"/>
      <c r="X98" s="352"/>
      <c r="Y98" s="352"/>
      <c r="Z98" s="352"/>
      <c r="AA98" s="352"/>
      <c r="AB98" s="698"/>
      <c r="AC98" s="352"/>
      <c r="AD98" s="352"/>
      <c r="AE98" s="352"/>
      <c r="AF98" s="352"/>
      <c r="AG98" s="698"/>
      <c r="AH98" s="352"/>
      <c r="AI98" s="352"/>
      <c r="AJ98" s="352"/>
      <c r="AK98" s="352"/>
      <c r="AL98" s="698"/>
      <c r="AM98" s="352"/>
      <c r="AN98" s="352"/>
      <c r="AO98" s="352"/>
      <c r="AP98" s="352"/>
      <c r="AQ98" s="698"/>
      <c r="AR98" s="352"/>
      <c r="AS98" s="352"/>
      <c r="AT98" s="352"/>
      <c r="AU98" s="352"/>
      <c r="AV98" s="698"/>
      <c r="AW98" s="352"/>
      <c r="AX98" s="352"/>
      <c r="AY98" s="352"/>
      <c r="AZ98" s="352"/>
      <c r="BA98" s="698"/>
      <c r="BB98" s="712"/>
      <c r="BC98" s="712"/>
      <c r="BD98" s="712"/>
      <c r="BE98" s="712"/>
      <c r="BF98" s="698"/>
      <c r="BG98" s="712"/>
      <c r="BH98" s="712"/>
      <c r="BI98" s="712"/>
      <c r="BJ98" s="712"/>
      <c r="BK98" s="698"/>
      <c r="BL98" s="712"/>
      <c r="BM98" s="712"/>
      <c r="BN98" s="712"/>
      <c r="BO98" s="712"/>
      <c r="BP98" s="698"/>
      <c r="BQ98" s="712"/>
      <c r="BR98" s="712"/>
      <c r="BS98" s="356"/>
      <c r="BT98" s="712"/>
      <c r="BU98" s="698"/>
      <c r="BV98" s="712"/>
      <c r="BW98" s="712"/>
      <c r="BX98" s="712"/>
      <c r="BY98" s="712"/>
      <c r="BZ98" s="698"/>
      <c r="CA98" s="712"/>
      <c r="CB98" s="712"/>
      <c r="CC98" s="712"/>
      <c r="CD98" s="711">
        <v>7</v>
      </c>
      <c r="CE98" s="696">
        <f>SUM(CA98:CD98)</f>
        <v>7</v>
      </c>
      <c r="CF98" s="711">
        <v>25</v>
      </c>
      <c r="CG98" s="711">
        <v>50</v>
      </c>
      <c r="CH98" s="711">
        <v>70</v>
      </c>
      <c r="CI98" s="711">
        <f>CJ98-SUM(CF98:CH98)</f>
        <v>79.184658264249435</v>
      </c>
      <c r="CJ98" s="696">
        <f>'US DLBCL'!M46+'US FL'!M49+'US ALL'!M49+'US ALL'!M65+'US CLL'!M46</f>
        <v>224.18465826424944</v>
      </c>
      <c r="CK98" s="711"/>
      <c r="CL98" s="711"/>
      <c r="CM98" s="711"/>
      <c r="CN98" s="711"/>
      <c r="CO98" s="696">
        <f>'US DLBCL'!N46+'US FL'!N49+'US ALL'!N49+'US ALL'!N65+'US CLL'!N46</f>
        <v>382.60673675265377</v>
      </c>
      <c r="CP98" s="711"/>
      <c r="CQ98" s="711"/>
      <c r="CR98" s="711"/>
      <c r="CS98" s="711"/>
      <c r="CT98" s="696">
        <f>'US DLBCL'!O46+'US FL'!O49+'US ALL'!O49+'US ALL'!O65+'US CLL'!O46</f>
        <v>788.45964357870696</v>
      </c>
      <c r="CU98" s="711"/>
      <c r="CV98" s="711"/>
      <c r="CW98" s="711"/>
      <c r="CX98" s="711"/>
      <c r="CY98" s="696">
        <f>'US DLBCL'!P46+'US FL'!P49+'US ALL'!P49+'US ALL'!P65+'US CLL'!P46</f>
        <v>1176.3974065653283</v>
      </c>
      <c r="CZ98" s="711"/>
      <c r="DA98" s="711"/>
      <c r="DB98" s="711"/>
      <c r="DC98" s="711"/>
      <c r="DD98" s="696">
        <f>'US DLBCL'!Q46+'US FL'!Q49+'US ALL'!Q49+'US ALL'!Q65+'US CLL'!Q46</f>
        <v>1653.3773057333012</v>
      </c>
      <c r="DE98" s="711"/>
      <c r="DF98" s="711"/>
      <c r="DG98" s="711"/>
      <c r="DH98" s="711"/>
      <c r="DI98" s="696">
        <f>'US DLBCL'!R46+'US FL'!R49+'US ALL'!R49+'US ALL'!R65+'US CLL'!R46</f>
        <v>1962.7123522434067</v>
      </c>
      <c r="DJ98" s="711"/>
      <c r="DK98" s="711"/>
      <c r="DL98" s="711"/>
      <c r="DM98" s="711"/>
      <c r="DN98" s="696">
        <f>'US DLBCL'!S46+'US FL'!S49+'US ALL'!S49+'US ALL'!S65+'US CLL'!S46</f>
        <v>2002.5341263394087</v>
      </c>
      <c r="DO98" s="711"/>
      <c r="DP98" s="711"/>
      <c r="DQ98" s="711"/>
      <c r="DR98" s="711"/>
      <c r="DS98" s="696">
        <f>'US DLBCL'!T46+'US FL'!T49+'US ALL'!T49+'US ALL'!T65+'US CLL'!T46</f>
        <v>2066.6585881983756</v>
      </c>
      <c r="DT98" s="711"/>
      <c r="DU98" s="711"/>
      <c r="DV98" s="711"/>
      <c r="DW98" s="711"/>
      <c r="DX98" s="696">
        <f>'US DLBCL'!U46+'US FL'!U49+'US ALL'!U49+'US ALL'!U65+'US CLL'!U46</f>
        <v>2132.704092020726</v>
      </c>
      <c r="DY98" s="711"/>
      <c r="DZ98" s="711"/>
      <c r="EA98" s="711"/>
      <c r="EB98" s="711"/>
      <c r="EC98" s="696">
        <f>'US DLBCL'!V46+'US FL'!V49+'US ALL'!V49+'US ALL'!V65+'US CLL'!V46</f>
        <v>2200.7812949749841</v>
      </c>
      <c r="ED98" s="711"/>
      <c r="EE98" s="711"/>
      <c r="EF98" s="711"/>
      <c r="EG98" s="711"/>
      <c r="EH98" s="696">
        <f>'US DLBCL'!W46+'US FL'!W49+'US ALL'!W49+'US ALL'!W65+'US CLL'!W46</f>
        <v>2271.0075629625217</v>
      </c>
      <c r="EI98" s="711"/>
      <c r="EJ98" s="711"/>
      <c r="EK98" s="711"/>
      <c r="EL98" s="711"/>
      <c r="EM98" s="696">
        <f>'US DLBCL'!X46+'US FL'!X49+'US ALL'!X49+'US ALL'!X65+'US CLL'!X46</f>
        <v>2343.5074751568177</v>
      </c>
      <c r="EN98" s="711"/>
      <c r="EO98" s="711"/>
      <c r="EP98" s="711"/>
      <c r="EQ98" s="711"/>
      <c r="ER98" s="696">
        <f>'US DLBCL'!Y46+'US FL'!Y49+'US ALL'!Y49+'US ALL'!Y65+'US CLL'!Y46</f>
        <v>2418.4133644879939</v>
      </c>
    </row>
    <row r="99" spans="2:148" s="696" customFormat="1">
      <c r="B99" s="699" t="s">
        <v>80</v>
      </c>
      <c r="C99" s="698"/>
      <c r="D99" s="352"/>
      <c r="E99" s="352"/>
      <c r="F99" s="352"/>
      <c r="G99" s="352"/>
      <c r="H99" s="698"/>
      <c r="I99" s="352"/>
      <c r="J99" s="352"/>
      <c r="K99" s="352"/>
      <c r="L99" s="352"/>
      <c r="M99" s="698"/>
      <c r="N99" s="352"/>
      <c r="O99" s="352"/>
      <c r="P99" s="352"/>
      <c r="Q99" s="352"/>
      <c r="R99" s="698"/>
      <c r="S99" s="352"/>
      <c r="T99" s="352"/>
      <c r="U99" s="352"/>
      <c r="V99" s="352"/>
      <c r="W99" s="698"/>
      <c r="X99" s="352"/>
      <c r="Y99" s="352"/>
      <c r="Z99" s="352"/>
      <c r="AA99" s="352"/>
      <c r="AB99" s="698"/>
      <c r="AC99" s="352"/>
      <c r="AD99" s="352"/>
      <c r="AE99" s="352"/>
      <c r="AF99" s="352"/>
      <c r="AG99" s="698"/>
      <c r="AH99" s="352"/>
      <c r="AI99" s="352"/>
      <c r="AJ99" s="352"/>
      <c r="AK99" s="352"/>
      <c r="AL99" s="698"/>
      <c r="AM99" s="352"/>
      <c r="AN99" s="352"/>
      <c r="AO99" s="352"/>
      <c r="AP99" s="352"/>
      <c r="AQ99" s="698"/>
      <c r="AR99" s="352"/>
      <c r="AS99" s="352"/>
      <c r="AT99" s="352"/>
      <c r="AU99" s="352"/>
      <c r="AV99" s="698"/>
      <c r="AW99" s="352"/>
      <c r="AX99" s="352"/>
      <c r="AY99" s="352"/>
      <c r="AZ99" s="352"/>
      <c r="BA99" s="698"/>
      <c r="BB99" s="712"/>
      <c r="BC99" s="712"/>
      <c r="BD99" s="712"/>
      <c r="BE99" s="712"/>
      <c r="BF99" s="698"/>
      <c r="BG99" s="712"/>
      <c r="BH99" s="712"/>
      <c r="BI99" s="712"/>
      <c r="BJ99" s="712"/>
      <c r="BK99" s="698"/>
      <c r="BL99" s="712"/>
      <c r="BM99" s="712"/>
      <c r="BN99" s="712"/>
      <c r="BO99" s="712"/>
      <c r="BP99" s="698"/>
      <c r="BQ99" s="712"/>
      <c r="BR99" s="712"/>
      <c r="BS99" s="356"/>
      <c r="BT99" s="712"/>
      <c r="BU99" s="698"/>
      <c r="BV99" s="712"/>
      <c r="BW99" s="712"/>
      <c r="BX99" s="712"/>
      <c r="BY99" s="712"/>
      <c r="BZ99" s="698"/>
      <c r="CA99" s="712"/>
      <c r="CB99" s="712"/>
      <c r="CC99" s="712"/>
      <c r="CD99" s="711">
        <v>0</v>
      </c>
      <c r="CE99" s="698"/>
      <c r="CF99" s="711">
        <v>0</v>
      </c>
      <c r="CG99" s="711">
        <v>0</v>
      </c>
      <c r="CH99" s="711">
        <v>0</v>
      </c>
      <c r="CI99" s="711">
        <f>CJ99-SUM(CF99:CH99)</f>
        <v>0</v>
      </c>
      <c r="CJ99" s="698"/>
      <c r="CK99" s="712"/>
      <c r="CL99" s="712"/>
      <c r="CM99" s="712"/>
      <c r="CN99" s="712"/>
      <c r="CO99" s="696">
        <f>CJ98*0.5</f>
        <v>112.09232913212472</v>
      </c>
      <c r="CP99" s="711"/>
      <c r="CQ99" s="711"/>
      <c r="CR99" s="711"/>
      <c r="CS99" s="711"/>
      <c r="CT99" s="696">
        <f>CO98*0.5</f>
        <v>191.30336837632689</v>
      </c>
      <c r="CU99" s="711"/>
      <c r="CV99" s="711"/>
      <c r="CW99" s="711"/>
      <c r="CX99" s="711"/>
      <c r="CY99" s="696">
        <f>CT98*0.5</f>
        <v>394.22982178935348</v>
      </c>
      <c r="CZ99" s="711"/>
      <c r="DA99" s="711"/>
      <c r="DB99" s="711"/>
      <c r="DC99" s="711"/>
      <c r="DD99" s="696">
        <f>CY98*0.5</f>
        <v>588.19870328266416</v>
      </c>
      <c r="DE99" s="711"/>
      <c r="DF99" s="711"/>
      <c r="DG99" s="711"/>
      <c r="DH99" s="711"/>
      <c r="DI99" s="696">
        <f>DD98*0.5</f>
        <v>826.68865286665061</v>
      </c>
      <c r="DJ99" s="711"/>
      <c r="DK99" s="711"/>
      <c r="DL99" s="711"/>
      <c r="DM99" s="711"/>
      <c r="DN99" s="696">
        <f>DI98*0.5</f>
        <v>981.35617612170336</v>
      </c>
      <c r="DO99" s="711"/>
      <c r="DP99" s="711"/>
      <c r="DQ99" s="711"/>
      <c r="DR99" s="711"/>
      <c r="DS99" s="696">
        <f>DN98*0.5</f>
        <v>1001.2670631697043</v>
      </c>
      <c r="DT99" s="711"/>
      <c r="DU99" s="711"/>
      <c r="DV99" s="711"/>
      <c r="DW99" s="711"/>
      <c r="DX99" s="696">
        <f>DS98*0.5</f>
        <v>1033.3292940991878</v>
      </c>
      <c r="DY99" s="711"/>
      <c r="DZ99" s="711"/>
      <c r="EA99" s="711"/>
      <c r="EB99" s="711"/>
      <c r="EC99" s="696">
        <f>DX98*0.5</f>
        <v>1066.352046010363</v>
      </c>
      <c r="ED99" s="711"/>
      <c r="EE99" s="711"/>
      <c r="EF99" s="711"/>
      <c r="EG99" s="711"/>
      <c r="EH99" s="696">
        <f>EC98*0.5</f>
        <v>1100.3906474874921</v>
      </c>
      <c r="EI99" s="711"/>
      <c r="EJ99" s="711"/>
      <c r="EK99" s="711"/>
      <c r="EL99" s="711"/>
      <c r="EM99" s="696">
        <f>EH98*0.5</f>
        <v>1135.5037814812608</v>
      </c>
      <c r="EN99" s="711"/>
      <c r="EO99" s="711"/>
      <c r="EP99" s="711"/>
      <c r="EQ99" s="711"/>
      <c r="ER99" s="696">
        <f>EM98*0.5</f>
        <v>1171.7537375784088</v>
      </c>
    </row>
    <row r="100" spans="2:148" s="696" customFormat="1">
      <c r="B100" s="699" t="s">
        <v>81</v>
      </c>
      <c r="C100" s="698"/>
      <c r="D100" s="352"/>
      <c r="E100" s="352"/>
      <c r="F100" s="352"/>
      <c r="G100" s="352"/>
      <c r="H100" s="698"/>
      <c r="I100" s="352"/>
      <c r="J100" s="352"/>
      <c r="K100" s="352"/>
      <c r="L100" s="352"/>
      <c r="M100" s="698"/>
      <c r="N100" s="352"/>
      <c r="O100" s="352"/>
      <c r="P100" s="352"/>
      <c r="Q100" s="352"/>
      <c r="R100" s="698"/>
      <c r="S100" s="352"/>
      <c r="T100" s="352"/>
      <c r="U100" s="352"/>
      <c r="V100" s="352"/>
      <c r="W100" s="698"/>
      <c r="X100" s="352"/>
      <c r="Y100" s="352"/>
      <c r="Z100" s="352"/>
      <c r="AA100" s="352"/>
      <c r="AB100" s="698"/>
      <c r="AC100" s="352"/>
      <c r="AD100" s="352"/>
      <c r="AE100" s="352"/>
      <c r="AF100" s="352"/>
      <c r="AG100" s="698"/>
      <c r="AH100" s="352"/>
      <c r="AI100" s="352"/>
      <c r="AJ100" s="352"/>
      <c r="AK100" s="352"/>
      <c r="AL100" s="698"/>
      <c r="AM100" s="352"/>
      <c r="AN100" s="352"/>
      <c r="AO100" s="352"/>
      <c r="AP100" s="352"/>
      <c r="AQ100" s="698"/>
      <c r="AR100" s="352"/>
      <c r="AS100" s="352"/>
      <c r="AT100" s="352"/>
      <c r="AU100" s="352"/>
      <c r="AV100" s="698"/>
      <c r="AW100" s="352"/>
      <c r="AX100" s="352"/>
      <c r="AY100" s="352"/>
      <c r="AZ100" s="352"/>
      <c r="BA100" s="698"/>
      <c r="BB100" s="712"/>
      <c r="BC100" s="712"/>
      <c r="BD100" s="712"/>
      <c r="BE100" s="712"/>
      <c r="BF100" s="698"/>
      <c r="BG100" s="712"/>
      <c r="BH100" s="712"/>
      <c r="BI100" s="712"/>
      <c r="BJ100" s="712"/>
      <c r="BK100" s="698"/>
      <c r="BL100" s="712"/>
      <c r="BM100" s="712"/>
      <c r="BN100" s="712"/>
      <c r="BO100" s="712"/>
      <c r="BP100" s="698"/>
      <c r="BQ100" s="712"/>
      <c r="BR100" s="712"/>
      <c r="BS100" s="356"/>
      <c r="BT100" s="712"/>
      <c r="BU100" s="698"/>
      <c r="BV100" s="712"/>
      <c r="BW100" s="712"/>
      <c r="BX100" s="712"/>
      <c r="BY100" s="712"/>
      <c r="BZ100" s="698"/>
      <c r="CA100" s="712"/>
      <c r="CB100" s="712"/>
      <c r="CC100" s="712"/>
      <c r="CD100" s="711">
        <v>0</v>
      </c>
      <c r="CE100" s="698"/>
      <c r="CF100" s="711">
        <v>0</v>
      </c>
      <c r="CG100" s="711">
        <v>0</v>
      </c>
      <c r="CH100" s="711">
        <v>0</v>
      </c>
      <c r="CI100" s="711">
        <f>CJ100-SUM(CF100:CH100)</f>
        <v>0</v>
      </c>
      <c r="CJ100" s="698"/>
      <c r="CK100" s="712"/>
      <c r="CL100" s="712"/>
      <c r="CM100" s="712"/>
      <c r="CN100" s="712"/>
      <c r="CP100" s="711"/>
      <c r="CQ100" s="711"/>
      <c r="CR100" s="711"/>
      <c r="CS100" s="711"/>
      <c r="CT100" s="696">
        <f>CO99*0.25</f>
        <v>28.023082283031179</v>
      </c>
      <c r="CU100" s="711"/>
      <c r="CV100" s="711"/>
      <c r="CW100" s="711"/>
      <c r="CX100" s="711"/>
      <c r="CY100" s="696">
        <f>CT99*0.25</f>
        <v>47.825842094081722</v>
      </c>
      <c r="CZ100" s="711"/>
      <c r="DA100" s="711"/>
      <c r="DB100" s="711"/>
      <c r="DC100" s="711"/>
      <c r="DD100" s="696">
        <f>CY99*0.25</f>
        <v>98.55745544733837</v>
      </c>
      <c r="DE100" s="711"/>
      <c r="DF100" s="711"/>
      <c r="DG100" s="711"/>
      <c r="DH100" s="711"/>
      <c r="DI100" s="696">
        <f>DD99*0.25</f>
        <v>147.04967582066604</v>
      </c>
      <c r="DJ100" s="711"/>
      <c r="DK100" s="711"/>
      <c r="DL100" s="711"/>
      <c r="DM100" s="711"/>
      <c r="DN100" s="696">
        <f>DI99*0.25</f>
        <v>206.67216321666265</v>
      </c>
      <c r="DO100" s="711"/>
      <c r="DP100" s="711"/>
      <c r="DQ100" s="711"/>
      <c r="DR100" s="711"/>
      <c r="DS100" s="696">
        <f>DN99*0.25</f>
        <v>245.33904403042584</v>
      </c>
      <c r="DT100" s="711"/>
      <c r="DU100" s="711"/>
      <c r="DV100" s="711"/>
      <c r="DW100" s="711"/>
      <c r="DX100" s="696">
        <f>DS99*0.25</f>
        <v>250.31676579242608</v>
      </c>
      <c r="DY100" s="711"/>
      <c r="DZ100" s="711"/>
      <c r="EA100" s="711"/>
      <c r="EB100" s="711"/>
      <c r="EC100" s="696">
        <f>DX99*0.25</f>
        <v>258.33232352479695</v>
      </c>
      <c r="ED100" s="711"/>
      <c r="EE100" s="711"/>
      <c r="EF100" s="711"/>
      <c r="EG100" s="711"/>
      <c r="EH100" s="696">
        <f>EC99*0.25</f>
        <v>266.58801150259075</v>
      </c>
      <c r="EI100" s="711"/>
      <c r="EJ100" s="711"/>
      <c r="EK100" s="711"/>
      <c r="EL100" s="711"/>
      <c r="EM100" s="696">
        <f>EH99*0.25</f>
        <v>275.09766187187302</v>
      </c>
      <c r="EN100" s="711"/>
      <c r="EO100" s="711"/>
      <c r="EP100" s="711"/>
      <c r="EQ100" s="711"/>
      <c r="ER100" s="696">
        <f>EM99*0.25</f>
        <v>283.87594537031521</v>
      </c>
    </row>
    <row r="101" spans="2:148" s="696" customFormat="1">
      <c r="B101" s="699"/>
      <c r="C101" s="698"/>
      <c r="D101" s="352"/>
      <c r="E101" s="352"/>
      <c r="F101" s="352"/>
      <c r="G101" s="352"/>
      <c r="H101" s="698"/>
      <c r="I101" s="352"/>
      <c r="J101" s="352"/>
      <c r="K101" s="352"/>
      <c r="L101" s="352"/>
      <c r="M101" s="698"/>
      <c r="N101" s="352"/>
      <c r="O101" s="352"/>
      <c r="P101" s="352"/>
      <c r="Q101" s="352"/>
      <c r="R101" s="698"/>
      <c r="S101" s="352"/>
      <c r="T101" s="352"/>
      <c r="U101" s="352"/>
      <c r="V101" s="352"/>
      <c r="W101" s="698"/>
      <c r="X101" s="352"/>
      <c r="Y101" s="352"/>
      <c r="Z101" s="352"/>
      <c r="AA101" s="352"/>
      <c r="AB101" s="698"/>
      <c r="AC101" s="352"/>
      <c r="AD101" s="352"/>
      <c r="AE101" s="352"/>
      <c r="AF101" s="352"/>
      <c r="AG101" s="698"/>
      <c r="AH101" s="352"/>
      <c r="AI101" s="352"/>
      <c r="AJ101" s="352"/>
      <c r="AK101" s="352"/>
      <c r="AL101" s="698"/>
      <c r="AM101" s="352"/>
      <c r="AN101" s="352"/>
      <c r="AO101" s="352"/>
      <c r="AP101" s="352"/>
      <c r="AQ101" s="698"/>
      <c r="AR101" s="352"/>
      <c r="AS101" s="352"/>
      <c r="AT101" s="352"/>
      <c r="AU101" s="352"/>
      <c r="AV101" s="698"/>
      <c r="AW101" s="352"/>
      <c r="AX101" s="352"/>
      <c r="AY101" s="352"/>
      <c r="AZ101" s="352"/>
      <c r="BA101" s="698"/>
      <c r="BB101" s="712"/>
      <c r="BC101" s="712"/>
      <c r="BD101" s="712"/>
      <c r="BE101" s="712"/>
      <c r="BF101" s="698"/>
      <c r="BG101" s="712"/>
      <c r="BH101" s="712"/>
      <c r="BI101" s="712"/>
      <c r="BJ101" s="712"/>
      <c r="BK101" s="698"/>
      <c r="BL101" s="712"/>
      <c r="BM101" s="712"/>
      <c r="BN101" s="712"/>
      <c r="BO101" s="712"/>
      <c r="BP101" s="698"/>
      <c r="BQ101" s="712"/>
      <c r="BR101" s="712"/>
      <c r="BS101" s="356"/>
      <c r="BT101" s="712"/>
      <c r="BU101" s="698"/>
      <c r="BV101" s="712"/>
      <c r="BW101" s="712"/>
      <c r="BX101" s="712"/>
      <c r="BY101" s="712"/>
      <c r="BZ101" s="698"/>
      <c r="CA101" s="712"/>
      <c r="CB101" s="712"/>
      <c r="CC101" s="712"/>
      <c r="CD101" s="712"/>
      <c r="CE101" s="698"/>
      <c r="CF101" s="712"/>
      <c r="CG101" s="712"/>
      <c r="CH101" s="712"/>
      <c r="CI101" s="712"/>
      <c r="CJ101" s="698"/>
      <c r="CK101" s="712"/>
      <c r="CL101" s="712"/>
      <c r="CM101" s="712"/>
      <c r="CN101" s="712"/>
      <c r="CO101" s="698"/>
      <c r="CP101" s="712"/>
      <c r="CQ101" s="712"/>
      <c r="CR101" s="712"/>
      <c r="CS101" s="712"/>
      <c r="CT101" s="698"/>
      <c r="CU101" s="712"/>
      <c r="CV101" s="712"/>
      <c r="CW101" s="712"/>
      <c r="CX101" s="712"/>
      <c r="CY101" s="698"/>
      <c r="CZ101" s="712"/>
      <c r="DA101" s="712"/>
      <c r="DB101" s="712"/>
      <c r="DC101" s="712"/>
      <c r="DD101" s="698"/>
      <c r="DE101" s="712"/>
      <c r="DF101" s="712"/>
      <c r="DG101" s="712"/>
      <c r="DH101" s="712"/>
      <c r="DI101" s="698"/>
      <c r="DJ101" s="712"/>
      <c r="DK101" s="712"/>
      <c r="DL101" s="712"/>
      <c r="DM101" s="712"/>
      <c r="DN101" s="698"/>
      <c r="DO101" s="712"/>
      <c r="DP101" s="712"/>
      <c r="DQ101" s="712"/>
      <c r="DR101" s="712"/>
      <c r="DS101" s="698"/>
      <c r="DT101" s="712"/>
      <c r="DU101" s="712"/>
      <c r="DV101" s="712"/>
      <c r="DW101" s="712"/>
      <c r="DX101" s="698"/>
      <c r="DY101" s="712"/>
      <c r="DZ101" s="712"/>
      <c r="EA101" s="712"/>
      <c r="EB101" s="712"/>
      <c r="EC101" s="698"/>
      <c r="ED101" s="712"/>
      <c r="EE101" s="712"/>
      <c r="EF101" s="712"/>
      <c r="EG101" s="712"/>
      <c r="EH101" s="698"/>
      <c r="EI101" s="712"/>
      <c r="EJ101" s="712"/>
      <c r="EK101" s="712"/>
      <c r="EL101" s="712"/>
      <c r="EM101" s="698"/>
      <c r="EN101" s="712"/>
      <c r="EO101" s="712"/>
      <c r="EP101" s="712"/>
      <c r="EQ101" s="712"/>
      <c r="ER101" s="698"/>
    </row>
    <row r="102" spans="2:148" s="696" customFormat="1">
      <c r="B102" s="232" t="s">
        <v>1017</v>
      </c>
      <c r="C102" s="698"/>
      <c r="D102" s="352"/>
      <c r="E102" s="352"/>
      <c r="F102" s="352"/>
      <c r="G102" s="352"/>
      <c r="H102" s="698"/>
      <c r="I102" s="352"/>
      <c r="J102" s="352"/>
      <c r="K102" s="352"/>
      <c r="L102" s="352"/>
      <c r="M102" s="698"/>
      <c r="N102" s="352"/>
      <c r="O102" s="352"/>
      <c r="P102" s="352"/>
      <c r="Q102" s="352"/>
      <c r="R102" s="698"/>
      <c r="S102" s="352"/>
      <c r="T102" s="352"/>
      <c r="U102" s="352"/>
      <c r="V102" s="352"/>
      <c r="W102" s="698"/>
      <c r="X102" s="352"/>
      <c r="Y102" s="352"/>
      <c r="Z102" s="352"/>
      <c r="AA102" s="352"/>
      <c r="AB102" s="698"/>
      <c r="AC102" s="352"/>
      <c r="AD102" s="352"/>
      <c r="AE102" s="352"/>
      <c r="AF102" s="352"/>
      <c r="AG102" s="698"/>
      <c r="AH102" s="352"/>
      <c r="AI102" s="352"/>
      <c r="AJ102" s="352"/>
      <c r="AK102" s="352"/>
      <c r="AL102" s="698"/>
      <c r="AM102" s="352"/>
      <c r="AN102" s="352"/>
      <c r="AO102" s="352"/>
      <c r="AP102" s="352"/>
      <c r="AQ102" s="698"/>
      <c r="AR102" s="352"/>
      <c r="AS102" s="352"/>
      <c r="AT102" s="352"/>
      <c r="AU102" s="352"/>
      <c r="AV102" s="698"/>
      <c r="AW102" s="352"/>
      <c r="AX102" s="352"/>
      <c r="AY102" s="352"/>
      <c r="AZ102" s="352"/>
      <c r="BA102" s="698"/>
      <c r="BB102" s="712"/>
      <c r="BC102" s="712"/>
      <c r="BD102" s="712"/>
      <c r="BE102" s="712"/>
      <c r="BF102" s="698"/>
      <c r="BG102" s="712"/>
      <c r="BH102" s="712"/>
      <c r="BI102" s="712"/>
      <c r="BJ102" s="712"/>
      <c r="BK102" s="698"/>
      <c r="BL102" s="712"/>
      <c r="BM102" s="712"/>
      <c r="BN102" s="712"/>
      <c r="BO102" s="712"/>
      <c r="BP102" s="698"/>
      <c r="BQ102" s="712"/>
      <c r="BR102" s="712"/>
      <c r="BS102" s="356"/>
      <c r="BT102" s="712"/>
      <c r="BU102" s="698"/>
      <c r="BV102" s="712"/>
      <c r="BW102" s="712"/>
      <c r="BX102" s="712"/>
      <c r="BY102" s="712"/>
      <c r="BZ102" s="698"/>
      <c r="CA102" s="712"/>
      <c r="CB102" s="712"/>
      <c r="CC102" s="712"/>
      <c r="CD102" s="712"/>
      <c r="CE102" s="698"/>
      <c r="CF102" s="712"/>
      <c r="CG102" s="712"/>
      <c r="CH102" s="712"/>
      <c r="CI102" s="712"/>
      <c r="CJ102" s="698">
        <f>SUM(CJ103:CJ105)</f>
        <v>0</v>
      </c>
      <c r="CK102" s="712"/>
      <c r="CL102" s="712"/>
      <c r="CM102" s="712"/>
      <c r="CN102" s="712"/>
      <c r="CO102" s="698">
        <f>SUM(CO103:CO105)</f>
        <v>0</v>
      </c>
      <c r="CP102" s="712"/>
      <c r="CQ102" s="712"/>
      <c r="CR102" s="712"/>
      <c r="CS102" s="712"/>
      <c r="CT102" s="698">
        <f>SUM(CT103:CT105)</f>
        <v>0</v>
      </c>
      <c r="CU102" s="712"/>
      <c r="CV102" s="712"/>
      <c r="CW102" s="712"/>
      <c r="CX102" s="712"/>
      <c r="CY102" s="698">
        <f>SUM(CY103:CY105)</f>
        <v>8.0437500000000008E-4</v>
      </c>
      <c r="CZ102" s="712"/>
      <c r="DA102" s="712"/>
      <c r="DB102" s="712"/>
      <c r="DC102" s="712"/>
      <c r="DD102" s="698">
        <f>SUM(DD103:DD105)</f>
        <v>2.8153125000000001E-3</v>
      </c>
      <c r="DE102" s="712"/>
      <c r="DF102" s="712"/>
      <c r="DG102" s="712"/>
      <c r="DH102" s="712"/>
      <c r="DI102" s="698">
        <f>SUM(DI103:DI105)</f>
        <v>6.7366406250000009E-3</v>
      </c>
      <c r="DJ102" s="712"/>
      <c r="DK102" s="712"/>
      <c r="DL102" s="712"/>
      <c r="DM102" s="712"/>
      <c r="DN102" s="698">
        <f>SUM(DN103:DN105)</f>
        <v>1.459940625E-2</v>
      </c>
      <c r="DO102" s="712"/>
      <c r="DP102" s="712"/>
      <c r="DQ102" s="712"/>
      <c r="DR102" s="712"/>
      <c r="DS102" s="698">
        <f>SUM(DS103:DS105)</f>
        <v>2.384469140625E-2</v>
      </c>
      <c r="DT102" s="712"/>
      <c r="DU102" s="712"/>
      <c r="DV102" s="712"/>
      <c r="DW102" s="712"/>
      <c r="DX102" s="698">
        <f>SUM(DX103:DX105)</f>
        <v>2.9247075000000004E-2</v>
      </c>
      <c r="DY102" s="712"/>
      <c r="DZ102" s="712"/>
      <c r="EA102" s="712"/>
      <c r="EB102" s="712"/>
      <c r="EC102" s="698">
        <f>SUM(EC103:EC105)</f>
        <v>3.1221976500000005E-2</v>
      </c>
      <c r="ED102" s="712"/>
      <c r="EE102" s="712"/>
      <c r="EF102" s="712"/>
      <c r="EG102" s="712"/>
      <c r="EH102" s="698">
        <f>SUM(EH103:EH105)</f>
        <v>3.2020161030000008E-2</v>
      </c>
      <c r="EI102" s="712"/>
      <c r="EJ102" s="712"/>
      <c r="EK102" s="712"/>
      <c r="EL102" s="712"/>
      <c r="EM102" s="698">
        <f>SUM(EM103:EM105)</f>
        <v>3.2660564250600009E-2</v>
      </c>
      <c r="EN102" s="712"/>
      <c r="EO102" s="712"/>
      <c r="EP102" s="712"/>
      <c r="EQ102" s="712"/>
      <c r="ER102" s="698">
        <f>SUM(ER103:ER105)</f>
        <v>3.331377553561201E-2</v>
      </c>
    </row>
    <row r="103" spans="2:148" s="696" customFormat="1">
      <c r="B103" s="699" t="s">
        <v>79</v>
      </c>
      <c r="C103" s="698"/>
      <c r="D103" s="352"/>
      <c r="E103" s="352"/>
      <c r="F103" s="352"/>
      <c r="G103" s="352"/>
      <c r="H103" s="698"/>
      <c r="I103" s="352"/>
      <c r="J103" s="352"/>
      <c r="K103" s="352"/>
      <c r="L103" s="352"/>
      <c r="M103" s="698"/>
      <c r="N103" s="352"/>
      <c r="O103" s="352"/>
      <c r="P103" s="352"/>
      <c r="Q103" s="352"/>
      <c r="R103" s="698"/>
      <c r="S103" s="352"/>
      <c r="T103" s="352"/>
      <c r="U103" s="352"/>
      <c r="V103" s="352"/>
      <c r="W103" s="698"/>
      <c r="X103" s="352"/>
      <c r="Y103" s="352"/>
      <c r="Z103" s="352"/>
      <c r="AA103" s="352"/>
      <c r="AB103" s="698"/>
      <c r="AC103" s="352"/>
      <c r="AD103" s="352"/>
      <c r="AE103" s="352"/>
      <c r="AF103" s="352"/>
      <c r="AG103" s="698"/>
      <c r="AH103" s="352"/>
      <c r="AI103" s="352"/>
      <c r="AJ103" s="352"/>
      <c r="AK103" s="352"/>
      <c r="AL103" s="698"/>
      <c r="AM103" s="352"/>
      <c r="AN103" s="352"/>
      <c r="AO103" s="352"/>
      <c r="AP103" s="352"/>
      <c r="AQ103" s="698"/>
      <c r="AR103" s="352"/>
      <c r="AS103" s="352"/>
      <c r="AT103" s="352"/>
      <c r="AU103" s="352"/>
      <c r="AV103" s="698"/>
      <c r="AW103" s="352"/>
      <c r="AX103" s="352"/>
      <c r="AY103" s="352"/>
      <c r="AZ103" s="352"/>
      <c r="BA103" s="698"/>
      <c r="BB103" s="712"/>
      <c r="BC103" s="712"/>
      <c r="BD103" s="712"/>
      <c r="BE103" s="712"/>
      <c r="BF103" s="698"/>
      <c r="BG103" s="712"/>
      <c r="BH103" s="712"/>
      <c r="BI103" s="712"/>
      <c r="BJ103" s="712"/>
      <c r="BK103" s="698"/>
      <c r="BL103" s="712"/>
      <c r="BM103" s="712"/>
      <c r="BN103" s="712"/>
      <c r="BO103" s="712"/>
      <c r="BP103" s="698"/>
      <c r="BQ103" s="712"/>
      <c r="BR103" s="712"/>
      <c r="BS103" s="356"/>
      <c r="BT103" s="712"/>
      <c r="BU103" s="698"/>
      <c r="BV103" s="712"/>
      <c r="BW103" s="712"/>
      <c r="BX103" s="712"/>
      <c r="BY103" s="712"/>
      <c r="BZ103" s="698"/>
      <c r="CA103" s="712"/>
      <c r="CB103" s="712"/>
      <c r="CC103" s="712"/>
      <c r="CD103" s="712"/>
      <c r="CE103" s="698"/>
      <c r="CF103" s="712"/>
      <c r="CG103" s="712"/>
      <c r="CH103" s="712"/>
      <c r="CI103" s="712"/>
      <c r="CJ103" s="696">
        <f>'US BCMA'!G33</f>
        <v>0</v>
      </c>
      <c r="CK103" s="711"/>
      <c r="CL103" s="711"/>
      <c r="CM103" s="711"/>
      <c r="CN103" s="711"/>
      <c r="CO103" s="696">
        <f>'US BCMA'!H33</f>
        <v>0</v>
      </c>
      <c r="CP103" s="711"/>
      <c r="CQ103" s="711"/>
      <c r="CR103" s="711"/>
      <c r="CS103" s="711"/>
      <c r="CT103" s="696">
        <f>'US BCMA'!I33</f>
        <v>0</v>
      </c>
      <c r="CU103" s="711"/>
      <c r="CV103" s="711"/>
      <c r="CW103" s="711"/>
      <c r="CX103" s="711"/>
      <c r="CY103" s="696">
        <f>'US BCMA'!J33</f>
        <v>8.0437500000000008E-4</v>
      </c>
      <c r="CZ103" s="711"/>
      <c r="DA103" s="711"/>
      <c r="DB103" s="711"/>
      <c r="DC103" s="711"/>
      <c r="DD103" s="696">
        <f>'US BCMA'!K33</f>
        <v>2.4131249999999999E-3</v>
      </c>
      <c r="DE103" s="711"/>
      <c r="DF103" s="711"/>
      <c r="DG103" s="711"/>
      <c r="DH103" s="711"/>
      <c r="DI103" s="696">
        <f>'US BCMA'!L33</f>
        <v>5.4295312500000003E-3</v>
      </c>
      <c r="DJ103" s="711"/>
      <c r="DK103" s="711"/>
      <c r="DL103" s="711"/>
      <c r="DM103" s="711"/>
      <c r="DN103" s="696">
        <f>'US BCMA'!M33</f>
        <v>1.1583E-2</v>
      </c>
      <c r="DO103" s="711"/>
      <c r="DP103" s="711"/>
      <c r="DQ103" s="711"/>
      <c r="DR103" s="711"/>
      <c r="DS103" s="696">
        <f>'US BCMA'!N33</f>
        <v>1.7374500000000001E-2</v>
      </c>
      <c r="DT103" s="711"/>
      <c r="DU103" s="711"/>
      <c r="DV103" s="711"/>
      <c r="DW103" s="711"/>
      <c r="DX103" s="696">
        <f>'US BCMA'!O33</f>
        <v>1.9111950000000003E-2</v>
      </c>
      <c r="DY103" s="711"/>
      <c r="DZ103" s="711"/>
      <c r="EA103" s="711"/>
      <c r="EB103" s="711"/>
      <c r="EC103" s="696">
        <f>'US BCMA'!P33</f>
        <v>1.9494189000000002E-2</v>
      </c>
      <c r="ED103" s="711"/>
      <c r="EE103" s="711"/>
      <c r="EF103" s="711"/>
      <c r="EG103" s="711"/>
      <c r="EH103" s="696">
        <f>'US BCMA'!Q33</f>
        <v>1.9884072780000005E-2</v>
      </c>
      <c r="EI103" s="711"/>
      <c r="EJ103" s="711"/>
      <c r="EK103" s="711"/>
      <c r="EL103" s="711"/>
      <c r="EM103" s="696">
        <f>'US BCMA'!R33</f>
        <v>2.0281754235600007E-2</v>
      </c>
      <c r="EN103" s="711"/>
      <c r="EO103" s="711"/>
      <c r="EP103" s="711"/>
      <c r="EQ103" s="711"/>
      <c r="ER103" s="696">
        <f>'US BCMA'!S33</f>
        <v>2.0687389320312007E-2</v>
      </c>
    </row>
    <row r="104" spans="2:148" s="696" customFormat="1">
      <c r="B104" s="699" t="s">
        <v>80</v>
      </c>
      <c r="C104" s="698"/>
      <c r="D104" s="352"/>
      <c r="E104" s="352"/>
      <c r="F104" s="352"/>
      <c r="G104" s="352"/>
      <c r="H104" s="698"/>
      <c r="I104" s="352"/>
      <c r="J104" s="352"/>
      <c r="K104" s="352"/>
      <c r="L104" s="352"/>
      <c r="M104" s="698"/>
      <c r="N104" s="352"/>
      <c r="O104" s="352"/>
      <c r="P104" s="352"/>
      <c r="Q104" s="352"/>
      <c r="R104" s="698"/>
      <c r="S104" s="352"/>
      <c r="T104" s="352"/>
      <c r="U104" s="352"/>
      <c r="V104" s="352"/>
      <c r="W104" s="698"/>
      <c r="X104" s="352"/>
      <c r="Y104" s="352"/>
      <c r="Z104" s="352"/>
      <c r="AA104" s="352"/>
      <c r="AB104" s="698"/>
      <c r="AC104" s="352"/>
      <c r="AD104" s="352"/>
      <c r="AE104" s="352"/>
      <c r="AF104" s="352"/>
      <c r="AG104" s="698"/>
      <c r="AH104" s="352"/>
      <c r="AI104" s="352"/>
      <c r="AJ104" s="352"/>
      <c r="AK104" s="352"/>
      <c r="AL104" s="698"/>
      <c r="AM104" s="352"/>
      <c r="AN104" s="352"/>
      <c r="AO104" s="352"/>
      <c r="AP104" s="352"/>
      <c r="AQ104" s="698"/>
      <c r="AR104" s="352"/>
      <c r="AS104" s="352"/>
      <c r="AT104" s="352"/>
      <c r="AU104" s="352"/>
      <c r="AV104" s="698"/>
      <c r="AW104" s="352"/>
      <c r="AX104" s="352"/>
      <c r="AY104" s="352"/>
      <c r="AZ104" s="352"/>
      <c r="BA104" s="698"/>
      <c r="BB104" s="712"/>
      <c r="BC104" s="712"/>
      <c r="BD104" s="712"/>
      <c r="BE104" s="712"/>
      <c r="BF104" s="698"/>
      <c r="BG104" s="712"/>
      <c r="BH104" s="712"/>
      <c r="BI104" s="712"/>
      <c r="BJ104" s="712"/>
      <c r="BK104" s="698"/>
      <c r="BL104" s="712"/>
      <c r="BM104" s="712"/>
      <c r="BN104" s="712"/>
      <c r="BO104" s="712"/>
      <c r="BP104" s="698"/>
      <c r="BQ104" s="712"/>
      <c r="BR104" s="712"/>
      <c r="BS104" s="356"/>
      <c r="BT104" s="712"/>
      <c r="BU104" s="698"/>
      <c r="BV104" s="712"/>
      <c r="BW104" s="712"/>
      <c r="BX104" s="712"/>
      <c r="BY104" s="712"/>
      <c r="BZ104" s="698"/>
      <c r="CA104" s="712"/>
      <c r="CB104" s="712"/>
      <c r="CC104" s="712"/>
      <c r="CD104" s="712"/>
      <c r="CE104" s="698"/>
      <c r="CF104" s="712"/>
      <c r="CG104" s="712"/>
      <c r="CH104" s="712"/>
      <c r="CI104" s="712"/>
      <c r="CJ104" s="698"/>
      <c r="CK104" s="712"/>
      <c r="CL104" s="712"/>
      <c r="CM104" s="712"/>
      <c r="CN104" s="712"/>
      <c r="CO104" s="698"/>
      <c r="CP104" s="712"/>
      <c r="CQ104" s="712"/>
      <c r="CR104" s="712"/>
      <c r="CS104" s="712"/>
      <c r="CT104" s="698"/>
      <c r="CU104" s="712"/>
      <c r="CV104" s="712"/>
      <c r="CW104" s="712"/>
      <c r="CX104" s="712"/>
      <c r="CY104" s="696">
        <f>CT103*0.5</f>
        <v>0</v>
      </c>
      <c r="CZ104" s="712"/>
      <c r="DA104" s="712"/>
      <c r="DB104" s="712"/>
      <c r="DC104" s="712"/>
      <c r="DD104" s="696">
        <f>CY103*0.5</f>
        <v>4.0218750000000004E-4</v>
      </c>
      <c r="DE104" s="712"/>
      <c r="DF104" s="712"/>
      <c r="DG104" s="712"/>
      <c r="DH104" s="712"/>
      <c r="DI104" s="696">
        <f>DD103*0.5</f>
        <v>1.2065625E-3</v>
      </c>
      <c r="DJ104" s="712"/>
      <c r="DK104" s="712"/>
      <c r="DL104" s="712"/>
      <c r="DM104" s="712"/>
      <c r="DN104" s="696">
        <f>DI103*0.5</f>
        <v>2.7147656250000002E-3</v>
      </c>
      <c r="DO104" s="712"/>
      <c r="DP104" s="712"/>
      <c r="DQ104" s="712"/>
      <c r="DR104" s="712"/>
      <c r="DS104" s="696">
        <f>DN103*0.5</f>
        <v>5.7914999999999998E-3</v>
      </c>
      <c r="DT104" s="712"/>
      <c r="DU104" s="712"/>
      <c r="DV104" s="712"/>
      <c r="DW104" s="712"/>
      <c r="DX104" s="696">
        <f>DS103*0.5</f>
        <v>8.6872500000000005E-3</v>
      </c>
      <c r="DY104" s="712"/>
      <c r="DZ104" s="712"/>
      <c r="EA104" s="712"/>
      <c r="EB104" s="712"/>
      <c r="EC104" s="696">
        <f>DX103*0.5</f>
        <v>9.5559750000000013E-3</v>
      </c>
      <c r="ED104" s="712"/>
      <c r="EE104" s="712"/>
      <c r="EF104" s="712"/>
      <c r="EG104" s="712"/>
      <c r="EH104" s="696">
        <f>EC103*0.5</f>
        <v>9.747094500000001E-3</v>
      </c>
      <c r="EI104" s="712"/>
      <c r="EJ104" s="712"/>
      <c r="EK104" s="712"/>
      <c r="EL104" s="712"/>
      <c r="EM104" s="696">
        <f>EH103*0.5</f>
        <v>9.9420363900000024E-3</v>
      </c>
      <c r="EN104" s="712"/>
      <c r="EO104" s="712"/>
      <c r="EP104" s="712"/>
      <c r="EQ104" s="712"/>
      <c r="ER104" s="696">
        <f>EM103*0.5</f>
        <v>1.0140877117800004E-2</v>
      </c>
    </row>
    <row r="105" spans="2:148" s="696" customFormat="1">
      <c r="B105" s="699" t="s">
        <v>81</v>
      </c>
      <c r="C105" s="698"/>
      <c r="D105" s="352"/>
      <c r="E105" s="352"/>
      <c r="F105" s="352"/>
      <c r="G105" s="352"/>
      <c r="H105" s="698"/>
      <c r="I105" s="352"/>
      <c r="J105" s="352"/>
      <c r="K105" s="352"/>
      <c r="L105" s="352"/>
      <c r="M105" s="698"/>
      <c r="N105" s="352"/>
      <c r="O105" s="352"/>
      <c r="P105" s="352"/>
      <c r="Q105" s="352"/>
      <c r="R105" s="698"/>
      <c r="S105" s="352"/>
      <c r="T105" s="352"/>
      <c r="U105" s="352"/>
      <c r="V105" s="352"/>
      <c r="W105" s="698"/>
      <c r="X105" s="352"/>
      <c r="Y105" s="352"/>
      <c r="Z105" s="352"/>
      <c r="AA105" s="352"/>
      <c r="AB105" s="698"/>
      <c r="AC105" s="352"/>
      <c r="AD105" s="352"/>
      <c r="AE105" s="352"/>
      <c r="AF105" s="352"/>
      <c r="AG105" s="698"/>
      <c r="AH105" s="352"/>
      <c r="AI105" s="352"/>
      <c r="AJ105" s="352"/>
      <c r="AK105" s="352"/>
      <c r="AL105" s="698"/>
      <c r="AM105" s="352"/>
      <c r="AN105" s="352"/>
      <c r="AO105" s="352"/>
      <c r="AP105" s="352"/>
      <c r="AQ105" s="698"/>
      <c r="AR105" s="352"/>
      <c r="AS105" s="352"/>
      <c r="AT105" s="352"/>
      <c r="AU105" s="352"/>
      <c r="AV105" s="698"/>
      <c r="AW105" s="352"/>
      <c r="AX105" s="352"/>
      <c r="AY105" s="352"/>
      <c r="AZ105" s="352"/>
      <c r="BA105" s="698"/>
      <c r="BB105" s="712"/>
      <c r="BC105" s="712"/>
      <c r="BD105" s="712"/>
      <c r="BE105" s="712"/>
      <c r="BF105" s="698"/>
      <c r="BG105" s="712"/>
      <c r="BH105" s="712"/>
      <c r="BI105" s="712"/>
      <c r="BJ105" s="712"/>
      <c r="BK105" s="698"/>
      <c r="BL105" s="712"/>
      <c r="BM105" s="712"/>
      <c r="BN105" s="712"/>
      <c r="BO105" s="712"/>
      <c r="BP105" s="698"/>
      <c r="BQ105" s="712"/>
      <c r="BR105" s="712"/>
      <c r="BS105" s="356"/>
      <c r="BT105" s="712"/>
      <c r="BU105" s="698"/>
      <c r="BV105" s="712"/>
      <c r="BW105" s="712"/>
      <c r="BX105" s="712"/>
      <c r="BY105" s="712"/>
      <c r="BZ105" s="698"/>
      <c r="CA105" s="712"/>
      <c r="CB105" s="712"/>
      <c r="CC105" s="712"/>
      <c r="CD105" s="712"/>
      <c r="CE105" s="698"/>
      <c r="CF105" s="712"/>
      <c r="CG105" s="712"/>
      <c r="CH105" s="712"/>
      <c r="CI105" s="712"/>
      <c r="CJ105" s="698"/>
      <c r="CK105" s="712"/>
      <c r="CL105" s="712"/>
      <c r="CM105" s="712"/>
      <c r="CN105" s="712"/>
      <c r="CO105" s="698"/>
      <c r="CP105" s="712"/>
      <c r="CQ105" s="712"/>
      <c r="CR105" s="712"/>
      <c r="CS105" s="712"/>
      <c r="CT105" s="698"/>
      <c r="CU105" s="712"/>
      <c r="CV105" s="712"/>
      <c r="CW105" s="712"/>
      <c r="CX105" s="712"/>
      <c r="CY105" s="696">
        <f>CT104*0.25</f>
        <v>0</v>
      </c>
      <c r="CZ105" s="712"/>
      <c r="DA105" s="712"/>
      <c r="DB105" s="712"/>
      <c r="DC105" s="712"/>
      <c r="DD105" s="696">
        <f>CY104*0.25</f>
        <v>0</v>
      </c>
      <c r="DE105" s="712"/>
      <c r="DF105" s="712"/>
      <c r="DG105" s="712"/>
      <c r="DH105" s="712"/>
      <c r="DI105" s="696">
        <f>DD104*0.25</f>
        <v>1.0054687500000001E-4</v>
      </c>
      <c r="DJ105" s="712"/>
      <c r="DK105" s="712"/>
      <c r="DL105" s="712"/>
      <c r="DM105" s="712"/>
      <c r="DN105" s="696">
        <f>DI104*0.25</f>
        <v>3.0164062499999999E-4</v>
      </c>
      <c r="DO105" s="712"/>
      <c r="DP105" s="712"/>
      <c r="DQ105" s="712"/>
      <c r="DR105" s="712"/>
      <c r="DS105" s="696">
        <f>DN104*0.25</f>
        <v>6.7869140625000004E-4</v>
      </c>
      <c r="DT105" s="712"/>
      <c r="DU105" s="712"/>
      <c r="DV105" s="712"/>
      <c r="DW105" s="712"/>
      <c r="DX105" s="696">
        <f>DS104*0.25</f>
        <v>1.4478749999999999E-3</v>
      </c>
      <c r="DY105" s="712"/>
      <c r="DZ105" s="712"/>
      <c r="EA105" s="712"/>
      <c r="EB105" s="712"/>
      <c r="EC105" s="696">
        <f>DX104*0.25</f>
        <v>2.1718125000000001E-3</v>
      </c>
      <c r="ED105" s="712"/>
      <c r="EE105" s="712"/>
      <c r="EF105" s="712"/>
      <c r="EG105" s="712"/>
      <c r="EH105" s="696">
        <f>EC104*0.25</f>
        <v>2.3889937500000003E-3</v>
      </c>
      <c r="EI105" s="712"/>
      <c r="EJ105" s="712"/>
      <c r="EK105" s="712"/>
      <c r="EL105" s="712"/>
      <c r="EM105" s="696">
        <f>EH104*0.25</f>
        <v>2.4367736250000003E-3</v>
      </c>
      <c r="EN105" s="712"/>
      <c r="EO105" s="712"/>
      <c r="EP105" s="712"/>
      <c r="EQ105" s="712"/>
      <c r="ER105" s="696">
        <f>EM104*0.25</f>
        <v>2.4855090975000006E-3</v>
      </c>
    </row>
    <row r="106" spans="2:148" s="696" customFormat="1">
      <c r="B106" s="699"/>
      <c r="C106" s="698"/>
      <c r="D106" s="352"/>
      <c r="E106" s="352"/>
      <c r="F106" s="352"/>
      <c r="G106" s="352"/>
      <c r="H106" s="698"/>
      <c r="I106" s="352"/>
      <c r="J106" s="352"/>
      <c r="K106" s="352"/>
      <c r="L106" s="352"/>
      <c r="M106" s="698"/>
      <c r="N106" s="352"/>
      <c r="O106" s="352"/>
      <c r="P106" s="352"/>
      <c r="Q106" s="352"/>
      <c r="R106" s="698"/>
      <c r="S106" s="352"/>
      <c r="T106" s="352"/>
      <c r="U106" s="352"/>
      <c r="V106" s="352"/>
      <c r="W106" s="698"/>
      <c r="X106" s="352"/>
      <c r="Y106" s="352"/>
      <c r="Z106" s="352"/>
      <c r="AA106" s="352"/>
      <c r="AB106" s="698"/>
      <c r="AC106" s="352"/>
      <c r="AD106" s="352"/>
      <c r="AE106" s="352"/>
      <c r="AF106" s="352"/>
      <c r="AG106" s="698"/>
      <c r="AH106" s="352"/>
      <c r="AI106" s="352"/>
      <c r="AJ106" s="352"/>
      <c r="AK106" s="352"/>
      <c r="AL106" s="698"/>
      <c r="AM106" s="352"/>
      <c r="AN106" s="352"/>
      <c r="AO106" s="352"/>
      <c r="AP106" s="352"/>
      <c r="AQ106" s="698"/>
      <c r="AR106" s="352"/>
      <c r="AS106" s="352"/>
      <c r="AT106" s="352"/>
      <c r="AU106" s="352"/>
      <c r="AV106" s="698"/>
      <c r="AW106" s="352"/>
      <c r="AX106" s="352"/>
      <c r="AY106" s="352"/>
      <c r="AZ106" s="352"/>
      <c r="BA106" s="698"/>
      <c r="BB106" s="712"/>
      <c r="BC106" s="712"/>
      <c r="BD106" s="712"/>
      <c r="BE106" s="712"/>
      <c r="BF106" s="698"/>
      <c r="BG106" s="712"/>
      <c r="BH106" s="712"/>
      <c r="BI106" s="712"/>
      <c r="BJ106" s="712"/>
      <c r="BK106" s="698"/>
      <c r="BL106" s="712"/>
      <c r="BM106" s="712"/>
      <c r="BN106" s="712"/>
      <c r="BO106" s="712"/>
      <c r="BP106" s="698"/>
      <c r="BQ106" s="712"/>
      <c r="BR106" s="712"/>
      <c r="BS106" s="356"/>
      <c r="BT106" s="712"/>
      <c r="BU106" s="698"/>
      <c r="BV106" s="712"/>
      <c r="BW106" s="712"/>
      <c r="BX106" s="712"/>
      <c r="BY106" s="712"/>
      <c r="BZ106" s="698"/>
      <c r="CA106" s="712"/>
      <c r="CB106" s="712"/>
      <c r="CC106" s="712"/>
      <c r="CD106" s="712"/>
      <c r="CE106" s="698"/>
      <c r="CF106" s="712"/>
      <c r="CG106" s="712"/>
      <c r="CH106" s="712"/>
      <c r="CI106" s="712"/>
      <c r="CJ106" s="698"/>
      <c r="CK106" s="712"/>
      <c r="CL106" s="712"/>
      <c r="CM106" s="712"/>
      <c r="CN106" s="712"/>
      <c r="CO106" s="698"/>
      <c r="CP106" s="712"/>
      <c r="CQ106" s="712"/>
      <c r="CR106" s="712"/>
      <c r="CS106" s="712"/>
      <c r="CT106" s="698"/>
      <c r="CU106" s="712"/>
      <c r="CV106" s="712"/>
      <c r="CW106" s="712"/>
      <c r="CX106" s="712"/>
      <c r="CY106" s="698"/>
      <c r="CZ106" s="712"/>
      <c r="DA106" s="712"/>
      <c r="DB106" s="712"/>
      <c r="DC106" s="712"/>
      <c r="DD106" s="698"/>
      <c r="DE106" s="712"/>
      <c r="DF106" s="712"/>
      <c r="DG106" s="712"/>
      <c r="DH106" s="712"/>
      <c r="DI106" s="698"/>
      <c r="DJ106" s="712"/>
      <c r="DK106" s="712"/>
      <c r="DL106" s="712"/>
      <c r="DM106" s="712"/>
      <c r="DN106" s="698"/>
      <c r="DO106" s="712"/>
      <c r="DP106" s="712"/>
      <c r="DQ106" s="712"/>
      <c r="DR106" s="712"/>
      <c r="DS106" s="698"/>
      <c r="DT106" s="712"/>
      <c r="DU106" s="712"/>
      <c r="DV106" s="712"/>
      <c r="DW106" s="712"/>
      <c r="DX106" s="698"/>
      <c r="DY106" s="712"/>
      <c r="DZ106" s="712"/>
      <c r="EA106" s="712"/>
      <c r="EB106" s="712"/>
      <c r="EC106" s="698"/>
      <c r="ED106" s="712"/>
      <c r="EE106" s="712"/>
      <c r="EF106" s="712"/>
      <c r="EG106" s="712"/>
      <c r="EH106" s="698"/>
      <c r="EI106" s="712"/>
      <c r="EJ106" s="712"/>
      <c r="EK106" s="712"/>
      <c r="EL106" s="712"/>
      <c r="EM106" s="698"/>
      <c r="EN106" s="712"/>
      <c r="EO106" s="712"/>
      <c r="EP106" s="712"/>
      <c r="EQ106" s="712"/>
      <c r="ER106" s="698"/>
    </row>
    <row r="107" spans="2:148" s="696" customFormat="1">
      <c r="B107" s="232" t="s">
        <v>1090</v>
      </c>
      <c r="C107" s="698"/>
      <c r="D107" s="352"/>
      <c r="E107" s="352"/>
      <c r="F107" s="352"/>
      <c r="G107" s="352"/>
      <c r="H107" s="698"/>
      <c r="I107" s="352"/>
      <c r="J107" s="352"/>
      <c r="K107" s="352"/>
      <c r="L107" s="352"/>
      <c r="M107" s="698"/>
      <c r="N107" s="352"/>
      <c r="O107" s="352"/>
      <c r="P107" s="352"/>
      <c r="Q107" s="352"/>
      <c r="R107" s="698"/>
      <c r="S107" s="352"/>
      <c r="T107" s="352"/>
      <c r="U107" s="352"/>
      <c r="V107" s="352"/>
      <c r="W107" s="698"/>
      <c r="X107" s="352"/>
      <c r="Y107" s="352"/>
      <c r="Z107" s="352"/>
      <c r="AA107" s="352"/>
      <c r="AB107" s="698"/>
      <c r="AC107" s="352"/>
      <c r="AD107" s="352"/>
      <c r="AE107" s="352"/>
      <c r="AF107" s="352"/>
      <c r="AG107" s="698"/>
      <c r="AH107" s="352"/>
      <c r="AI107" s="352"/>
      <c r="AJ107" s="352"/>
      <c r="AK107" s="352"/>
      <c r="AL107" s="698"/>
      <c r="AM107" s="352"/>
      <c r="AN107" s="352"/>
      <c r="AO107" s="352"/>
      <c r="AP107" s="352"/>
      <c r="AQ107" s="698"/>
      <c r="AR107" s="352"/>
      <c r="AS107" s="352"/>
      <c r="AT107" s="352"/>
      <c r="AU107" s="352"/>
      <c r="AV107" s="698"/>
      <c r="AW107" s="352"/>
      <c r="AX107" s="352"/>
      <c r="AY107" s="352"/>
      <c r="AZ107" s="352"/>
      <c r="BA107" s="698"/>
      <c r="BB107" s="712"/>
      <c r="BC107" s="712"/>
      <c r="BD107" s="712"/>
      <c r="BE107" s="712"/>
      <c r="BF107" s="698"/>
      <c r="BG107" s="712"/>
      <c r="BH107" s="712"/>
      <c r="BI107" s="712"/>
      <c r="BJ107" s="712"/>
      <c r="BK107" s="698"/>
      <c r="BL107" s="712"/>
      <c r="BM107" s="712"/>
      <c r="BN107" s="712"/>
      <c r="BO107" s="712"/>
      <c r="BP107" s="698"/>
      <c r="BQ107" s="712"/>
      <c r="BR107" s="712"/>
      <c r="BS107" s="356"/>
      <c r="BT107" s="712"/>
      <c r="BU107" s="698"/>
      <c r="BV107" s="712"/>
      <c r="BW107" s="712"/>
      <c r="BX107" s="712"/>
      <c r="BY107" s="712"/>
      <c r="BZ107" s="698"/>
      <c r="CA107" s="712"/>
      <c r="CB107" s="712"/>
      <c r="CC107" s="712"/>
      <c r="CD107" s="712"/>
      <c r="CE107" s="698"/>
      <c r="CF107" s="712"/>
      <c r="CG107" s="712"/>
      <c r="CH107" s="712"/>
      <c r="CI107" s="712"/>
      <c r="CJ107" s="698">
        <f>CJ108+CJ109</f>
        <v>0</v>
      </c>
      <c r="CK107" s="712"/>
      <c r="CL107" s="712"/>
      <c r="CM107" s="712"/>
      <c r="CN107" s="712"/>
      <c r="CO107" s="698">
        <f>CO108+CO109</f>
        <v>150.04984091088622</v>
      </c>
      <c r="CP107" s="712"/>
      <c r="CQ107" s="712"/>
      <c r="CR107" s="712"/>
      <c r="CS107" s="712"/>
      <c r="CT107" s="698">
        <f>CT108+CT109</f>
        <v>372.84643609017576</v>
      </c>
      <c r="CU107" s="712"/>
      <c r="CV107" s="712"/>
      <c r="CW107" s="712"/>
      <c r="CX107" s="712"/>
      <c r="CY107" s="698">
        <f>CY108+CY109</f>
        <v>739.99037117559556</v>
      </c>
      <c r="CZ107" s="712"/>
      <c r="DA107" s="712"/>
      <c r="DB107" s="712"/>
      <c r="DC107" s="712"/>
      <c r="DD107" s="698">
        <f>DD108+DD109</f>
        <v>1210.2393063630032</v>
      </c>
      <c r="DE107" s="712"/>
      <c r="DF107" s="712"/>
      <c r="DG107" s="712"/>
      <c r="DH107" s="712"/>
      <c r="DI107" s="698">
        <f>DI108+DI109</f>
        <v>1712.3156391425337</v>
      </c>
      <c r="DJ107" s="712"/>
      <c r="DK107" s="712"/>
      <c r="DL107" s="712"/>
      <c r="DM107" s="712"/>
      <c r="DN107" s="698">
        <f>DN108+DN109</f>
        <v>2232.0904818632125</v>
      </c>
      <c r="DO107" s="712"/>
      <c r="DP107" s="712"/>
      <c r="DQ107" s="712"/>
      <c r="DR107" s="712"/>
      <c r="DS107" s="698">
        <f>DS108+DS109</f>
        <v>2492.7140276232253</v>
      </c>
      <c r="DT107" s="712"/>
      <c r="DU107" s="712"/>
      <c r="DV107" s="712"/>
      <c r="DW107" s="712"/>
      <c r="DX107" s="698">
        <f>DX108+DX109</f>
        <v>2633.0264812133573</v>
      </c>
      <c r="DY107" s="712"/>
      <c r="DZ107" s="712"/>
      <c r="EA107" s="712"/>
      <c r="EB107" s="712"/>
      <c r="EC107" s="698">
        <f>EC108+EC109</f>
        <v>2824.5831341530975</v>
      </c>
      <c r="ED107" s="712"/>
      <c r="EE107" s="712"/>
      <c r="EF107" s="712"/>
      <c r="EG107" s="712"/>
      <c r="EH107" s="698">
        <f>EH108+EH109</f>
        <v>2979.3873677870215</v>
      </c>
      <c r="EI107" s="712"/>
      <c r="EJ107" s="712"/>
      <c r="EK107" s="712"/>
      <c r="EL107" s="712"/>
      <c r="EM107" s="698">
        <f>EM108+EM109</f>
        <v>3103.1322668133803</v>
      </c>
      <c r="EN107" s="712"/>
      <c r="EO107" s="712"/>
      <c r="EP107" s="712"/>
      <c r="EQ107" s="712"/>
      <c r="ER107" s="698">
        <f>ER108+ER109</f>
        <v>3276.9455908467839</v>
      </c>
    </row>
    <row r="108" spans="2:148" s="696" customFormat="1">
      <c r="B108" s="699" t="s">
        <v>79</v>
      </c>
      <c r="C108" s="698"/>
      <c r="D108" s="352"/>
      <c r="E108" s="352"/>
      <c r="F108" s="352"/>
      <c r="G108" s="352"/>
      <c r="H108" s="698"/>
      <c r="I108" s="352"/>
      <c r="J108" s="352"/>
      <c r="K108" s="352"/>
      <c r="L108" s="352"/>
      <c r="M108" s="698"/>
      <c r="N108" s="352"/>
      <c r="O108" s="352"/>
      <c r="P108" s="352"/>
      <c r="Q108" s="352"/>
      <c r="R108" s="698"/>
      <c r="S108" s="352"/>
      <c r="T108" s="352"/>
      <c r="U108" s="352"/>
      <c r="V108" s="352"/>
      <c r="W108" s="698"/>
      <c r="X108" s="352"/>
      <c r="Y108" s="352"/>
      <c r="Z108" s="352"/>
      <c r="AA108" s="352"/>
      <c r="AB108" s="698"/>
      <c r="AC108" s="352"/>
      <c r="AD108" s="352"/>
      <c r="AE108" s="352"/>
      <c r="AF108" s="352"/>
      <c r="AG108" s="698"/>
      <c r="AH108" s="352"/>
      <c r="AI108" s="352"/>
      <c r="AJ108" s="352"/>
      <c r="AK108" s="352"/>
      <c r="AL108" s="698"/>
      <c r="AM108" s="352"/>
      <c r="AN108" s="352"/>
      <c r="AO108" s="352"/>
      <c r="AP108" s="352"/>
      <c r="AQ108" s="698"/>
      <c r="AR108" s="352"/>
      <c r="AS108" s="352"/>
      <c r="AT108" s="352"/>
      <c r="AU108" s="352"/>
      <c r="AV108" s="698"/>
      <c r="AW108" s="352"/>
      <c r="AX108" s="352"/>
      <c r="AY108" s="352"/>
      <c r="AZ108" s="352"/>
      <c r="BA108" s="698"/>
      <c r="BB108" s="712"/>
      <c r="BC108" s="712"/>
      <c r="BD108" s="712"/>
      <c r="BE108" s="712"/>
      <c r="BF108" s="698"/>
      <c r="BG108" s="712"/>
      <c r="BH108" s="712"/>
      <c r="BI108" s="712"/>
      <c r="BJ108" s="712"/>
      <c r="BK108" s="698"/>
      <c r="BL108" s="712"/>
      <c r="BM108" s="712"/>
      <c r="BN108" s="712"/>
      <c r="BO108" s="712"/>
      <c r="BP108" s="698"/>
      <c r="BQ108" s="712"/>
      <c r="BR108" s="712"/>
      <c r="BS108" s="356"/>
      <c r="BT108" s="712"/>
      <c r="BU108" s="698"/>
      <c r="BV108" s="712"/>
      <c r="BW108" s="712"/>
      <c r="BX108" s="712"/>
      <c r="BY108" s="712"/>
      <c r="BZ108" s="698"/>
      <c r="CA108" s="712"/>
      <c r="CB108" s="712"/>
      <c r="CC108" s="712"/>
      <c r="CD108" s="712"/>
      <c r="CE108" s="698"/>
      <c r="CF108" s="712"/>
      <c r="CG108" s="712"/>
      <c r="CH108" s="712"/>
      <c r="CI108" s="712"/>
      <c r="CJ108" s="696">
        <f>Crohns!G37+RA!G109</f>
        <v>0</v>
      </c>
      <c r="CK108" s="711"/>
      <c r="CL108" s="711"/>
      <c r="CM108" s="711"/>
      <c r="CN108" s="711"/>
      <c r="CO108" s="696">
        <f>Crohns!H37+RA!H109</f>
        <v>150.04984091088622</v>
      </c>
      <c r="CP108" s="711"/>
      <c r="CQ108" s="711"/>
      <c r="CR108" s="711"/>
      <c r="CS108" s="711"/>
      <c r="CT108" s="696">
        <f>Crohns!I37+RA!I109</f>
        <v>311.09889368331642</v>
      </c>
      <c r="CU108" s="711"/>
      <c r="CV108" s="711"/>
      <c r="CW108" s="711"/>
      <c r="CX108" s="711"/>
      <c r="CY108" s="696">
        <f>Crohns!J37+RA!J109</f>
        <v>622.18052218013565</v>
      </c>
      <c r="CZ108" s="711"/>
      <c r="DA108" s="711"/>
      <c r="DB108" s="711"/>
      <c r="DC108" s="711"/>
      <c r="DD108" s="696">
        <f>Crohns!K37+RA!K109</f>
        <v>983.58187543425197</v>
      </c>
      <c r="DE108" s="711"/>
      <c r="DF108" s="711"/>
      <c r="DG108" s="711"/>
      <c r="DH108" s="711"/>
      <c r="DI108" s="696">
        <f>Crohns!L37+RA!L109</f>
        <v>1375.5471565092453</v>
      </c>
      <c r="DJ108" s="711"/>
      <c r="DK108" s="711"/>
      <c r="DL108" s="711"/>
      <c r="DM108" s="711"/>
      <c r="DN108" s="696">
        <f>Crohns!M37+RA!M109</f>
        <v>1776.4920824412086</v>
      </c>
      <c r="DO108" s="711"/>
      <c r="DP108" s="711"/>
      <c r="DQ108" s="711"/>
      <c r="DR108" s="711"/>
      <c r="DS108" s="696">
        <f>Crohns!N37+RA!N109</f>
        <v>1932.6742575267017</v>
      </c>
      <c r="DT108" s="711"/>
      <c r="DU108" s="711"/>
      <c r="DV108" s="711"/>
      <c r="DW108" s="711"/>
      <c r="DX108" s="696">
        <f>Crohns!O37+RA!O109</f>
        <v>2078.3805486948027</v>
      </c>
      <c r="DY108" s="711"/>
      <c r="DZ108" s="711"/>
      <c r="EA108" s="711"/>
      <c r="EB108" s="711"/>
      <c r="EC108" s="696">
        <f>Crohns!P37+RA!P109</f>
        <v>2268.0514054639793</v>
      </c>
      <c r="ED108" s="711"/>
      <c r="EE108" s="711"/>
      <c r="EF108" s="711"/>
      <c r="EG108" s="711"/>
      <c r="EH108" s="696">
        <f>Crohns!Q37+RA!Q109</f>
        <v>2420.9634312203607</v>
      </c>
      <c r="EI108" s="711"/>
      <c r="EJ108" s="711"/>
      <c r="EK108" s="711"/>
      <c r="EL108" s="711"/>
      <c r="EM108" s="696">
        <f>Crohns!R37+RA!R109</f>
        <v>2550.1823543617475</v>
      </c>
      <c r="EN108" s="711"/>
      <c r="EO108" s="711"/>
      <c r="EP108" s="711"/>
      <c r="EQ108" s="711"/>
      <c r="ER108" s="696">
        <f>Crohns!S37+RA!S109</f>
        <v>2722.1156486928157</v>
      </c>
    </row>
    <row r="109" spans="2:148" s="696" customFormat="1">
      <c r="B109" s="699" t="s">
        <v>1093</v>
      </c>
      <c r="C109" s="698"/>
      <c r="D109" s="352"/>
      <c r="E109" s="352"/>
      <c r="F109" s="352"/>
      <c r="G109" s="352"/>
      <c r="H109" s="698"/>
      <c r="I109" s="352"/>
      <c r="J109" s="352"/>
      <c r="K109" s="352"/>
      <c r="L109" s="352"/>
      <c r="M109" s="698"/>
      <c r="N109" s="352"/>
      <c r="O109" s="352"/>
      <c r="P109" s="352"/>
      <c r="Q109" s="352"/>
      <c r="R109" s="698"/>
      <c r="S109" s="352"/>
      <c r="T109" s="352"/>
      <c r="U109" s="352"/>
      <c r="V109" s="352"/>
      <c r="W109" s="698"/>
      <c r="X109" s="352"/>
      <c r="Y109" s="352"/>
      <c r="Z109" s="352"/>
      <c r="AA109" s="352"/>
      <c r="AB109" s="698"/>
      <c r="AC109" s="352"/>
      <c r="AD109" s="352"/>
      <c r="AE109" s="352"/>
      <c r="AF109" s="352"/>
      <c r="AG109" s="698"/>
      <c r="AH109" s="352"/>
      <c r="AI109" s="352"/>
      <c r="AJ109" s="352"/>
      <c r="AK109" s="352"/>
      <c r="AL109" s="698"/>
      <c r="AM109" s="352"/>
      <c r="AN109" s="352"/>
      <c r="AO109" s="352"/>
      <c r="AP109" s="352"/>
      <c r="AQ109" s="698"/>
      <c r="AR109" s="352"/>
      <c r="AS109" s="352"/>
      <c r="AT109" s="352"/>
      <c r="AU109" s="352"/>
      <c r="AV109" s="698"/>
      <c r="AW109" s="352"/>
      <c r="AX109" s="352"/>
      <c r="AY109" s="352"/>
      <c r="AZ109" s="352"/>
      <c r="BA109" s="698"/>
      <c r="BB109" s="712"/>
      <c r="BC109" s="712"/>
      <c r="BD109" s="712"/>
      <c r="BE109" s="712"/>
      <c r="BF109" s="698"/>
      <c r="BG109" s="712"/>
      <c r="BH109" s="712"/>
      <c r="BI109" s="712"/>
      <c r="BJ109" s="712"/>
      <c r="BK109" s="698"/>
      <c r="BL109" s="712"/>
      <c r="BM109" s="712"/>
      <c r="BN109" s="712"/>
      <c r="BO109" s="712"/>
      <c r="BP109" s="698"/>
      <c r="BQ109" s="712"/>
      <c r="BR109" s="712"/>
      <c r="BS109" s="356"/>
      <c r="BT109" s="712"/>
      <c r="BU109" s="698"/>
      <c r="BV109" s="712"/>
      <c r="BW109" s="712"/>
      <c r="BX109" s="712"/>
      <c r="BY109" s="712"/>
      <c r="BZ109" s="698"/>
      <c r="CA109" s="712"/>
      <c r="CB109" s="712"/>
      <c r="CC109" s="712"/>
      <c r="CD109" s="712"/>
      <c r="CE109" s="698"/>
      <c r="CF109" s="712"/>
      <c r="CG109" s="712"/>
      <c r="CH109" s="712"/>
      <c r="CI109" s="712"/>
      <c r="CJ109" s="696">
        <f>RA!G110</f>
        <v>0</v>
      </c>
      <c r="CK109" s="711"/>
      <c r="CL109" s="711"/>
      <c r="CM109" s="711"/>
      <c r="CN109" s="711"/>
      <c r="CO109" s="696">
        <f>RA!H110</f>
        <v>0</v>
      </c>
      <c r="CP109" s="711"/>
      <c r="CQ109" s="711"/>
      <c r="CR109" s="711"/>
      <c r="CS109" s="711"/>
      <c r="CT109" s="696">
        <f>RA!I110</f>
        <v>61.747542406859317</v>
      </c>
      <c r="CU109" s="711"/>
      <c r="CV109" s="711"/>
      <c r="CW109" s="711"/>
      <c r="CX109" s="711"/>
      <c r="CY109" s="696">
        <f>RA!J110</f>
        <v>117.80984899545994</v>
      </c>
      <c r="CZ109" s="711"/>
      <c r="DA109" s="711"/>
      <c r="DB109" s="711"/>
      <c r="DC109" s="711"/>
      <c r="DD109" s="696">
        <f>RA!K110</f>
        <v>226.65743092875124</v>
      </c>
      <c r="DE109" s="711"/>
      <c r="DF109" s="711"/>
      <c r="DG109" s="711"/>
      <c r="DH109" s="711"/>
      <c r="DI109" s="696">
        <f>RA!L110</f>
        <v>336.76848263328839</v>
      </c>
      <c r="DJ109" s="711"/>
      <c r="DK109" s="711"/>
      <c r="DL109" s="711"/>
      <c r="DM109" s="711"/>
      <c r="DN109" s="696">
        <f>RA!M110</f>
        <v>455.59839942200369</v>
      </c>
      <c r="DO109" s="711"/>
      <c r="DP109" s="711"/>
      <c r="DQ109" s="711"/>
      <c r="DR109" s="711"/>
      <c r="DS109" s="696">
        <f>RA!N110</f>
        <v>560.03977009652351</v>
      </c>
      <c r="DT109" s="711"/>
      <c r="DU109" s="711"/>
      <c r="DV109" s="711"/>
      <c r="DW109" s="711"/>
      <c r="DX109" s="696">
        <f>RA!O110</f>
        <v>554.6459325185549</v>
      </c>
      <c r="DY109" s="711"/>
      <c r="DZ109" s="711"/>
      <c r="EA109" s="711"/>
      <c r="EB109" s="711"/>
      <c r="EC109" s="696">
        <f>RA!P110</f>
        <v>556.53172868911815</v>
      </c>
      <c r="ED109" s="711"/>
      <c r="EE109" s="711"/>
      <c r="EF109" s="711"/>
      <c r="EG109" s="711"/>
      <c r="EH109" s="696">
        <f>RA!Q110</f>
        <v>558.42393656666093</v>
      </c>
      <c r="EI109" s="711"/>
      <c r="EJ109" s="711"/>
      <c r="EK109" s="711"/>
      <c r="EL109" s="711"/>
      <c r="EM109" s="696">
        <f>RA!R110</f>
        <v>552.94991245163271</v>
      </c>
      <c r="EN109" s="711"/>
      <c r="EO109" s="711"/>
      <c r="EP109" s="711"/>
      <c r="EQ109" s="711"/>
      <c r="ER109" s="696">
        <f>RA!S110</f>
        <v>554.82994215396832</v>
      </c>
    </row>
    <row r="110" spans="2:148" s="696" customFormat="1">
      <c r="B110" s="699"/>
      <c r="C110" s="698"/>
      <c r="D110" s="352"/>
      <c r="E110" s="352"/>
      <c r="F110" s="352"/>
      <c r="G110" s="352"/>
      <c r="H110" s="698"/>
      <c r="I110" s="352"/>
      <c r="J110" s="352"/>
      <c r="K110" s="352"/>
      <c r="L110" s="352"/>
      <c r="M110" s="698"/>
      <c r="N110" s="352"/>
      <c r="O110" s="352"/>
      <c r="P110" s="352"/>
      <c r="Q110" s="352"/>
      <c r="R110" s="698"/>
      <c r="S110" s="352"/>
      <c r="T110" s="352"/>
      <c r="U110" s="352"/>
      <c r="V110" s="352"/>
      <c r="W110" s="698"/>
      <c r="X110" s="352"/>
      <c r="Y110" s="352"/>
      <c r="Z110" s="352"/>
      <c r="AA110" s="352"/>
      <c r="AB110" s="698"/>
      <c r="AC110" s="352"/>
      <c r="AD110" s="352"/>
      <c r="AE110" s="352"/>
      <c r="AF110" s="352"/>
      <c r="AG110" s="698"/>
      <c r="AH110" s="352"/>
      <c r="AI110" s="352"/>
      <c r="AJ110" s="352"/>
      <c r="AK110" s="352"/>
      <c r="AL110" s="698"/>
      <c r="AM110" s="352"/>
      <c r="AN110" s="352"/>
      <c r="AO110" s="352"/>
      <c r="AP110" s="352"/>
      <c r="AQ110" s="698"/>
      <c r="AR110" s="352"/>
      <c r="AS110" s="352"/>
      <c r="AT110" s="352"/>
      <c r="AU110" s="352"/>
      <c r="AV110" s="698"/>
      <c r="AW110" s="352"/>
      <c r="AX110" s="352"/>
      <c r="AY110" s="352"/>
      <c r="AZ110" s="352"/>
      <c r="BA110" s="698"/>
      <c r="BB110" s="712"/>
      <c r="BC110" s="712"/>
      <c r="BD110" s="712"/>
      <c r="BE110" s="712"/>
      <c r="BF110" s="698"/>
      <c r="BG110" s="712"/>
      <c r="BH110" s="712"/>
      <c r="BI110" s="712"/>
      <c r="BJ110" s="712"/>
      <c r="BK110" s="698"/>
      <c r="BL110" s="712"/>
      <c r="BM110" s="712"/>
      <c r="BN110" s="712"/>
      <c r="BO110" s="712"/>
      <c r="BP110" s="698"/>
      <c r="BQ110" s="712"/>
      <c r="BR110" s="712"/>
      <c r="BS110" s="356"/>
      <c r="BT110" s="712"/>
      <c r="BU110" s="698"/>
      <c r="BV110" s="712"/>
      <c r="BW110" s="712"/>
      <c r="BX110" s="712"/>
      <c r="BY110" s="712"/>
      <c r="BZ110" s="698"/>
      <c r="CA110" s="712"/>
      <c r="CB110" s="712"/>
      <c r="CC110" s="712"/>
      <c r="CD110" s="712"/>
      <c r="CE110" s="698"/>
      <c r="CF110" s="712"/>
      <c r="CG110" s="712"/>
      <c r="CH110" s="712"/>
      <c r="CI110" s="712"/>
      <c r="CJ110" s="698"/>
      <c r="CK110" s="712"/>
      <c r="CL110" s="712"/>
      <c r="CM110" s="712"/>
      <c r="CN110" s="712"/>
      <c r="CO110" s="698"/>
      <c r="CP110" s="712"/>
      <c r="CQ110" s="712"/>
      <c r="CR110" s="712"/>
      <c r="CS110" s="712"/>
      <c r="CT110" s="698"/>
      <c r="CU110" s="712"/>
      <c r="CV110" s="712"/>
      <c r="CW110" s="712"/>
      <c r="CX110" s="712"/>
      <c r="CY110" s="698"/>
      <c r="CZ110" s="712"/>
      <c r="DA110" s="712"/>
      <c r="DB110" s="712"/>
      <c r="DC110" s="712"/>
      <c r="DD110" s="698"/>
      <c r="DE110" s="712"/>
      <c r="DF110" s="712"/>
      <c r="DG110" s="712"/>
      <c r="DH110" s="712"/>
      <c r="DI110" s="698"/>
      <c r="DJ110" s="712"/>
      <c r="DK110" s="712"/>
      <c r="DL110" s="712"/>
      <c r="DM110" s="712"/>
      <c r="DN110" s="698"/>
      <c r="DO110" s="712"/>
      <c r="DP110" s="712"/>
      <c r="DQ110" s="712"/>
      <c r="DR110" s="712"/>
      <c r="DS110" s="698"/>
      <c r="DT110" s="712"/>
      <c r="DU110" s="712"/>
      <c r="DV110" s="712"/>
      <c r="DW110" s="712"/>
      <c r="DX110" s="698"/>
      <c r="DY110" s="712"/>
      <c r="DZ110" s="712"/>
      <c r="EA110" s="712"/>
      <c r="EB110" s="712"/>
      <c r="EC110" s="698"/>
      <c r="ED110" s="712"/>
      <c r="EE110" s="712"/>
      <c r="EF110" s="712"/>
      <c r="EG110" s="712"/>
      <c r="EH110" s="698"/>
      <c r="EI110" s="712"/>
      <c r="EJ110" s="712"/>
      <c r="EK110" s="712"/>
      <c r="EL110" s="712"/>
      <c r="EM110" s="698"/>
      <c r="EN110" s="712"/>
      <c r="EO110" s="712"/>
      <c r="EP110" s="712"/>
      <c r="EQ110" s="712"/>
      <c r="ER110" s="698"/>
    </row>
    <row r="111" spans="2:148" s="696" customFormat="1">
      <c r="B111" s="699"/>
      <c r="C111" s="698"/>
      <c r="D111" s="352"/>
      <c r="E111" s="352"/>
      <c r="F111" s="352"/>
      <c r="G111" s="352"/>
      <c r="H111" s="698"/>
      <c r="I111" s="352"/>
      <c r="J111" s="352"/>
      <c r="K111" s="352"/>
      <c r="L111" s="352"/>
      <c r="M111" s="698"/>
      <c r="N111" s="352"/>
      <c r="O111" s="352"/>
      <c r="P111" s="352"/>
      <c r="Q111" s="352"/>
      <c r="R111" s="698"/>
      <c r="S111" s="352"/>
      <c r="T111" s="352"/>
      <c r="U111" s="352"/>
      <c r="V111" s="352"/>
      <c r="W111" s="698"/>
      <c r="X111" s="352"/>
      <c r="Y111" s="352"/>
      <c r="Z111" s="352"/>
      <c r="AA111" s="352"/>
      <c r="AB111" s="698"/>
      <c r="AC111" s="352"/>
      <c r="AD111" s="352"/>
      <c r="AE111" s="352"/>
      <c r="AF111" s="352"/>
      <c r="AG111" s="698"/>
      <c r="AH111" s="352"/>
      <c r="AI111" s="352"/>
      <c r="AJ111" s="352"/>
      <c r="AK111" s="352"/>
      <c r="AL111" s="698"/>
      <c r="AM111" s="352"/>
      <c r="AN111" s="352"/>
      <c r="AO111" s="352"/>
      <c r="AP111" s="352"/>
      <c r="AQ111" s="698"/>
      <c r="AR111" s="352"/>
      <c r="AS111" s="352"/>
      <c r="AT111" s="352"/>
      <c r="AU111" s="352"/>
      <c r="AV111" s="698"/>
      <c r="AW111" s="352"/>
      <c r="AX111" s="352"/>
      <c r="AY111" s="352"/>
      <c r="AZ111" s="352"/>
      <c r="BA111" s="698"/>
      <c r="BB111" s="712"/>
      <c r="BC111" s="712"/>
      <c r="BD111" s="712"/>
      <c r="BE111" s="712"/>
      <c r="BF111" s="698"/>
      <c r="BG111" s="712"/>
      <c r="BH111" s="712"/>
      <c r="BI111" s="712"/>
      <c r="BJ111" s="712"/>
      <c r="BK111" s="698"/>
      <c r="BL111" s="712"/>
      <c r="BM111" s="712"/>
      <c r="BN111" s="712"/>
      <c r="BO111" s="712"/>
      <c r="BP111" s="698"/>
      <c r="BQ111" s="712"/>
      <c r="BR111" s="712"/>
      <c r="BS111" s="356"/>
      <c r="BT111" s="712"/>
      <c r="BU111" s="698"/>
      <c r="BV111" s="712"/>
      <c r="BW111" s="712"/>
      <c r="BX111" s="712"/>
      <c r="BY111" s="712"/>
      <c r="BZ111" s="698"/>
      <c r="CA111" s="712"/>
      <c r="CB111" s="712"/>
      <c r="CC111" s="712"/>
      <c r="CD111" s="712"/>
      <c r="CE111" s="698"/>
      <c r="CF111" s="712"/>
      <c r="CG111" s="712"/>
      <c r="CH111" s="712"/>
      <c r="CI111" s="712"/>
      <c r="CJ111" s="698"/>
      <c r="CK111" s="712"/>
      <c r="CL111" s="712"/>
      <c r="CM111" s="712"/>
      <c r="CN111" s="712"/>
      <c r="CO111" s="698"/>
      <c r="CP111" s="712"/>
      <c r="CQ111" s="712"/>
      <c r="CR111" s="712"/>
      <c r="CS111" s="712"/>
      <c r="CT111" s="698"/>
      <c r="CU111" s="712"/>
      <c r="CV111" s="712"/>
      <c r="CW111" s="712"/>
      <c r="CX111" s="712"/>
      <c r="CY111" s="698"/>
      <c r="CZ111" s="712"/>
      <c r="DA111" s="712"/>
      <c r="DB111" s="712"/>
      <c r="DC111" s="712"/>
      <c r="DD111" s="698"/>
      <c r="DE111" s="712"/>
      <c r="DF111" s="712"/>
      <c r="DG111" s="712"/>
      <c r="DH111" s="712"/>
      <c r="DI111" s="698"/>
      <c r="DJ111" s="712"/>
      <c r="DK111" s="712"/>
      <c r="DL111" s="712"/>
      <c r="DM111" s="712"/>
      <c r="DN111" s="698"/>
      <c r="DO111" s="712"/>
      <c r="DP111" s="712"/>
      <c r="DQ111" s="712"/>
      <c r="DR111" s="712"/>
      <c r="DS111" s="698"/>
      <c r="DT111" s="712"/>
      <c r="DU111" s="712"/>
      <c r="DV111" s="712"/>
      <c r="DW111" s="712"/>
      <c r="DX111" s="698"/>
      <c r="DY111" s="712"/>
      <c r="DZ111" s="712"/>
      <c r="EA111" s="712"/>
      <c r="EB111" s="712"/>
      <c r="EC111" s="698"/>
      <c r="ED111" s="712"/>
      <c r="EE111" s="712"/>
      <c r="EF111" s="712"/>
      <c r="EG111" s="712"/>
      <c r="EH111" s="698"/>
      <c r="EI111" s="712"/>
      <c r="EJ111" s="712"/>
      <c r="EK111" s="712"/>
      <c r="EL111" s="712"/>
      <c r="EM111" s="698"/>
      <c r="EN111" s="712"/>
      <c r="EO111" s="712"/>
      <c r="EP111" s="712"/>
      <c r="EQ111" s="712"/>
      <c r="ER111" s="698"/>
    </row>
    <row r="112" spans="2:148">
      <c r="B112" s="230" t="s">
        <v>673</v>
      </c>
      <c r="C112" s="230"/>
      <c r="D112" s="352"/>
      <c r="E112" s="352"/>
      <c r="F112" s="352"/>
      <c r="G112" s="352"/>
      <c r="H112" s="230"/>
      <c r="I112" s="352"/>
      <c r="J112" s="352"/>
      <c r="K112" s="352"/>
      <c r="L112" s="352"/>
      <c r="M112" s="230"/>
      <c r="N112" s="352"/>
      <c r="O112" s="352"/>
      <c r="P112" s="352"/>
      <c r="Q112" s="352"/>
      <c r="R112" s="230"/>
      <c r="S112" s="352"/>
      <c r="T112" s="352"/>
      <c r="U112" s="352"/>
      <c r="V112" s="352"/>
      <c r="W112" s="230"/>
      <c r="X112" s="352"/>
      <c r="Y112" s="352"/>
      <c r="Z112" s="352"/>
      <c r="AA112" s="352"/>
      <c r="AB112" s="230"/>
      <c r="AC112" s="352"/>
      <c r="AD112" s="352">
        <v>0.113</v>
      </c>
      <c r="AE112" s="352">
        <v>6.1529999999999996</v>
      </c>
      <c r="AF112" s="352">
        <v>14.754</v>
      </c>
      <c r="AG112" s="230">
        <v>21.02</v>
      </c>
      <c r="AH112" s="352">
        <v>20.337</v>
      </c>
      <c r="AI112" s="352">
        <v>24.686</v>
      </c>
      <c r="AJ112" s="352">
        <v>31.655999999999999</v>
      </c>
      <c r="AK112" s="352">
        <v>36.176000000000002</v>
      </c>
      <c r="AL112" s="230">
        <v>112.855</v>
      </c>
      <c r="AM112" s="352">
        <v>39.58</v>
      </c>
      <c r="AN112" s="352">
        <v>44.128</v>
      </c>
      <c r="AO112" s="352">
        <v>48.073</v>
      </c>
      <c r="AP112" s="352">
        <v>52.167999999999999</v>
      </c>
      <c r="AQ112" s="230">
        <v>183.94900000000001</v>
      </c>
      <c r="AR112" s="352">
        <v>55.499000000000002</v>
      </c>
      <c r="AS112" s="352">
        <v>60.347999999999999</v>
      </c>
      <c r="AT112" s="352">
        <v>60.445999999999998</v>
      </c>
      <c r="AU112" s="352">
        <v>63.985999999999997</v>
      </c>
      <c r="AV112" s="230">
        <v>240.279</v>
      </c>
      <c r="AW112" s="352">
        <v>62.173999999999999</v>
      </c>
      <c r="AX112" s="352">
        <v>73.637</v>
      </c>
      <c r="AY112" s="352">
        <v>78.953999999999994</v>
      </c>
      <c r="AZ112" s="352">
        <v>78.661000000000001</v>
      </c>
      <c r="BA112" s="230">
        <v>293.42599999999999</v>
      </c>
      <c r="BB112" s="353">
        <v>87.287999999999997</v>
      </c>
      <c r="BC112" s="353">
        <v>101.634</v>
      </c>
      <c r="BD112" s="353">
        <v>105.054</v>
      </c>
      <c r="BE112" s="353">
        <v>116.078</v>
      </c>
      <c r="BF112" s="230">
        <v>410.05399999999997</v>
      </c>
      <c r="BG112" s="353">
        <v>118.107</v>
      </c>
      <c r="BH112" s="353">
        <v>128.25700000000001</v>
      </c>
      <c r="BI112" s="353">
        <v>135.1</v>
      </c>
      <c r="BJ112" s="356">
        <v>138.53</v>
      </c>
      <c r="BK112" s="230">
        <f>SUM(BG112:BJ112)</f>
        <v>519.99400000000003</v>
      </c>
      <c r="BL112" s="356">
        <v>122.88500000000001</v>
      </c>
      <c r="BM112" s="356">
        <v>144.71600000000001</v>
      </c>
      <c r="BN112" s="356">
        <v>146.41499999999999</v>
      </c>
      <c r="BO112" s="356">
        <v>181</v>
      </c>
      <c r="BP112" s="230">
        <f>SUM(BL112:BO112)</f>
        <v>595.01599999999996</v>
      </c>
      <c r="BQ112" s="356">
        <v>151</v>
      </c>
      <c r="BR112" s="356">
        <v>176</v>
      </c>
      <c r="BS112" s="356">
        <v>181</v>
      </c>
      <c r="BT112" s="356">
        <v>192</v>
      </c>
      <c r="BU112" s="230">
        <f>SUM(BQ112:BT112)</f>
        <v>700</v>
      </c>
      <c r="BV112" s="356">
        <v>175</v>
      </c>
      <c r="BW112" s="356">
        <v>203</v>
      </c>
      <c r="BX112" s="356">
        <v>215</v>
      </c>
      <c r="BY112" s="356">
        <v>226</v>
      </c>
      <c r="BZ112" s="698">
        <f>SUM(BV112:BY112)</f>
        <v>819</v>
      </c>
      <c r="CA112" s="356">
        <v>211</v>
      </c>
      <c r="CB112" s="356">
        <v>230</v>
      </c>
      <c r="CC112" s="356">
        <v>213</v>
      </c>
      <c r="CD112" s="997">
        <v>233</v>
      </c>
      <c r="CE112" s="230">
        <f>SUM(CA112:CD112)</f>
        <v>887</v>
      </c>
      <c r="CF112" s="353">
        <v>225</v>
      </c>
      <c r="CG112" s="353">
        <v>200</v>
      </c>
      <c r="CH112" s="353">
        <v>80</v>
      </c>
      <c r="CI112" s="353">
        <f>CJ112-CF112-CG112-CH112</f>
        <v>27.199999999999932</v>
      </c>
      <c r="CJ112" s="230">
        <f>CE112*(1+CJ113)</f>
        <v>532.19999999999993</v>
      </c>
      <c r="CK112" s="353">
        <f>+CO112/4</f>
        <v>13.304999999999996</v>
      </c>
      <c r="CL112" s="353">
        <f>+CO112/4</f>
        <v>13.304999999999996</v>
      </c>
      <c r="CM112" s="353">
        <f>+CO112/4</f>
        <v>13.304999999999996</v>
      </c>
      <c r="CN112" s="353">
        <f>+CO112/4</f>
        <v>13.304999999999996</v>
      </c>
      <c r="CO112" s="230">
        <f>CJ112*(1+CO113)</f>
        <v>53.219999999999985</v>
      </c>
      <c r="CP112" s="353">
        <f>+CT112/4</f>
        <v>2.6609999999999987</v>
      </c>
      <c r="CQ112" s="353">
        <f>+CT112/4</f>
        <v>2.6609999999999987</v>
      </c>
      <c r="CR112" s="353">
        <f>+CT112/4</f>
        <v>2.6609999999999987</v>
      </c>
      <c r="CS112" s="353">
        <f>+CT112/4</f>
        <v>2.6609999999999987</v>
      </c>
      <c r="CT112" s="230">
        <f>CO112*(1+CT113)</f>
        <v>10.643999999999995</v>
      </c>
      <c r="CU112" s="353">
        <f>+CY112/4</f>
        <v>0.53219999999999967</v>
      </c>
      <c r="CV112" s="353">
        <f>+CY112/4</f>
        <v>0.53219999999999967</v>
      </c>
      <c r="CW112" s="353">
        <f>+CY112/4</f>
        <v>0.53219999999999967</v>
      </c>
      <c r="CX112" s="353">
        <f>+CY112/4</f>
        <v>0.53219999999999967</v>
      </c>
      <c r="CY112" s="230">
        <f>CT112*(1+CY113)</f>
        <v>2.1287999999999987</v>
      </c>
      <c r="CZ112" s="353">
        <f>+DD112/4</f>
        <v>0.10643999999999991</v>
      </c>
      <c r="DA112" s="353">
        <f>+DD112/4</f>
        <v>0.10643999999999991</v>
      </c>
      <c r="DB112" s="353">
        <f>+DD112/4</f>
        <v>0.10643999999999991</v>
      </c>
      <c r="DC112" s="353">
        <f>+DD112/4</f>
        <v>0.10643999999999991</v>
      </c>
      <c r="DD112" s="230">
        <f>CY112*(1+DD113)</f>
        <v>0.42575999999999964</v>
      </c>
      <c r="DE112" s="353">
        <f>+DI112/4</f>
        <v>2.1287999999999977E-2</v>
      </c>
      <c r="DF112" s="353">
        <f>+DI112/4</f>
        <v>2.1287999999999977E-2</v>
      </c>
      <c r="DG112" s="353">
        <f>+DI112/4</f>
        <v>2.1287999999999977E-2</v>
      </c>
      <c r="DH112" s="353">
        <f>+DI112/4</f>
        <v>2.1287999999999977E-2</v>
      </c>
      <c r="DI112" s="230">
        <f>DD112*(1+DI113)</f>
        <v>8.5151999999999908E-2</v>
      </c>
      <c r="DJ112" s="353">
        <f>+DN112/4</f>
        <v>4.2575999999999942E-3</v>
      </c>
      <c r="DK112" s="353">
        <f>+DN112/4</f>
        <v>4.2575999999999942E-3</v>
      </c>
      <c r="DL112" s="353">
        <f>+DN112/4</f>
        <v>4.2575999999999942E-3</v>
      </c>
      <c r="DM112" s="353">
        <f>+DN112/4</f>
        <v>4.2575999999999942E-3</v>
      </c>
      <c r="DN112" s="230">
        <f>DI112*(1+DN113)</f>
        <v>1.7030399999999977E-2</v>
      </c>
      <c r="DO112" s="353">
        <f>+DS112/4</f>
        <v>8.5151999999999862E-4</v>
      </c>
      <c r="DP112" s="353">
        <f>+DS112/4</f>
        <v>8.5151999999999862E-4</v>
      </c>
      <c r="DQ112" s="353">
        <f>+DS112/4</f>
        <v>8.5151999999999862E-4</v>
      </c>
      <c r="DR112" s="353">
        <f>+DS112/4</f>
        <v>8.5151999999999862E-4</v>
      </c>
      <c r="DS112" s="230">
        <f>DN112*(1+DS113)</f>
        <v>3.4060799999999945E-3</v>
      </c>
      <c r="DT112" s="353">
        <f>+DX112/4</f>
        <v>1.7030399999999968E-4</v>
      </c>
      <c r="DU112" s="353">
        <f>+DX112/4</f>
        <v>1.7030399999999968E-4</v>
      </c>
      <c r="DV112" s="353">
        <f>+DX112/4</f>
        <v>1.7030399999999968E-4</v>
      </c>
      <c r="DW112" s="353">
        <f>+DX112/4</f>
        <v>1.7030399999999968E-4</v>
      </c>
      <c r="DX112" s="230">
        <f>DS112*(1+DX113)</f>
        <v>6.812159999999987E-4</v>
      </c>
      <c r="DY112" s="353">
        <f>+EC112/4</f>
        <v>3.406079999999993E-5</v>
      </c>
      <c r="DZ112" s="353">
        <f>+EC112/4</f>
        <v>3.406079999999993E-5</v>
      </c>
      <c r="EA112" s="353">
        <f>+EC112/4</f>
        <v>3.406079999999993E-5</v>
      </c>
      <c r="EB112" s="353">
        <f>+EC112/4</f>
        <v>3.406079999999993E-5</v>
      </c>
      <c r="EC112" s="230">
        <f>DX112*(1+EC113)</f>
        <v>1.3624319999999972E-4</v>
      </c>
      <c r="ED112" s="353">
        <f>+EH112/4</f>
        <v>6.8121599999999843E-6</v>
      </c>
      <c r="EE112" s="353">
        <f>+EH112/4</f>
        <v>6.8121599999999843E-6</v>
      </c>
      <c r="EF112" s="353">
        <f>+EH112/4</f>
        <v>6.8121599999999843E-6</v>
      </c>
      <c r="EG112" s="353">
        <f>+EH112/4</f>
        <v>6.8121599999999843E-6</v>
      </c>
      <c r="EH112" s="230">
        <f>EC112*(1+EH113)</f>
        <v>2.7248639999999937E-5</v>
      </c>
      <c r="EI112" s="353">
        <f>+EM112/4</f>
        <v>1.3624319999999965E-6</v>
      </c>
      <c r="EJ112" s="353">
        <f>+EM112/4</f>
        <v>1.3624319999999965E-6</v>
      </c>
      <c r="EK112" s="353">
        <f>+EM112/4</f>
        <v>1.3624319999999965E-6</v>
      </c>
      <c r="EL112" s="353">
        <f>+EM112/4</f>
        <v>1.3624319999999965E-6</v>
      </c>
      <c r="EM112" s="230">
        <f>EH112*(1+EM113)</f>
        <v>5.4497279999999861E-6</v>
      </c>
      <c r="EN112" s="353">
        <f>+ER112/4</f>
        <v>2.7248639999999925E-7</v>
      </c>
      <c r="EO112" s="353">
        <f>+ER112/4</f>
        <v>2.7248639999999925E-7</v>
      </c>
      <c r="EP112" s="353">
        <f>+ER112/4</f>
        <v>2.7248639999999925E-7</v>
      </c>
      <c r="EQ112" s="353">
        <f>+ER112/4</f>
        <v>2.7248639999999925E-7</v>
      </c>
      <c r="ER112" s="230">
        <f>EM112*(1+ER113)</f>
        <v>1.089945599999997E-6</v>
      </c>
    </row>
    <row r="113" spans="2:148" s="17" customFormat="1" ht="12.75" hidden="1" customHeight="1" outlineLevel="1">
      <c r="B113" s="223"/>
      <c r="C113" s="223"/>
      <c r="D113" s="357"/>
      <c r="E113" s="357"/>
      <c r="F113" s="357"/>
      <c r="G113" s="357"/>
      <c r="H113" s="223"/>
      <c r="I113" s="357"/>
      <c r="J113" s="357"/>
      <c r="K113" s="357"/>
      <c r="L113" s="357"/>
      <c r="M113" s="223"/>
      <c r="N113" s="357"/>
      <c r="O113" s="357"/>
      <c r="P113" s="357"/>
      <c r="Q113" s="357"/>
      <c r="R113" s="223"/>
      <c r="S113" s="357"/>
      <c r="T113" s="357"/>
      <c r="U113" s="357"/>
      <c r="V113" s="357"/>
      <c r="W113" s="223"/>
      <c r="X113" s="357"/>
      <c r="Y113" s="357"/>
      <c r="Z113" s="357"/>
      <c r="AA113" s="357"/>
      <c r="AB113" s="223"/>
      <c r="AC113" s="357"/>
      <c r="AD113" s="357"/>
      <c r="AE113" s="357"/>
      <c r="AF113" s="357"/>
      <c r="AG113" s="223"/>
      <c r="AH113" s="357"/>
      <c r="AI113" s="357"/>
      <c r="AJ113" s="357"/>
      <c r="AK113" s="357"/>
      <c r="AL113" s="223"/>
      <c r="AM113" s="357"/>
      <c r="AN113" s="357"/>
      <c r="AO113" s="357"/>
      <c r="AP113" s="357"/>
      <c r="AQ113" s="223"/>
      <c r="AR113" s="357"/>
      <c r="AS113" s="357"/>
      <c r="AT113" s="357"/>
      <c r="AU113" s="357"/>
      <c r="AV113" s="223"/>
      <c r="AW113" s="357"/>
      <c r="AX113" s="357"/>
      <c r="AY113" s="357"/>
      <c r="AZ113" s="357"/>
      <c r="BA113" s="223"/>
      <c r="BB113" s="358"/>
      <c r="BC113" s="358"/>
      <c r="BD113" s="358"/>
      <c r="BE113" s="358"/>
      <c r="BF113" s="18">
        <f>BF112/BA112-1</f>
        <v>0.39746989019377965</v>
      </c>
      <c r="BG113" s="358"/>
      <c r="BH113" s="358"/>
      <c r="BI113" s="358"/>
      <c r="BJ113" s="358"/>
      <c r="BK113" s="18">
        <f>BK112/BF112-1</f>
        <v>0.26811102927907071</v>
      </c>
      <c r="BL113" s="358"/>
      <c r="BM113" s="358"/>
      <c r="BN113" s="651"/>
      <c r="BO113" s="358"/>
      <c r="BP113" s="18">
        <f>BP112/BK112-1</f>
        <v>0.14427474163163412</v>
      </c>
      <c r="BQ113" s="358"/>
      <c r="BR113" s="358"/>
      <c r="BS113" s="680"/>
      <c r="BT113" s="680"/>
      <c r="BU113" s="18">
        <f>BU112/BP112-1</f>
        <v>0.17643895290210687</v>
      </c>
      <c r="BV113" s="680"/>
      <c r="BW113" s="680"/>
      <c r="BX113" s="680"/>
      <c r="BY113" s="358"/>
      <c r="BZ113" s="18">
        <f>BZ112/BU112-1</f>
        <v>0.16999999999999993</v>
      </c>
      <c r="CA113" s="680"/>
      <c r="CB113" s="358"/>
      <c r="CC113" s="358"/>
      <c r="CD113" s="358"/>
      <c r="CE113" s="18">
        <f>CE112/BZ112-1</f>
        <v>8.3028083028082955E-2</v>
      </c>
      <c r="CF113" s="358"/>
      <c r="CG113" s="358"/>
      <c r="CH113" s="358"/>
      <c r="CI113" s="358"/>
      <c r="CJ113" s="359">
        <v>-0.4</v>
      </c>
      <c r="CK113" s="358"/>
      <c r="CL113" s="358"/>
      <c r="CM113" s="358"/>
      <c r="CN113" s="358"/>
      <c r="CO113" s="359">
        <v>-0.9</v>
      </c>
      <c r="CP113" s="358"/>
      <c r="CQ113" s="358"/>
      <c r="CR113" s="358"/>
      <c r="CS113" s="358"/>
      <c r="CT113" s="359">
        <v>-0.8</v>
      </c>
      <c r="CU113" s="358"/>
      <c r="CV113" s="358"/>
      <c r="CW113" s="358"/>
      <c r="CX113" s="358"/>
      <c r="CY113" s="359">
        <v>-0.8</v>
      </c>
      <c r="CZ113" s="358"/>
      <c r="DA113" s="358"/>
      <c r="DB113" s="358"/>
      <c r="DC113" s="358"/>
      <c r="DD113" s="359">
        <v>-0.8</v>
      </c>
      <c r="DE113" s="358"/>
      <c r="DF113" s="358"/>
      <c r="DG113" s="358"/>
      <c r="DH113" s="358"/>
      <c r="DI113" s="359">
        <v>-0.8</v>
      </c>
      <c r="DJ113" s="358"/>
      <c r="DK113" s="358"/>
      <c r="DL113" s="358"/>
      <c r="DM113" s="358"/>
      <c r="DN113" s="359">
        <v>-0.8</v>
      </c>
      <c r="DO113" s="358"/>
      <c r="DP113" s="358"/>
      <c r="DQ113" s="358"/>
      <c r="DR113" s="358"/>
      <c r="DS113" s="359">
        <v>-0.8</v>
      </c>
      <c r="DT113" s="358"/>
      <c r="DU113" s="358"/>
      <c r="DV113" s="358"/>
      <c r="DW113" s="358"/>
      <c r="DX113" s="359">
        <v>-0.8</v>
      </c>
      <c r="DY113" s="358"/>
      <c r="DZ113" s="358"/>
      <c r="EA113" s="358"/>
      <c r="EB113" s="358"/>
      <c r="EC113" s="359">
        <v>-0.8</v>
      </c>
      <c r="ED113" s="358"/>
      <c r="EE113" s="358"/>
      <c r="EF113" s="358"/>
      <c r="EG113" s="358"/>
      <c r="EH113" s="359">
        <v>-0.8</v>
      </c>
      <c r="EI113" s="358"/>
      <c r="EJ113" s="358"/>
      <c r="EK113" s="358"/>
      <c r="EL113" s="358"/>
      <c r="EM113" s="359">
        <v>-0.8</v>
      </c>
      <c r="EN113" s="358"/>
      <c r="EO113" s="358"/>
      <c r="EP113" s="358"/>
      <c r="EQ113" s="358"/>
      <c r="ER113" s="359">
        <v>-0.8</v>
      </c>
    </row>
    <row r="114" spans="2:148" collapsed="1">
      <c r="B114" s="231"/>
      <c r="D114" s="297"/>
      <c r="E114" s="297"/>
      <c r="F114" s="297"/>
      <c r="G114" s="297"/>
      <c r="I114" s="297"/>
      <c r="J114" s="297"/>
      <c r="K114" s="297"/>
      <c r="L114" s="297"/>
      <c r="N114" s="297"/>
      <c r="O114" s="297"/>
      <c r="P114" s="297"/>
      <c r="Q114" s="297"/>
      <c r="S114" s="297"/>
      <c r="T114" s="297"/>
      <c r="U114" s="297"/>
      <c r="V114" s="297"/>
      <c r="X114" s="297"/>
      <c r="Y114" s="297"/>
      <c r="Z114" s="297"/>
      <c r="AA114" s="297"/>
      <c r="AC114" s="297"/>
      <c r="AD114" s="297"/>
      <c r="AE114" s="297"/>
      <c r="AF114" s="297"/>
      <c r="AH114" s="297"/>
      <c r="AI114" s="297"/>
      <c r="AJ114" s="297"/>
      <c r="AK114" s="297"/>
      <c r="AM114" s="297"/>
      <c r="AN114" s="297"/>
      <c r="AO114" s="297"/>
      <c r="AP114" s="297"/>
      <c r="AR114" s="297"/>
      <c r="AS114" s="297"/>
      <c r="AT114" s="297"/>
      <c r="AU114" s="297"/>
      <c r="AW114" s="297"/>
      <c r="AX114" s="297"/>
      <c r="AY114" s="297"/>
      <c r="AZ114" s="297"/>
      <c r="BB114" s="298"/>
      <c r="BC114" s="298"/>
      <c r="BD114" s="298"/>
      <c r="BE114" s="298"/>
      <c r="BG114" s="298"/>
      <c r="BH114" s="298"/>
      <c r="BI114" s="298"/>
      <c r="BJ114" s="298"/>
      <c r="BL114" s="298"/>
      <c r="BM114" s="298"/>
      <c r="BN114" s="298"/>
      <c r="BO114" s="298"/>
      <c r="BQ114" s="298"/>
      <c r="BR114" s="298"/>
      <c r="BS114" s="299"/>
      <c r="BT114" s="299"/>
      <c r="BV114" s="299"/>
      <c r="BW114" s="299"/>
      <c r="BX114" s="299"/>
      <c r="BY114" s="298"/>
      <c r="CA114" s="299"/>
      <c r="CB114" s="298"/>
      <c r="CC114" s="298"/>
      <c r="CD114" s="298"/>
      <c r="CF114" s="298"/>
      <c r="CG114" s="298"/>
      <c r="CH114" s="298"/>
      <c r="CI114" s="298"/>
      <c r="CK114" s="298"/>
      <c r="CL114" s="298"/>
      <c r="CM114" s="298"/>
      <c r="CN114" s="298"/>
      <c r="CP114" s="298"/>
      <c r="CQ114" s="298"/>
      <c r="CR114" s="298"/>
      <c r="CS114" s="298"/>
      <c r="CU114" s="298"/>
      <c r="CV114" s="298"/>
      <c r="CW114" s="298"/>
      <c r="CX114" s="298"/>
      <c r="CZ114" s="298"/>
      <c r="DA114" s="298"/>
      <c r="DB114" s="298"/>
      <c r="DC114" s="298"/>
      <c r="DE114" s="298"/>
      <c r="DF114" s="298"/>
      <c r="DG114" s="298"/>
      <c r="DH114" s="298"/>
      <c r="DJ114" s="298"/>
      <c r="DK114" s="298"/>
      <c r="DL114" s="298"/>
      <c r="DM114" s="298"/>
      <c r="DO114" s="298"/>
      <c r="DP114" s="298"/>
      <c r="DQ114" s="298"/>
      <c r="DR114" s="298"/>
      <c r="DT114" s="298"/>
      <c r="DU114" s="298"/>
      <c r="DV114" s="298"/>
      <c r="DW114" s="298"/>
      <c r="DY114" s="298"/>
      <c r="DZ114" s="298"/>
      <c r="EA114" s="298"/>
      <c r="EB114" s="298"/>
      <c r="ED114" s="298"/>
      <c r="EE114" s="298"/>
      <c r="EF114" s="298"/>
      <c r="EG114" s="298"/>
      <c r="EI114" s="298"/>
      <c r="EJ114" s="298"/>
      <c r="EK114" s="298"/>
      <c r="EL114" s="298"/>
      <c r="EN114" s="298"/>
      <c r="EO114" s="298"/>
      <c r="EP114" s="298"/>
      <c r="EQ114" s="298"/>
    </row>
    <row r="115" spans="2:148">
      <c r="B115" s="230" t="s">
        <v>672</v>
      </c>
      <c r="C115" s="230"/>
      <c r="D115" s="352"/>
      <c r="E115" s="352"/>
      <c r="F115" s="352"/>
      <c r="G115" s="352"/>
      <c r="H115" s="230"/>
      <c r="I115" s="352"/>
      <c r="J115" s="352"/>
      <c r="K115" s="352"/>
      <c r="L115" s="352"/>
      <c r="M115" s="230"/>
      <c r="N115" s="352"/>
      <c r="O115" s="352"/>
      <c r="P115" s="352"/>
      <c r="Q115" s="352"/>
      <c r="R115" s="230"/>
      <c r="S115" s="352"/>
      <c r="T115" s="352"/>
      <c r="U115" s="352"/>
      <c r="V115" s="352"/>
      <c r="W115" s="230"/>
      <c r="X115" s="352"/>
      <c r="Y115" s="352"/>
      <c r="Z115" s="352"/>
      <c r="AA115" s="352"/>
      <c r="AB115" s="230"/>
      <c r="AC115" s="352"/>
      <c r="AD115" s="352"/>
      <c r="AE115" s="352"/>
      <c r="AF115" s="352"/>
      <c r="AG115" s="230"/>
      <c r="AH115" s="352"/>
      <c r="AI115" s="352"/>
      <c r="AJ115" s="352"/>
      <c r="AK115" s="352"/>
      <c r="AL115" s="230"/>
      <c r="AM115" s="352"/>
      <c r="AN115" s="352">
        <v>36.064999999999998</v>
      </c>
      <c r="AO115" s="352">
        <v>49.005000000000003</v>
      </c>
      <c r="AP115" s="352">
        <v>45.991999999999997</v>
      </c>
      <c r="AQ115" s="230">
        <v>131.06199999999998</v>
      </c>
      <c r="AR115" s="352">
        <v>51.243000000000002</v>
      </c>
      <c r="AS115" s="352">
        <v>60.46</v>
      </c>
      <c r="AT115" s="352">
        <v>60.311999999999998</v>
      </c>
      <c r="AU115" s="352">
        <v>67.816999999999993</v>
      </c>
      <c r="AV115" s="230">
        <v>239.83199999999999</v>
      </c>
      <c r="AW115" s="352">
        <v>68.293000000000006</v>
      </c>
      <c r="AX115" s="352">
        <v>86.076999999999998</v>
      </c>
      <c r="AY115" s="352">
        <v>81.983000000000004</v>
      </c>
      <c r="AZ115" s="352">
        <v>83.650999999999996</v>
      </c>
      <c r="BA115" s="230">
        <v>320.00400000000002</v>
      </c>
      <c r="BB115" s="353">
        <v>83.200999999999993</v>
      </c>
      <c r="BC115" s="353">
        <v>95.555000000000007</v>
      </c>
      <c r="BD115" s="353">
        <v>95.066000000000003</v>
      </c>
      <c r="BE115" s="353">
        <v>99.126999999999995</v>
      </c>
      <c r="BF115" s="230">
        <v>372.94900000000001</v>
      </c>
      <c r="BG115" s="353">
        <v>96.286000000000001</v>
      </c>
      <c r="BH115" s="353">
        <v>106.59699999999999</v>
      </c>
      <c r="BI115" s="353">
        <v>115.8</v>
      </c>
      <c r="BJ115" s="356">
        <v>129.92599999999999</v>
      </c>
      <c r="BK115" s="230">
        <f>SUM(BG115:BJ115)</f>
        <v>448.60899999999998</v>
      </c>
      <c r="BL115" s="356">
        <v>111.61799999999999</v>
      </c>
      <c r="BM115" s="356">
        <v>121.956</v>
      </c>
      <c r="BN115" s="356">
        <v>132.51</v>
      </c>
      <c r="BO115" s="356">
        <v>144</v>
      </c>
      <c r="BP115" s="230">
        <f>SUM(BL115:BO115)</f>
        <v>510.084</v>
      </c>
      <c r="BQ115" s="356">
        <v>117</v>
      </c>
      <c r="BR115" s="356">
        <v>141</v>
      </c>
      <c r="BS115" s="356">
        <v>161</v>
      </c>
      <c r="BT115" s="356">
        <v>169</v>
      </c>
      <c r="BU115" s="230">
        <f>SUM(BQ115:BT115)</f>
        <v>588</v>
      </c>
      <c r="BV115" s="356">
        <v>144</v>
      </c>
      <c r="BW115" s="356">
        <v>153</v>
      </c>
      <c r="BX115" s="356">
        <v>170</v>
      </c>
      <c r="BY115" s="356">
        <v>210</v>
      </c>
      <c r="BZ115" s="698">
        <f>SUM(BV115:BY115)</f>
        <v>677</v>
      </c>
      <c r="CA115" s="356">
        <v>153</v>
      </c>
      <c r="CB115" s="356">
        <v>200</v>
      </c>
      <c r="CC115" s="356">
        <v>164</v>
      </c>
      <c r="CD115" s="997">
        <v>200</v>
      </c>
      <c r="CE115" s="230">
        <f>SUM(CA115:CD115)</f>
        <v>717</v>
      </c>
      <c r="CF115" s="353">
        <f>+CJ115/4</f>
        <v>188.21250000000001</v>
      </c>
      <c r="CG115" s="353">
        <f>+CJ115/4</f>
        <v>188.21250000000001</v>
      </c>
      <c r="CH115" s="353">
        <f>+CJ115/4</f>
        <v>188.21250000000001</v>
      </c>
      <c r="CI115" s="353">
        <f>+CJ115/4</f>
        <v>188.21250000000001</v>
      </c>
      <c r="CJ115" s="230">
        <f>CE115*(1+CJ116)</f>
        <v>752.85</v>
      </c>
      <c r="CK115" s="353">
        <f>+CO115/4</f>
        <v>112.92749999999999</v>
      </c>
      <c r="CL115" s="353">
        <f>+CO115/4</f>
        <v>112.92749999999999</v>
      </c>
      <c r="CM115" s="353">
        <f>+CO115/4</f>
        <v>112.92749999999999</v>
      </c>
      <c r="CN115" s="353">
        <f>+CO115/4</f>
        <v>112.92749999999999</v>
      </c>
      <c r="CO115" s="230">
        <f>CJ115*(1+CO116)</f>
        <v>451.71</v>
      </c>
      <c r="CP115" s="353">
        <f>+CT115/4</f>
        <v>11.292749999999996</v>
      </c>
      <c r="CQ115" s="353">
        <f>+CT115/4</f>
        <v>11.292749999999996</v>
      </c>
      <c r="CR115" s="353">
        <f>+CT115/4</f>
        <v>11.292749999999996</v>
      </c>
      <c r="CS115" s="353">
        <f>+CT115/4</f>
        <v>11.292749999999996</v>
      </c>
      <c r="CT115" s="230">
        <f>CO115*(1+CT116)</f>
        <v>45.170999999999985</v>
      </c>
      <c r="CU115" s="353">
        <f>+CY115/4</f>
        <v>1.1292749999999994</v>
      </c>
      <c r="CV115" s="353">
        <f>+CY115/4</f>
        <v>1.1292749999999994</v>
      </c>
      <c r="CW115" s="353">
        <f>+CY115/4</f>
        <v>1.1292749999999994</v>
      </c>
      <c r="CX115" s="353">
        <f>+CY115/4</f>
        <v>1.1292749999999994</v>
      </c>
      <c r="CY115" s="230">
        <f>CT115*(1+CY116)</f>
        <v>4.5170999999999975</v>
      </c>
      <c r="CZ115" s="353">
        <f>+DD115/4</f>
        <v>0.56463749999999968</v>
      </c>
      <c r="DA115" s="353">
        <f>+DD115/4</f>
        <v>0.56463749999999968</v>
      </c>
      <c r="DB115" s="353">
        <f>+DD115/4</f>
        <v>0.56463749999999968</v>
      </c>
      <c r="DC115" s="353">
        <f>+DD115/4</f>
        <v>0.56463749999999968</v>
      </c>
      <c r="DD115" s="230">
        <f>CY115*(1+DD116)</f>
        <v>2.2585499999999987</v>
      </c>
      <c r="DE115" s="353">
        <f>+DI115/4</f>
        <v>0.28231874999999984</v>
      </c>
      <c r="DF115" s="353">
        <f>+DI115/4</f>
        <v>0.28231874999999984</v>
      </c>
      <c r="DG115" s="353">
        <f>+DI115/4</f>
        <v>0.28231874999999984</v>
      </c>
      <c r="DH115" s="353">
        <f>+DI115/4</f>
        <v>0.28231874999999984</v>
      </c>
      <c r="DI115" s="230">
        <f>DD115*(1+DI116)</f>
        <v>1.1292749999999994</v>
      </c>
      <c r="DJ115" s="353">
        <f>+DN115/4</f>
        <v>0.14115937499999992</v>
      </c>
      <c r="DK115" s="353">
        <f>+DN115/4</f>
        <v>0.14115937499999992</v>
      </c>
      <c r="DL115" s="353">
        <f>+DN115/4</f>
        <v>0.14115937499999992</v>
      </c>
      <c r="DM115" s="353">
        <f>+DN115/4</f>
        <v>0.14115937499999992</v>
      </c>
      <c r="DN115" s="230">
        <f>DI115*(1+DN116)</f>
        <v>0.56463749999999968</v>
      </c>
      <c r="DO115" s="353">
        <f>+DS115/4</f>
        <v>7.057968749999996E-2</v>
      </c>
      <c r="DP115" s="353">
        <f>+DS115/4</f>
        <v>7.057968749999996E-2</v>
      </c>
      <c r="DQ115" s="353">
        <f>+DS115/4</f>
        <v>7.057968749999996E-2</v>
      </c>
      <c r="DR115" s="353">
        <f>+DS115/4</f>
        <v>7.057968749999996E-2</v>
      </c>
      <c r="DS115" s="230">
        <f>DN115*(1+DS116)</f>
        <v>0.28231874999999984</v>
      </c>
      <c r="DT115" s="353">
        <f>+DX115/4</f>
        <v>3.528984374999998E-2</v>
      </c>
      <c r="DU115" s="353">
        <f>+DX115/4</f>
        <v>3.528984374999998E-2</v>
      </c>
      <c r="DV115" s="353">
        <f>+DX115/4</f>
        <v>3.528984374999998E-2</v>
      </c>
      <c r="DW115" s="353">
        <f>+DX115/4</f>
        <v>3.528984374999998E-2</v>
      </c>
      <c r="DX115" s="230">
        <f>DS115*(1+DX116)</f>
        <v>0.14115937499999992</v>
      </c>
      <c r="DY115" s="353">
        <f>+EC115/4</f>
        <v>1.764492187499999E-2</v>
      </c>
      <c r="DZ115" s="353">
        <f>+EC115/4</f>
        <v>1.764492187499999E-2</v>
      </c>
      <c r="EA115" s="353">
        <f>+EC115/4</f>
        <v>1.764492187499999E-2</v>
      </c>
      <c r="EB115" s="353">
        <f>+EC115/4</f>
        <v>1.764492187499999E-2</v>
      </c>
      <c r="EC115" s="230">
        <f>DX115*(1+EC116)</f>
        <v>7.057968749999996E-2</v>
      </c>
      <c r="ED115" s="353">
        <f>+EH115/4</f>
        <v>8.822460937499995E-3</v>
      </c>
      <c r="EE115" s="353">
        <f>+EH115/4</f>
        <v>8.822460937499995E-3</v>
      </c>
      <c r="EF115" s="353">
        <f>+EH115/4</f>
        <v>8.822460937499995E-3</v>
      </c>
      <c r="EG115" s="353">
        <f>+EH115/4</f>
        <v>8.822460937499995E-3</v>
      </c>
      <c r="EH115" s="230">
        <f>EC115*(1+EH116)</f>
        <v>3.528984374999998E-2</v>
      </c>
      <c r="EI115" s="353">
        <f>+EM115/4</f>
        <v>4.4112304687499975E-3</v>
      </c>
      <c r="EJ115" s="353">
        <f>+EM115/4</f>
        <v>4.4112304687499975E-3</v>
      </c>
      <c r="EK115" s="353">
        <f>+EM115/4</f>
        <v>4.4112304687499975E-3</v>
      </c>
      <c r="EL115" s="353">
        <f>+EM115/4</f>
        <v>4.4112304687499975E-3</v>
      </c>
      <c r="EM115" s="230">
        <f>EH115*(1+EM116)</f>
        <v>1.764492187499999E-2</v>
      </c>
      <c r="EN115" s="353">
        <f>+ER115/4</f>
        <v>2.2056152343749988E-3</v>
      </c>
      <c r="EO115" s="353">
        <f>+ER115/4</f>
        <v>2.2056152343749988E-3</v>
      </c>
      <c r="EP115" s="353">
        <f>+ER115/4</f>
        <v>2.2056152343749988E-3</v>
      </c>
      <c r="EQ115" s="353">
        <f>+ER115/4</f>
        <v>2.2056152343749988E-3</v>
      </c>
      <c r="ER115" s="230">
        <f>EM115*(1+ER116)</f>
        <v>8.822460937499995E-3</v>
      </c>
    </row>
    <row r="116" spans="2:148" s="17" customFormat="1" ht="12.75" hidden="1" customHeight="1" outlineLevel="1">
      <c r="B116" s="236"/>
      <c r="D116" s="320"/>
      <c r="E116" s="320"/>
      <c r="F116" s="320"/>
      <c r="G116" s="320"/>
      <c r="I116" s="320"/>
      <c r="J116" s="320"/>
      <c r="K116" s="320"/>
      <c r="L116" s="320"/>
      <c r="N116" s="320"/>
      <c r="O116" s="320"/>
      <c r="P116" s="320"/>
      <c r="Q116" s="320"/>
      <c r="S116" s="320"/>
      <c r="T116" s="320"/>
      <c r="U116" s="320"/>
      <c r="V116" s="320"/>
      <c r="X116" s="320"/>
      <c r="Y116" s="320"/>
      <c r="Z116" s="320"/>
      <c r="AA116" s="320"/>
      <c r="AC116" s="320"/>
      <c r="AD116" s="320"/>
      <c r="AE116" s="320"/>
      <c r="AF116" s="320"/>
      <c r="AH116" s="320"/>
      <c r="AI116" s="320"/>
      <c r="AJ116" s="320"/>
      <c r="AK116" s="320"/>
      <c r="AM116" s="320"/>
      <c r="AN116" s="320"/>
      <c r="AO116" s="320"/>
      <c r="AP116" s="320"/>
      <c r="AR116" s="320"/>
      <c r="AS116" s="320"/>
      <c r="AT116" s="320"/>
      <c r="AU116" s="320"/>
      <c r="AW116" s="320"/>
      <c r="AX116" s="320"/>
      <c r="AY116" s="320"/>
      <c r="AZ116" s="320"/>
      <c r="BB116" s="309"/>
      <c r="BC116" s="309"/>
      <c r="BD116" s="309"/>
      <c r="BE116" s="309"/>
      <c r="BF116" s="18">
        <f>BF115/BA115-1</f>
        <v>0.16545105686178929</v>
      </c>
      <c r="BG116" s="309"/>
      <c r="BH116" s="309"/>
      <c r="BI116" s="358"/>
      <c r="BJ116" s="358"/>
      <c r="BK116" s="18">
        <f>BK115/BF115-1</f>
        <v>0.20286956125368349</v>
      </c>
      <c r="BL116" s="358"/>
      <c r="BM116" s="358"/>
      <c r="BN116" s="651"/>
      <c r="BO116" s="358"/>
      <c r="BP116" s="18">
        <f>BP115/BK115-1</f>
        <v>0.13703470059673362</v>
      </c>
      <c r="BQ116" s="358"/>
      <c r="BR116" s="358"/>
      <c r="BS116" s="680"/>
      <c r="BT116" s="680"/>
      <c r="BU116" s="18">
        <f>BU115/BP115-1</f>
        <v>0.15275131154868604</v>
      </c>
      <c r="BV116" s="680"/>
      <c r="BW116" s="680"/>
      <c r="BX116" s="680"/>
      <c r="BY116" s="358"/>
      <c r="BZ116" s="18">
        <f>BZ115/BU115-1</f>
        <v>0.15136054421768708</v>
      </c>
      <c r="CA116" s="680"/>
      <c r="CB116" s="358"/>
      <c r="CC116" s="358"/>
      <c r="CD116" s="358"/>
      <c r="CE116" s="18">
        <f>CE115/BZ115-1</f>
        <v>5.9084194977843341E-2</v>
      </c>
      <c r="CF116" s="358"/>
      <c r="CG116" s="358"/>
      <c r="CH116" s="358"/>
      <c r="CI116" s="358"/>
      <c r="CJ116" s="359">
        <v>0.05</v>
      </c>
      <c r="CK116" s="358"/>
      <c r="CL116" s="358"/>
      <c r="CM116" s="358"/>
      <c r="CN116" s="358"/>
      <c r="CO116" s="359">
        <v>-0.4</v>
      </c>
      <c r="CP116" s="358"/>
      <c r="CQ116" s="358"/>
      <c r="CR116" s="358"/>
      <c r="CS116" s="358"/>
      <c r="CT116" s="359">
        <v>-0.9</v>
      </c>
      <c r="CU116" s="358"/>
      <c r="CV116" s="358"/>
      <c r="CW116" s="358"/>
      <c r="CX116" s="358"/>
      <c r="CY116" s="359">
        <v>-0.9</v>
      </c>
      <c r="CZ116" s="358"/>
      <c r="DA116" s="358"/>
      <c r="DB116" s="358"/>
      <c r="DC116" s="358"/>
      <c r="DD116" s="359">
        <v>-0.5</v>
      </c>
      <c r="DE116" s="358"/>
      <c r="DF116" s="358"/>
      <c r="DG116" s="358"/>
      <c r="DH116" s="358"/>
      <c r="DI116" s="359">
        <v>-0.5</v>
      </c>
      <c r="DJ116" s="358"/>
      <c r="DK116" s="358"/>
      <c r="DL116" s="358"/>
      <c r="DM116" s="358"/>
      <c r="DN116" s="359">
        <v>-0.5</v>
      </c>
      <c r="DO116" s="358"/>
      <c r="DP116" s="358"/>
      <c r="DQ116" s="358"/>
      <c r="DR116" s="358"/>
      <c r="DS116" s="359">
        <v>-0.5</v>
      </c>
      <c r="DT116" s="358"/>
      <c r="DU116" s="358"/>
      <c r="DV116" s="358"/>
      <c r="DW116" s="358"/>
      <c r="DX116" s="359">
        <v>-0.5</v>
      </c>
      <c r="DY116" s="358"/>
      <c r="DZ116" s="358"/>
      <c r="EA116" s="358"/>
      <c r="EB116" s="358"/>
      <c r="EC116" s="359">
        <v>-0.5</v>
      </c>
      <c r="ED116" s="358"/>
      <c r="EE116" s="358"/>
      <c r="EF116" s="358"/>
      <c r="EG116" s="358"/>
      <c r="EH116" s="359">
        <v>-0.5</v>
      </c>
      <c r="EI116" s="358"/>
      <c r="EJ116" s="358"/>
      <c r="EK116" s="358"/>
      <c r="EL116" s="358"/>
      <c r="EM116" s="359">
        <v>-0.5</v>
      </c>
      <c r="EN116" s="358"/>
      <c r="EO116" s="358"/>
      <c r="EP116" s="358"/>
      <c r="EQ116" s="358"/>
      <c r="ER116" s="359">
        <v>-0.5</v>
      </c>
    </row>
    <row r="117" spans="2:148" s="230" customFormat="1" collapsed="1">
      <c r="B117" s="234"/>
      <c r="D117" s="352"/>
      <c r="E117" s="352"/>
      <c r="F117" s="352"/>
      <c r="G117" s="352"/>
      <c r="I117" s="352"/>
      <c r="J117" s="352"/>
      <c r="K117" s="352"/>
      <c r="L117" s="352"/>
      <c r="N117" s="352"/>
      <c r="O117" s="352"/>
      <c r="P117" s="352"/>
      <c r="Q117" s="352"/>
      <c r="S117" s="352"/>
      <c r="T117" s="352"/>
      <c r="U117" s="352"/>
      <c r="V117" s="352"/>
      <c r="X117" s="352"/>
      <c r="Y117" s="352"/>
      <c r="Z117" s="352"/>
      <c r="AA117" s="352"/>
      <c r="AC117" s="352"/>
      <c r="AD117" s="352"/>
      <c r="AE117" s="352"/>
      <c r="AF117" s="352"/>
      <c r="AH117" s="352"/>
      <c r="AI117" s="352"/>
      <c r="AJ117" s="352"/>
      <c r="AK117" s="352"/>
      <c r="AM117" s="352"/>
      <c r="AN117" s="352"/>
      <c r="AO117" s="352"/>
      <c r="AP117" s="352"/>
      <c r="AR117" s="352"/>
      <c r="AS117" s="352"/>
      <c r="AT117" s="352"/>
      <c r="AU117" s="352"/>
      <c r="AW117" s="352"/>
      <c r="AX117" s="352"/>
      <c r="AY117" s="352"/>
      <c r="AZ117" s="352"/>
      <c r="BB117" s="353"/>
      <c r="BC117" s="353"/>
      <c r="BD117" s="353"/>
      <c r="BE117" s="353"/>
      <c r="BF117" s="355"/>
      <c r="BG117" s="353"/>
      <c r="BH117" s="353"/>
      <c r="BI117" s="353"/>
      <c r="BJ117" s="353"/>
      <c r="BL117" s="353"/>
      <c r="BM117" s="353"/>
      <c r="BN117" s="353"/>
      <c r="BO117" s="353"/>
      <c r="BQ117" s="353"/>
      <c r="BR117" s="353"/>
      <c r="BS117" s="356"/>
      <c r="BT117" s="356"/>
      <c r="BU117" s="355"/>
      <c r="BV117" s="356"/>
      <c r="BW117" s="356"/>
      <c r="BX117" s="356"/>
      <c r="BY117" s="353"/>
      <c r="BZ117" s="355"/>
      <c r="CA117" s="356"/>
      <c r="CB117" s="353"/>
      <c r="CC117" s="353"/>
      <c r="CD117" s="353"/>
      <c r="CE117" s="355"/>
      <c r="CF117" s="353"/>
      <c r="CG117" s="353"/>
      <c r="CH117" s="353"/>
      <c r="CI117" s="353"/>
      <c r="CJ117" s="355"/>
      <c r="CK117" s="353"/>
      <c r="CL117" s="353"/>
      <c r="CM117" s="353"/>
      <c r="CN117" s="353"/>
      <c r="CO117" s="355"/>
      <c r="CP117" s="353"/>
      <c r="CQ117" s="353"/>
      <c r="CR117" s="353"/>
      <c r="CS117" s="353"/>
      <c r="CT117" s="355"/>
      <c r="CU117" s="353"/>
      <c r="CV117" s="353"/>
      <c r="CW117" s="353"/>
      <c r="CX117" s="353"/>
      <c r="CY117" s="355"/>
      <c r="CZ117" s="353"/>
      <c r="DA117" s="353"/>
      <c r="DB117" s="353"/>
      <c r="DC117" s="353"/>
      <c r="DD117" s="355"/>
      <c r="DE117" s="353"/>
      <c r="DF117" s="353"/>
      <c r="DG117" s="353"/>
      <c r="DH117" s="353"/>
      <c r="DI117" s="355"/>
      <c r="DJ117" s="353"/>
      <c r="DK117" s="353"/>
      <c r="DL117" s="353"/>
      <c r="DM117" s="353"/>
      <c r="DN117" s="355"/>
      <c r="DO117" s="353"/>
      <c r="DP117" s="353"/>
      <c r="DQ117" s="353"/>
      <c r="DR117" s="353"/>
      <c r="DS117" s="355"/>
      <c r="DT117" s="353"/>
      <c r="DU117" s="353"/>
      <c r="DV117" s="353"/>
      <c r="DW117" s="353"/>
      <c r="DX117" s="355"/>
      <c r="DY117" s="353"/>
      <c r="DZ117" s="353"/>
      <c r="EA117" s="353"/>
      <c r="EB117" s="353"/>
      <c r="EC117" s="355"/>
      <c r="ED117" s="353"/>
      <c r="EE117" s="353"/>
      <c r="EF117" s="353"/>
      <c r="EG117" s="353"/>
      <c r="EH117" s="355"/>
      <c r="EI117" s="353"/>
      <c r="EJ117" s="353"/>
      <c r="EK117" s="353"/>
      <c r="EL117" s="353"/>
      <c r="EM117" s="355"/>
      <c r="EN117" s="353"/>
      <c r="EO117" s="353"/>
      <c r="EP117" s="353"/>
      <c r="EQ117" s="353"/>
      <c r="ER117" s="355"/>
    </row>
    <row r="118" spans="2:148">
      <c r="B118" s="230" t="s">
        <v>674</v>
      </c>
      <c r="C118" s="230">
        <v>164.53299999999999</v>
      </c>
      <c r="D118" s="352">
        <v>39.756999999999998</v>
      </c>
      <c r="E118" s="352">
        <v>47.698999999999998</v>
      </c>
      <c r="F118" s="352">
        <v>48.585000000000001</v>
      </c>
      <c r="G118" s="352">
        <f>185.669-136.041</f>
        <v>49.628000000000014</v>
      </c>
      <c r="H118" s="230">
        <f>D118+E118+F118+G118</f>
        <v>185.66900000000001</v>
      </c>
      <c r="I118" s="352">
        <v>41.058</v>
      </c>
      <c r="J118" s="352">
        <f>51.163</f>
        <v>51.162999999999997</v>
      </c>
      <c r="K118" s="352">
        <v>51.587000000000003</v>
      </c>
      <c r="L118" s="352">
        <f>198.35-143.808</f>
        <v>54.542000000000002</v>
      </c>
      <c r="M118" s="230">
        <f>I118+J118+K118+L118</f>
        <v>198.35</v>
      </c>
      <c r="N118" s="352">
        <v>51.872999999999998</v>
      </c>
      <c r="O118" s="352">
        <v>54.965000000000003</v>
      </c>
      <c r="P118" s="352">
        <v>49.831000000000003</v>
      </c>
      <c r="Q118" s="352">
        <v>55.024999999999999</v>
      </c>
      <c r="R118" s="230">
        <f>N118+O118+P118+Q118</f>
        <v>211.69399999999999</v>
      </c>
      <c r="S118" s="352">
        <v>54.213999999999999</v>
      </c>
      <c r="T118" s="352">
        <v>56.207000000000001</v>
      </c>
      <c r="U118" s="352">
        <v>54.735999999999997</v>
      </c>
      <c r="V118" s="352">
        <v>55.595999999999997</v>
      </c>
      <c r="W118" s="230">
        <f>S118+T118+U118+V118</f>
        <v>220.75299999999999</v>
      </c>
      <c r="X118" s="352">
        <v>53.8</v>
      </c>
      <c r="Y118" s="352">
        <v>55.628</v>
      </c>
      <c r="Z118" s="352">
        <v>55.313000000000002</v>
      </c>
      <c r="AA118" s="352">
        <v>58.290999999999997</v>
      </c>
      <c r="AB118" s="230">
        <f>X118+Y118+Z118+AA118</f>
        <v>223.03199999999998</v>
      </c>
      <c r="AC118" s="352">
        <v>61.502000000000002</v>
      </c>
      <c r="AD118" s="352">
        <v>64.754000000000005</v>
      </c>
      <c r="AE118" s="352">
        <v>68.507999999999996</v>
      </c>
      <c r="AF118" s="352">
        <v>67.807000000000002</v>
      </c>
      <c r="AG118" s="230">
        <f>AC118+AD118+AE118+AF118</f>
        <v>262.57100000000003</v>
      </c>
      <c r="AH118" s="352">
        <v>71.028000000000006</v>
      </c>
      <c r="AI118" s="352">
        <v>69.768000000000001</v>
      </c>
      <c r="AJ118" s="352">
        <v>72.884</v>
      </c>
      <c r="AK118" s="352">
        <v>75.971000000000004</v>
      </c>
      <c r="AL118" s="230">
        <f>AH118+AI118+AJ118+AK118</f>
        <v>289.65100000000001</v>
      </c>
      <c r="AM118" s="352">
        <v>64.271000000000001</v>
      </c>
      <c r="AN118" s="352">
        <v>73.31</v>
      </c>
      <c r="AO118" s="352">
        <v>77.063999999999993</v>
      </c>
      <c r="AP118" s="352">
        <v>83.951999999999998</v>
      </c>
      <c r="AQ118" s="230">
        <f>AM118+AN118+AO118+AP118</f>
        <v>298.59699999999998</v>
      </c>
      <c r="AR118" s="352">
        <v>77.049000000000007</v>
      </c>
      <c r="AS118" s="352">
        <v>78.174000000000007</v>
      </c>
      <c r="AT118" s="352">
        <v>75.132000000000005</v>
      </c>
      <c r="AU118" s="352">
        <v>75.501000000000005</v>
      </c>
      <c r="AV118" s="230">
        <f>AR118+AS118+AT118+AU118</f>
        <v>305.85599999999999</v>
      </c>
      <c r="AW118" s="352">
        <v>78.506</v>
      </c>
      <c r="AX118" s="352">
        <v>88.625</v>
      </c>
      <c r="AY118" s="352">
        <v>82.241</v>
      </c>
      <c r="AZ118" s="352">
        <v>80.784000000000006</v>
      </c>
      <c r="BA118" s="230">
        <f>AW118+AX118+AY118+AZ118</f>
        <v>330.15600000000001</v>
      </c>
      <c r="BB118" s="353">
        <v>84.763999999999996</v>
      </c>
      <c r="BC118" s="353">
        <v>83.653000000000006</v>
      </c>
      <c r="BD118" s="353">
        <v>87.447999999999993</v>
      </c>
      <c r="BE118" s="353">
        <v>90.781000000000006</v>
      </c>
      <c r="BF118" s="230">
        <f>BB118+BC118+BD118+BE118</f>
        <v>346.64600000000002</v>
      </c>
      <c r="BG118" s="353">
        <v>85.275000000000006</v>
      </c>
      <c r="BH118" s="353">
        <v>75.137</v>
      </c>
      <c r="BI118" s="353">
        <v>97.8</v>
      </c>
      <c r="BJ118" s="356">
        <v>93.602999999999994</v>
      </c>
      <c r="BK118" s="230">
        <f>SUM(BG118:BJ118)</f>
        <v>351.815</v>
      </c>
      <c r="BL118" s="356">
        <v>92.093000000000004</v>
      </c>
      <c r="BM118" s="356">
        <v>94.793999999999997</v>
      </c>
      <c r="BN118" s="356">
        <v>98.108000000000004</v>
      </c>
      <c r="BO118" s="356">
        <v>104</v>
      </c>
      <c r="BP118" s="230">
        <f>SUM(BL118:BO118)</f>
        <v>388.995</v>
      </c>
      <c r="BQ118" s="356">
        <v>85</v>
      </c>
      <c r="BR118" s="356">
        <v>103</v>
      </c>
      <c r="BS118" s="356">
        <v>88</v>
      </c>
      <c r="BT118" s="356">
        <v>74</v>
      </c>
      <c r="BU118" s="230">
        <f>SUM(BQ118:BT118)</f>
        <v>350</v>
      </c>
      <c r="BV118" s="356">
        <v>86</v>
      </c>
      <c r="BW118" s="356">
        <v>85</v>
      </c>
      <c r="BX118" s="356">
        <v>91</v>
      </c>
      <c r="BY118" s="356">
        <v>94</v>
      </c>
      <c r="BZ118" s="698">
        <f>SUM(BV118:BY118)</f>
        <v>356</v>
      </c>
      <c r="CA118" s="356">
        <v>92</v>
      </c>
      <c r="CB118" s="356">
        <v>92</v>
      </c>
      <c r="CC118" s="356">
        <v>92</v>
      </c>
      <c r="CD118" s="997">
        <v>90</v>
      </c>
      <c r="CE118" s="230">
        <f>SUM(CA118:CD118)</f>
        <v>366</v>
      </c>
      <c r="CF118" s="353">
        <f>+CJ118/4</f>
        <v>93.33</v>
      </c>
      <c r="CG118" s="353">
        <f>+CJ118/4</f>
        <v>93.33</v>
      </c>
      <c r="CH118" s="353">
        <f>+CJ118/4</f>
        <v>93.33</v>
      </c>
      <c r="CI118" s="353">
        <f>+CJ118/4</f>
        <v>93.33</v>
      </c>
      <c r="CJ118" s="230">
        <f>CE118*(1+CJ119)</f>
        <v>373.32</v>
      </c>
      <c r="CK118" s="353">
        <f>+CO118/4</f>
        <v>95.196600000000004</v>
      </c>
      <c r="CL118" s="353">
        <f>+CO118/4</f>
        <v>95.196600000000004</v>
      </c>
      <c r="CM118" s="353">
        <f>+CO118/4</f>
        <v>95.196600000000004</v>
      </c>
      <c r="CN118" s="353">
        <f>+CO118/4</f>
        <v>95.196600000000004</v>
      </c>
      <c r="CO118" s="230">
        <f>CJ118*(1+CO119)</f>
        <v>380.78640000000001</v>
      </c>
      <c r="CP118" s="353">
        <f>+CT118/4</f>
        <v>97.100532000000001</v>
      </c>
      <c r="CQ118" s="353">
        <f>+CT118/4</f>
        <v>97.100532000000001</v>
      </c>
      <c r="CR118" s="353">
        <f>+CT118/4</f>
        <v>97.100532000000001</v>
      </c>
      <c r="CS118" s="353">
        <f>+CT118/4</f>
        <v>97.100532000000001</v>
      </c>
      <c r="CT118" s="230">
        <f>CO118*(1+CT119)</f>
        <v>388.402128</v>
      </c>
      <c r="CU118" s="353">
        <f>+CY118/4</f>
        <v>99.042542640000008</v>
      </c>
      <c r="CV118" s="353">
        <f>+CY118/4</f>
        <v>99.042542640000008</v>
      </c>
      <c r="CW118" s="353">
        <f>+CY118/4</f>
        <v>99.042542640000008</v>
      </c>
      <c r="CX118" s="353">
        <f>+CY118/4</f>
        <v>99.042542640000008</v>
      </c>
      <c r="CY118" s="230">
        <f>CT118*(1+CY119)</f>
        <v>396.17017056000003</v>
      </c>
      <c r="CZ118" s="353">
        <f>+DD118/4</f>
        <v>89.138288376000006</v>
      </c>
      <c r="DA118" s="353">
        <f>+DD118/4</f>
        <v>89.138288376000006</v>
      </c>
      <c r="DB118" s="353">
        <f>+DD118/4</f>
        <v>89.138288376000006</v>
      </c>
      <c r="DC118" s="353">
        <f>+DD118/4</f>
        <v>89.138288376000006</v>
      </c>
      <c r="DD118" s="230">
        <f>CY118*(1+DD119)</f>
        <v>356.55315350400002</v>
      </c>
      <c r="DE118" s="353">
        <f>+DI118/4</f>
        <v>80.224459538400012</v>
      </c>
      <c r="DF118" s="353">
        <f>+DI118/4</f>
        <v>80.224459538400012</v>
      </c>
      <c r="DG118" s="353">
        <f>+DI118/4</f>
        <v>80.224459538400012</v>
      </c>
      <c r="DH118" s="353">
        <f>+DI118/4</f>
        <v>80.224459538400012</v>
      </c>
      <c r="DI118" s="230">
        <f>DD118*(1+DI119)</f>
        <v>320.89783815360005</v>
      </c>
      <c r="DJ118" s="353">
        <f>+DN118/4</f>
        <v>72.202013584560007</v>
      </c>
      <c r="DK118" s="353">
        <f>+DN118/4</f>
        <v>72.202013584560007</v>
      </c>
      <c r="DL118" s="353">
        <f>+DN118/4</f>
        <v>72.202013584560007</v>
      </c>
      <c r="DM118" s="353">
        <f>+DN118/4</f>
        <v>72.202013584560007</v>
      </c>
      <c r="DN118" s="230">
        <f>DI118*(1+DN119)</f>
        <v>288.80805433824003</v>
      </c>
      <c r="DO118" s="353">
        <f>+DS118/4</f>
        <v>64.981812226104012</v>
      </c>
      <c r="DP118" s="353">
        <f>+DS118/4</f>
        <v>64.981812226104012</v>
      </c>
      <c r="DQ118" s="353">
        <f>+DS118/4</f>
        <v>64.981812226104012</v>
      </c>
      <c r="DR118" s="353">
        <f>+DS118/4</f>
        <v>64.981812226104012</v>
      </c>
      <c r="DS118" s="230">
        <f>DN118*(1+DS119)</f>
        <v>259.92724890441605</v>
      </c>
      <c r="DT118" s="353">
        <f>+DX118/4</f>
        <v>58.483631003493613</v>
      </c>
      <c r="DU118" s="353">
        <f>+DX118/4</f>
        <v>58.483631003493613</v>
      </c>
      <c r="DV118" s="353">
        <f>+DX118/4</f>
        <v>58.483631003493613</v>
      </c>
      <c r="DW118" s="353">
        <f>+DX118/4</f>
        <v>58.483631003493613</v>
      </c>
      <c r="DX118" s="230">
        <f>DS118*(1+DX119)</f>
        <v>233.93452401397445</v>
      </c>
      <c r="DY118" s="353">
        <f>+EC118/4</f>
        <v>52.635267903144253</v>
      </c>
      <c r="DZ118" s="353">
        <f>+EC118/4</f>
        <v>52.635267903144253</v>
      </c>
      <c r="EA118" s="353">
        <f>+EC118/4</f>
        <v>52.635267903144253</v>
      </c>
      <c r="EB118" s="353">
        <f>+EC118/4</f>
        <v>52.635267903144253</v>
      </c>
      <c r="EC118" s="230">
        <f>DX118*(1+EC119)</f>
        <v>210.54107161257701</v>
      </c>
      <c r="ED118" s="353">
        <f>+EH118/4</f>
        <v>47.371741112829831</v>
      </c>
      <c r="EE118" s="353">
        <f>+EH118/4</f>
        <v>47.371741112829831</v>
      </c>
      <c r="EF118" s="353">
        <f>+EH118/4</f>
        <v>47.371741112829831</v>
      </c>
      <c r="EG118" s="353">
        <f>+EH118/4</f>
        <v>47.371741112829831</v>
      </c>
      <c r="EH118" s="230">
        <f>EC118*(1+EH119)</f>
        <v>189.48696445131932</v>
      </c>
      <c r="EI118" s="353">
        <f>+EM118/4</f>
        <v>42.634567001546849</v>
      </c>
      <c r="EJ118" s="353">
        <f>+EM118/4</f>
        <v>42.634567001546849</v>
      </c>
      <c r="EK118" s="353">
        <f>+EM118/4</f>
        <v>42.634567001546849</v>
      </c>
      <c r="EL118" s="353">
        <f>+EM118/4</f>
        <v>42.634567001546849</v>
      </c>
      <c r="EM118" s="230">
        <f>EH118*(1+EM119)</f>
        <v>170.53826800618739</v>
      </c>
      <c r="EN118" s="353">
        <f>+ER118/4</f>
        <v>38.371110301392164</v>
      </c>
      <c r="EO118" s="353">
        <f>+ER118/4</f>
        <v>38.371110301392164</v>
      </c>
      <c r="EP118" s="353">
        <f>+ER118/4</f>
        <v>38.371110301392164</v>
      </c>
      <c r="EQ118" s="353">
        <f>+ER118/4</f>
        <v>38.371110301392164</v>
      </c>
      <c r="ER118" s="230">
        <f>EM118*(1+ER119)</f>
        <v>153.48444120556866</v>
      </c>
    </row>
    <row r="119" spans="2:148" s="17" customFormat="1" ht="12.75" hidden="1" customHeight="1" outlineLevel="1">
      <c r="D119" s="320"/>
      <c r="E119" s="320"/>
      <c r="F119" s="320"/>
      <c r="G119" s="320"/>
      <c r="I119" s="320"/>
      <c r="J119" s="320"/>
      <c r="K119" s="320"/>
      <c r="L119" s="320"/>
      <c r="N119" s="320"/>
      <c r="O119" s="320"/>
      <c r="P119" s="320"/>
      <c r="Q119" s="320"/>
      <c r="S119" s="320"/>
      <c r="T119" s="320"/>
      <c r="U119" s="320"/>
      <c r="V119" s="320"/>
      <c r="X119" s="320"/>
      <c r="Y119" s="320"/>
      <c r="Z119" s="320"/>
      <c r="AA119" s="320"/>
      <c r="AC119" s="320"/>
      <c r="AD119" s="320"/>
      <c r="AE119" s="320"/>
      <c r="AF119" s="320"/>
      <c r="AH119" s="320"/>
      <c r="AI119" s="320"/>
      <c r="AJ119" s="320"/>
      <c r="AK119" s="320"/>
      <c r="AL119" s="31"/>
      <c r="AM119" s="320"/>
      <c r="AN119" s="320"/>
      <c r="AO119" s="320"/>
      <c r="AP119" s="320"/>
      <c r="AQ119" s="31"/>
      <c r="AR119" s="320"/>
      <c r="AS119" s="320"/>
      <c r="AT119" s="320"/>
      <c r="AU119" s="320"/>
      <c r="AV119" s="31"/>
      <c r="AW119" s="320"/>
      <c r="AX119" s="320"/>
      <c r="AY119" s="320"/>
      <c r="AZ119" s="320"/>
      <c r="BA119" s="31"/>
      <c r="BB119" s="309"/>
      <c r="BC119" s="309"/>
      <c r="BD119" s="309"/>
      <c r="BE119" s="309"/>
      <c r="BF119" s="31">
        <f>BF118/BA118-1</f>
        <v>4.9946086092635067E-2</v>
      </c>
      <c r="BG119" s="309"/>
      <c r="BH119" s="309"/>
      <c r="BI119" s="309"/>
      <c r="BJ119" s="309"/>
      <c r="BK119" s="31">
        <f>BK118/BF118-1</f>
        <v>1.4911465875850238E-2</v>
      </c>
      <c r="BL119" s="309"/>
      <c r="BM119" s="309"/>
      <c r="BN119" s="309"/>
      <c r="BO119" s="309"/>
      <c r="BP119" s="31">
        <f>BP118/BK118-1</f>
        <v>0.10568054233048629</v>
      </c>
      <c r="BQ119" s="309"/>
      <c r="BR119" s="309"/>
      <c r="BS119" s="309"/>
      <c r="BT119" s="309"/>
      <c r="BU119" s="18">
        <f>BU118/BP118-1</f>
        <v>-0.10024550444093117</v>
      </c>
      <c r="BV119" s="309"/>
      <c r="BW119" s="309"/>
      <c r="BX119" s="742"/>
      <c r="BY119" s="309"/>
      <c r="BZ119" s="18">
        <f>BZ118/BU118-1</f>
        <v>1.7142857142857126E-2</v>
      </c>
      <c r="CA119" s="742"/>
      <c r="CB119" s="309"/>
      <c r="CC119" s="309"/>
      <c r="CD119" s="309"/>
      <c r="CE119" s="18">
        <f>CE118/BZ118-1</f>
        <v>2.8089887640449396E-2</v>
      </c>
      <c r="CF119" s="309"/>
      <c r="CG119" s="309"/>
      <c r="CH119" s="309"/>
      <c r="CI119" s="309"/>
      <c r="CJ119" s="360">
        <v>0.02</v>
      </c>
      <c r="CK119" s="309"/>
      <c r="CL119" s="309"/>
      <c r="CM119" s="309"/>
      <c r="CN119" s="309"/>
      <c r="CO119" s="360">
        <f>CJ119</f>
        <v>0.02</v>
      </c>
      <c r="CP119" s="309"/>
      <c r="CQ119" s="309"/>
      <c r="CR119" s="309"/>
      <c r="CS119" s="309"/>
      <c r="CT119" s="360">
        <f>CO119</f>
        <v>0.02</v>
      </c>
      <c r="CU119" s="309"/>
      <c r="CV119" s="309"/>
      <c r="CW119" s="309"/>
      <c r="CX119" s="309"/>
      <c r="CY119" s="360">
        <f>CT119</f>
        <v>0.02</v>
      </c>
      <c r="CZ119" s="309"/>
      <c r="DA119" s="309"/>
      <c r="DB119" s="309"/>
      <c r="DC119" s="309"/>
      <c r="DD119" s="360">
        <v>-0.1</v>
      </c>
      <c r="DE119" s="309"/>
      <c r="DF119" s="309"/>
      <c r="DG119" s="309"/>
      <c r="DH119" s="309"/>
      <c r="DI119" s="360">
        <f>DD119</f>
        <v>-0.1</v>
      </c>
      <c r="DJ119" s="309"/>
      <c r="DK119" s="309"/>
      <c r="DL119" s="309"/>
      <c r="DM119" s="309"/>
      <c r="DN119" s="360">
        <f>DI119</f>
        <v>-0.1</v>
      </c>
      <c r="DO119" s="309"/>
      <c r="DP119" s="309"/>
      <c r="DQ119" s="309"/>
      <c r="DR119" s="309"/>
      <c r="DS119" s="360">
        <f>DN119</f>
        <v>-0.1</v>
      </c>
      <c r="DT119" s="309"/>
      <c r="DU119" s="309"/>
      <c r="DV119" s="309"/>
      <c r="DW119" s="309"/>
      <c r="DX119" s="360">
        <f>DS119</f>
        <v>-0.1</v>
      </c>
      <c r="DY119" s="309"/>
      <c r="DZ119" s="309"/>
      <c r="EA119" s="309"/>
      <c r="EB119" s="309"/>
      <c r="EC119" s="360">
        <f>DX119</f>
        <v>-0.1</v>
      </c>
      <c r="ED119" s="309"/>
      <c r="EE119" s="309"/>
      <c r="EF119" s="309"/>
      <c r="EG119" s="309"/>
      <c r="EH119" s="360">
        <f>EC119</f>
        <v>-0.1</v>
      </c>
      <c r="EI119" s="309"/>
      <c r="EJ119" s="309"/>
      <c r="EK119" s="309"/>
      <c r="EL119" s="309"/>
      <c r="EM119" s="360">
        <f>EH119</f>
        <v>-0.1</v>
      </c>
      <c r="EN119" s="309"/>
      <c r="EO119" s="309"/>
      <c r="EP119" s="309"/>
      <c r="EQ119" s="309"/>
      <c r="ER119" s="360">
        <f>EM119</f>
        <v>-0.1</v>
      </c>
    </row>
    <row r="120" spans="2:148" collapsed="1">
      <c r="B120" s="230"/>
      <c r="C120" s="230"/>
      <c r="D120" s="352"/>
      <c r="E120" s="352"/>
      <c r="F120" s="352"/>
      <c r="G120" s="352"/>
      <c r="H120" s="230"/>
      <c r="I120" s="352"/>
      <c r="J120" s="352"/>
      <c r="K120" s="352"/>
      <c r="L120" s="352"/>
      <c r="M120" s="230"/>
      <c r="N120" s="352"/>
      <c r="O120" s="352"/>
      <c r="P120" s="352"/>
      <c r="Q120" s="352"/>
      <c r="R120" s="230"/>
      <c r="S120" s="352"/>
      <c r="T120" s="352"/>
      <c r="U120" s="352"/>
      <c r="V120" s="352"/>
      <c r="W120" s="230"/>
      <c r="X120" s="352"/>
      <c r="Y120" s="352"/>
      <c r="Z120" s="352"/>
      <c r="AA120" s="352"/>
      <c r="AB120" s="230"/>
      <c r="AC120" s="352"/>
      <c r="AD120" s="352"/>
      <c r="AE120" s="352"/>
      <c r="AF120" s="352"/>
      <c r="AG120" s="230"/>
      <c r="AH120" s="352"/>
      <c r="AI120" s="352"/>
      <c r="AJ120" s="352"/>
      <c r="AK120" s="352"/>
      <c r="AL120" s="233"/>
      <c r="AM120" s="352"/>
      <c r="AN120" s="352"/>
      <c r="AO120" s="352"/>
      <c r="AP120" s="352"/>
      <c r="AQ120" s="233"/>
      <c r="AR120" s="352"/>
      <c r="AS120" s="352"/>
      <c r="AT120" s="352"/>
      <c r="AU120" s="352"/>
      <c r="AV120" s="233"/>
      <c r="AW120" s="352"/>
      <c r="AX120" s="352"/>
      <c r="AY120" s="352"/>
      <c r="AZ120" s="352"/>
      <c r="BA120" s="233"/>
      <c r="BB120" s="353"/>
      <c r="BC120" s="353"/>
      <c r="BD120" s="353"/>
      <c r="BE120" s="353"/>
      <c r="BF120" s="355"/>
      <c r="BG120" s="353"/>
      <c r="BH120" s="353"/>
      <c r="BI120" s="353"/>
      <c r="BJ120" s="353"/>
      <c r="BK120" s="355"/>
      <c r="BL120" s="353"/>
      <c r="BM120" s="353"/>
      <c r="BN120" s="353"/>
      <c r="BO120" s="353"/>
      <c r="BP120" s="355"/>
      <c r="BQ120" s="353"/>
      <c r="BR120" s="353"/>
      <c r="BS120" s="353"/>
      <c r="BT120" s="353"/>
      <c r="BU120" s="355"/>
      <c r="BV120" s="353"/>
      <c r="BW120" s="712"/>
      <c r="BX120" s="356"/>
      <c r="BY120" s="353"/>
      <c r="BZ120" s="355"/>
      <c r="CA120" s="356"/>
      <c r="CB120" s="353"/>
      <c r="CC120" s="353"/>
      <c r="CD120" s="353"/>
      <c r="CE120" s="355"/>
      <c r="CF120" s="353"/>
      <c r="CG120" s="353"/>
      <c r="CH120" s="353"/>
      <c r="CI120" s="353"/>
      <c r="CJ120" s="355"/>
      <c r="CK120" s="353"/>
      <c r="CL120" s="353"/>
      <c r="CM120" s="353"/>
      <c r="CN120" s="353"/>
      <c r="CO120" s="355"/>
      <c r="CP120" s="353"/>
      <c r="CQ120" s="353"/>
      <c r="CR120" s="353"/>
      <c r="CS120" s="353"/>
      <c r="CT120" s="355"/>
      <c r="CU120" s="353"/>
      <c r="CV120" s="353"/>
      <c r="CW120" s="353"/>
      <c r="CX120" s="353"/>
      <c r="CY120" s="355"/>
      <c r="CZ120" s="353"/>
      <c r="DA120" s="353"/>
      <c r="DB120" s="353"/>
      <c r="DC120" s="353"/>
      <c r="DD120" s="355"/>
      <c r="DE120" s="353"/>
      <c r="DF120" s="353"/>
      <c r="DG120" s="353"/>
      <c r="DH120" s="353"/>
      <c r="DI120" s="355"/>
      <c r="DJ120" s="353"/>
      <c r="DK120" s="353"/>
      <c r="DL120" s="353"/>
      <c r="DM120" s="353"/>
      <c r="DN120" s="355"/>
      <c r="DO120" s="353"/>
      <c r="DP120" s="353"/>
      <c r="DQ120" s="353"/>
      <c r="DR120" s="353"/>
      <c r="DS120" s="355"/>
      <c r="DT120" s="353"/>
      <c r="DU120" s="353"/>
      <c r="DV120" s="353"/>
      <c r="DW120" s="353"/>
      <c r="DX120" s="355"/>
      <c r="DY120" s="353"/>
      <c r="DZ120" s="353"/>
      <c r="EA120" s="353"/>
      <c r="EB120" s="353"/>
      <c r="EC120" s="355"/>
      <c r="ED120" s="353"/>
      <c r="EE120" s="353"/>
      <c r="EF120" s="353"/>
      <c r="EG120" s="353"/>
      <c r="EH120" s="355"/>
      <c r="EI120" s="353"/>
      <c r="EJ120" s="353"/>
      <c r="EK120" s="353"/>
      <c r="EL120" s="353"/>
      <c r="EM120" s="355"/>
      <c r="EN120" s="353"/>
      <c r="EO120" s="353"/>
      <c r="EP120" s="353"/>
      <c r="EQ120" s="353"/>
      <c r="ER120" s="355"/>
    </row>
    <row r="121" spans="2:148">
      <c r="B121" s="234" t="s">
        <v>862</v>
      </c>
      <c r="C121" s="230"/>
      <c r="D121" s="352"/>
      <c r="E121" s="352"/>
      <c r="F121" s="352"/>
      <c r="G121" s="352"/>
      <c r="H121" s="230"/>
      <c r="I121" s="352"/>
      <c r="J121" s="352"/>
      <c r="K121" s="352"/>
      <c r="L121" s="352"/>
      <c r="M121" s="230"/>
      <c r="N121" s="352"/>
      <c r="O121" s="352"/>
      <c r="P121" s="352"/>
      <c r="Q121" s="352"/>
      <c r="R121" s="230"/>
      <c r="S121" s="352"/>
      <c r="T121" s="352"/>
      <c r="U121" s="352"/>
      <c r="V121" s="352"/>
      <c r="W121" s="230"/>
      <c r="X121" s="352"/>
      <c r="Y121" s="352"/>
      <c r="Z121" s="352"/>
      <c r="AA121" s="352"/>
      <c r="AB121" s="230"/>
      <c r="AC121" s="352"/>
      <c r="AD121" s="352"/>
      <c r="AE121" s="352"/>
      <c r="AF121" s="352"/>
      <c r="AG121" s="230"/>
      <c r="AH121" s="352"/>
      <c r="AI121" s="352"/>
      <c r="AJ121" s="352"/>
      <c r="AK121" s="352"/>
      <c r="AL121" s="230"/>
      <c r="AM121" s="352"/>
      <c r="AN121" s="352"/>
      <c r="AO121" s="352"/>
      <c r="AP121" s="352"/>
      <c r="AQ121" s="230"/>
      <c r="AR121" s="297"/>
      <c r="AS121" s="297"/>
      <c r="AT121" s="297"/>
      <c r="AU121" s="297"/>
      <c r="AV121" s="230"/>
      <c r="AW121" s="297"/>
      <c r="AX121" s="297"/>
      <c r="AY121" s="297"/>
      <c r="AZ121" s="297"/>
      <c r="BA121" s="230"/>
      <c r="BB121" s="298"/>
      <c r="BC121" s="298"/>
      <c r="BD121" s="298"/>
      <c r="BE121" s="298"/>
      <c r="BF121" s="230"/>
      <c r="BG121" s="298"/>
      <c r="BH121" s="298"/>
      <c r="BI121" s="298"/>
      <c r="BJ121" s="298"/>
      <c r="BK121" s="230"/>
      <c r="BL121" s="298"/>
      <c r="BM121" s="298"/>
      <c r="BN121" s="356">
        <v>5.8620000000000001</v>
      </c>
      <c r="BO121" s="356">
        <v>17</v>
      </c>
      <c r="BP121" s="230">
        <f>SUM(BL121:BO121)</f>
        <v>22.862000000000002</v>
      </c>
      <c r="BQ121" s="356">
        <v>26</v>
      </c>
      <c r="BR121" s="356">
        <v>30</v>
      </c>
      <c r="BS121" s="356">
        <v>36</v>
      </c>
      <c r="BT121" s="356">
        <v>40</v>
      </c>
      <c r="BU121" s="230">
        <f>SUM(BQ121:BT121)</f>
        <v>132</v>
      </c>
      <c r="BV121" s="356">
        <v>49</v>
      </c>
      <c r="BW121" s="356">
        <v>41</v>
      </c>
      <c r="BX121" s="356">
        <v>39</v>
      </c>
      <c r="BY121" s="356">
        <v>39</v>
      </c>
      <c r="BZ121" s="230">
        <f>SUM(BV121:BY121)</f>
        <v>168</v>
      </c>
      <c r="CA121" s="356">
        <v>35</v>
      </c>
      <c r="CB121" s="356">
        <v>35</v>
      </c>
      <c r="CC121" s="356">
        <v>40</v>
      </c>
      <c r="CD121" s="997">
        <v>39</v>
      </c>
      <c r="CE121" s="230">
        <f>SUM(CA121:CD121)</f>
        <v>149</v>
      </c>
      <c r="CF121" s="353">
        <f>+CJ121/4</f>
        <v>39.112500000000004</v>
      </c>
      <c r="CG121" s="353">
        <f>+CJ121/4</f>
        <v>39.112500000000004</v>
      </c>
      <c r="CH121" s="353">
        <f>+CJ121/4</f>
        <v>39.112500000000004</v>
      </c>
      <c r="CI121" s="353">
        <f>+CJ121/4</f>
        <v>39.112500000000004</v>
      </c>
      <c r="CJ121" s="698">
        <f>CE121*1.05</f>
        <v>156.45000000000002</v>
      </c>
      <c r="CK121" s="353">
        <f>+CO121/4</f>
        <v>41.068125000000009</v>
      </c>
      <c r="CL121" s="353">
        <f>+CO121/4</f>
        <v>41.068125000000009</v>
      </c>
      <c r="CM121" s="353">
        <f>+CO121/4</f>
        <v>41.068125000000009</v>
      </c>
      <c r="CN121" s="353">
        <f>+CO121/4</f>
        <v>41.068125000000009</v>
      </c>
      <c r="CO121" s="698">
        <f>CJ121*1.05</f>
        <v>164.27250000000004</v>
      </c>
      <c r="CP121" s="353">
        <f>+CT121/4</f>
        <v>43.121531250000011</v>
      </c>
      <c r="CQ121" s="353">
        <f>+CT121/4</f>
        <v>43.121531250000011</v>
      </c>
      <c r="CR121" s="353">
        <f>+CT121/4</f>
        <v>43.121531250000011</v>
      </c>
      <c r="CS121" s="353">
        <f>+CT121/4</f>
        <v>43.121531250000011</v>
      </c>
      <c r="CT121" s="698">
        <f>CO121*1.05</f>
        <v>172.48612500000004</v>
      </c>
      <c r="CU121" s="353">
        <f>+CY121/4</f>
        <v>45.277607812500015</v>
      </c>
      <c r="CV121" s="353">
        <f>+CY121/4</f>
        <v>45.277607812500015</v>
      </c>
      <c r="CW121" s="353">
        <f>+CY121/4</f>
        <v>45.277607812500015</v>
      </c>
      <c r="CX121" s="353">
        <f>+CY121/4</f>
        <v>45.277607812500015</v>
      </c>
      <c r="CY121" s="698">
        <f>CT121*1.05</f>
        <v>181.11043125000006</v>
      </c>
      <c r="CZ121" s="353">
        <f>+DD121/4</f>
        <v>47.54148820312502</v>
      </c>
      <c r="DA121" s="353">
        <f>+DD121/4</f>
        <v>47.54148820312502</v>
      </c>
      <c r="DB121" s="353">
        <f>+DD121/4</f>
        <v>47.54148820312502</v>
      </c>
      <c r="DC121" s="353">
        <f>+DD121/4</f>
        <v>47.54148820312502</v>
      </c>
      <c r="DD121" s="698">
        <f>CY121*1.05</f>
        <v>190.16595281250008</v>
      </c>
      <c r="DE121" s="353">
        <f>+DI121/4</f>
        <v>49.918562613281274</v>
      </c>
      <c r="DF121" s="353">
        <f>+DI121/4</f>
        <v>49.918562613281274</v>
      </c>
      <c r="DG121" s="353">
        <f>+DI121/4</f>
        <v>49.918562613281274</v>
      </c>
      <c r="DH121" s="353">
        <f>+DI121/4</f>
        <v>49.918562613281274</v>
      </c>
      <c r="DI121" s="698">
        <f>DD121*1.05</f>
        <v>199.6742504531251</v>
      </c>
      <c r="DJ121" s="353">
        <f>+DN121/4</f>
        <v>52.414490743945343</v>
      </c>
      <c r="DK121" s="353">
        <f>+DN121/4</f>
        <v>52.414490743945343</v>
      </c>
      <c r="DL121" s="353">
        <f>+DN121/4</f>
        <v>52.414490743945343</v>
      </c>
      <c r="DM121" s="353">
        <f>+DN121/4</f>
        <v>52.414490743945343</v>
      </c>
      <c r="DN121" s="698">
        <f>DI121*1.05</f>
        <v>209.65796297578137</v>
      </c>
      <c r="DO121" s="353">
        <f>+DS121/4</f>
        <v>55.035215281142612</v>
      </c>
      <c r="DP121" s="353">
        <f>+DS121/4</f>
        <v>55.035215281142612</v>
      </c>
      <c r="DQ121" s="353">
        <f>+DS121/4</f>
        <v>55.035215281142612</v>
      </c>
      <c r="DR121" s="353">
        <f>+DS121/4</f>
        <v>55.035215281142612</v>
      </c>
      <c r="DS121" s="698">
        <f>DN121*1.05</f>
        <v>220.14086112457045</v>
      </c>
      <c r="DT121" s="353">
        <f>+DX121/4</f>
        <v>16.510564584342784</v>
      </c>
      <c r="DU121" s="353">
        <f>+DX121/4</f>
        <v>16.510564584342784</v>
      </c>
      <c r="DV121" s="353">
        <f>+DX121/4</f>
        <v>16.510564584342784</v>
      </c>
      <c r="DW121" s="353">
        <f>+DX121/4</f>
        <v>16.510564584342784</v>
      </c>
      <c r="DX121" s="611">
        <f>DS121*0.3</f>
        <v>66.042258337371138</v>
      </c>
      <c r="DY121" s="353">
        <f>+EC121/4</f>
        <v>3.3021129168685572</v>
      </c>
      <c r="DZ121" s="353">
        <f>+EC121/4</f>
        <v>3.3021129168685572</v>
      </c>
      <c r="EA121" s="353">
        <f>+EC121/4</f>
        <v>3.3021129168685572</v>
      </c>
      <c r="EB121" s="353">
        <f>+EC121/4</f>
        <v>3.3021129168685572</v>
      </c>
      <c r="EC121" s="611">
        <f>DX121*0.2</f>
        <v>13.208451667474229</v>
      </c>
      <c r="ED121" s="353">
        <f>+EH121/4</f>
        <v>0.33021129168685576</v>
      </c>
      <c r="EE121" s="353">
        <f>+EH121/4</f>
        <v>0.33021129168685576</v>
      </c>
      <c r="EF121" s="353">
        <f>+EH121/4</f>
        <v>0.33021129168685576</v>
      </c>
      <c r="EG121" s="353">
        <f>+EH121/4</f>
        <v>0.33021129168685576</v>
      </c>
      <c r="EH121" s="611">
        <f>EC121*0.1</f>
        <v>1.320845166747423</v>
      </c>
      <c r="EI121" s="353">
        <f>+EM121/4</f>
        <v>3.3021129168685576E-2</v>
      </c>
      <c r="EJ121" s="353">
        <f>+EM121/4</f>
        <v>3.3021129168685576E-2</v>
      </c>
      <c r="EK121" s="353">
        <f>+EM121/4</f>
        <v>3.3021129168685576E-2</v>
      </c>
      <c r="EL121" s="353">
        <f>+EM121/4</f>
        <v>3.3021129168685576E-2</v>
      </c>
      <c r="EM121" s="611">
        <f>EH121*0.1</f>
        <v>0.1320845166747423</v>
      </c>
      <c r="EN121" s="353">
        <f>+ER121/4</f>
        <v>3.3021129168685579E-3</v>
      </c>
      <c r="EO121" s="353">
        <f>+ER121/4</f>
        <v>3.3021129168685579E-3</v>
      </c>
      <c r="EP121" s="353">
        <f>+ER121/4</f>
        <v>3.3021129168685579E-3</v>
      </c>
      <c r="EQ121" s="353">
        <f>+ER121/4</f>
        <v>3.3021129168685579E-3</v>
      </c>
      <c r="ER121" s="611">
        <f>EM121*0.1</f>
        <v>1.3208451667474232E-2</v>
      </c>
    </row>
    <row r="122" spans="2:148">
      <c r="B122" s="230"/>
      <c r="C122" s="230"/>
      <c r="D122" s="352"/>
      <c r="E122" s="352"/>
      <c r="F122" s="352"/>
      <c r="G122" s="352"/>
      <c r="H122" s="230"/>
      <c r="I122" s="352"/>
      <c r="J122" s="352"/>
      <c r="K122" s="352"/>
      <c r="L122" s="352"/>
      <c r="M122" s="230"/>
      <c r="N122" s="352"/>
      <c r="O122" s="352"/>
      <c r="P122" s="352"/>
      <c r="Q122" s="352"/>
      <c r="R122" s="230"/>
      <c r="S122" s="352"/>
      <c r="T122" s="352"/>
      <c r="U122" s="352"/>
      <c r="V122" s="352"/>
      <c r="W122" s="230"/>
      <c r="X122" s="352"/>
      <c r="Y122" s="352"/>
      <c r="Z122" s="352"/>
      <c r="AA122" s="352"/>
      <c r="AB122" s="230"/>
      <c r="AC122" s="352"/>
      <c r="AD122" s="352"/>
      <c r="AE122" s="352"/>
      <c r="AF122" s="352"/>
      <c r="AG122" s="230"/>
      <c r="AH122" s="352"/>
      <c r="AI122" s="352"/>
      <c r="AJ122" s="352"/>
      <c r="AK122" s="352"/>
      <c r="AL122" s="230"/>
      <c r="AM122" s="352"/>
      <c r="AN122" s="352"/>
      <c r="AO122" s="352"/>
      <c r="AP122" s="352"/>
      <c r="AQ122" s="230"/>
      <c r="AR122" s="352"/>
      <c r="AS122" s="352"/>
      <c r="AT122" s="352"/>
      <c r="AU122" s="352"/>
      <c r="AV122" s="230"/>
      <c r="AW122" s="352"/>
      <c r="AX122" s="352"/>
      <c r="AY122" s="352"/>
      <c r="AZ122" s="352"/>
      <c r="BA122" s="230"/>
      <c r="BB122" s="353"/>
      <c r="BC122" s="353"/>
      <c r="BD122" s="353"/>
      <c r="BE122" s="353"/>
      <c r="BF122" s="230"/>
      <c r="BG122" s="353"/>
      <c r="BH122" s="353"/>
      <c r="BI122" s="353"/>
      <c r="BJ122" s="353"/>
      <c r="BK122" s="230"/>
      <c r="BL122" s="353"/>
      <c r="BM122" s="353"/>
      <c r="BN122" s="353"/>
      <c r="BO122" s="353"/>
      <c r="BP122" s="230"/>
      <c r="BQ122" s="353"/>
      <c r="BR122" s="353"/>
      <c r="BS122" s="353"/>
      <c r="BT122" s="353"/>
      <c r="BU122" s="230"/>
      <c r="BV122" s="356"/>
      <c r="BW122" s="353"/>
      <c r="BX122" s="353"/>
      <c r="BY122" s="353"/>
      <c r="BZ122" s="230"/>
      <c r="CA122" s="353"/>
      <c r="CB122" s="353"/>
      <c r="CC122" s="353"/>
      <c r="CD122" s="712"/>
      <c r="CE122" s="230"/>
      <c r="CF122" s="353"/>
      <c r="CG122" s="353"/>
      <c r="CH122" s="353"/>
      <c r="CI122" s="353"/>
      <c r="CJ122" s="230"/>
      <c r="CK122" s="353"/>
      <c r="CL122" s="353"/>
      <c r="CM122" s="353"/>
      <c r="CN122" s="353"/>
      <c r="CO122" s="230"/>
      <c r="CP122" s="353"/>
      <c r="CQ122" s="353"/>
      <c r="CR122" s="353"/>
      <c r="CS122" s="353"/>
      <c r="CT122" s="230"/>
      <c r="CU122" s="353"/>
      <c r="CV122" s="353"/>
      <c r="CW122" s="353"/>
      <c r="CX122" s="353"/>
      <c r="CY122" s="230"/>
      <c r="CZ122" s="353"/>
      <c r="DA122" s="353"/>
      <c r="DB122" s="353"/>
      <c r="DC122" s="353"/>
      <c r="DD122" s="230"/>
      <c r="DE122" s="353"/>
      <c r="DF122" s="353"/>
      <c r="DG122" s="353"/>
      <c r="DH122" s="353"/>
      <c r="DI122" s="230"/>
      <c r="DJ122" s="353"/>
      <c r="DK122" s="353"/>
      <c r="DL122" s="353"/>
      <c r="DM122" s="353"/>
      <c r="DN122" s="230"/>
      <c r="DO122" s="353"/>
      <c r="DP122" s="353"/>
      <c r="DQ122" s="353"/>
      <c r="DR122" s="353"/>
      <c r="DS122" s="230"/>
      <c r="DT122" s="353"/>
      <c r="DU122" s="353"/>
      <c r="DV122" s="353"/>
      <c r="DW122" s="353"/>
      <c r="DX122" s="230"/>
      <c r="DY122" s="353"/>
      <c r="DZ122" s="353"/>
      <c r="EA122" s="353"/>
      <c r="EB122" s="353"/>
      <c r="EC122" s="230"/>
      <c r="ED122" s="353"/>
      <c r="EE122" s="353"/>
      <c r="EF122" s="353"/>
      <c r="EG122" s="353"/>
      <c r="EH122" s="230"/>
      <c r="EI122" s="353"/>
      <c r="EJ122" s="353"/>
      <c r="EK122" s="353"/>
      <c r="EL122" s="353"/>
      <c r="EM122" s="230"/>
      <c r="EN122" s="353"/>
      <c r="EO122" s="353"/>
      <c r="EP122" s="353"/>
      <c r="EQ122" s="353"/>
      <c r="ER122" s="230"/>
    </row>
    <row r="123" spans="2:148">
      <c r="B123" s="230" t="s">
        <v>85</v>
      </c>
      <c r="C123" s="230">
        <f t="shared" ref="C123:AH123" si="61">C125+C128+C121</f>
        <v>10.851000000000001</v>
      </c>
      <c r="D123" s="352">
        <f t="shared" si="61"/>
        <v>3.7890000000000001</v>
      </c>
      <c r="E123" s="352">
        <f t="shared" si="61"/>
        <v>1.355</v>
      </c>
      <c r="F123" s="352">
        <f t="shared" si="61"/>
        <v>2.6829999999999998</v>
      </c>
      <c r="G123" s="352">
        <f t="shared" si="61"/>
        <v>4.5679999999999996</v>
      </c>
      <c r="H123" s="230">
        <f t="shared" si="61"/>
        <v>12.395</v>
      </c>
      <c r="I123" s="352">
        <f t="shared" si="61"/>
        <v>1.8340000000000005</v>
      </c>
      <c r="J123" s="352">
        <f t="shared" si="61"/>
        <v>7.0000000000000284E-2</v>
      </c>
      <c r="K123" s="352">
        <f t="shared" si="61"/>
        <v>4.713000000000001</v>
      </c>
      <c r="L123" s="352">
        <f t="shared" si="61"/>
        <v>4.4749999999999979</v>
      </c>
      <c r="M123" s="230">
        <f t="shared" si="61"/>
        <v>11.091999999999999</v>
      </c>
      <c r="N123" s="352">
        <f t="shared" si="61"/>
        <v>0.73399999999999999</v>
      </c>
      <c r="O123" s="352">
        <f t="shared" si="61"/>
        <v>2.7870000000000004</v>
      </c>
      <c r="P123" s="352">
        <f t="shared" si="61"/>
        <v>3.1120000000000001</v>
      </c>
      <c r="Q123" s="352">
        <f t="shared" si="61"/>
        <v>2.9990000000000001</v>
      </c>
      <c r="R123" s="230">
        <f t="shared" si="61"/>
        <v>9.6320000000000014</v>
      </c>
      <c r="S123" s="352">
        <f t="shared" si="61"/>
        <v>1.8759999999999999</v>
      </c>
      <c r="T123" s="352">
        <f t="shared" si="61"/>
        <v>2.0920000000000001</v>
      </c>
      <c r="U123" s="352">
        <f t="shared" si="61"/>
        <v>2.04</v>
      </c>
      <c r="V123" s="352">
        <f t="shared" si="61"/>
        <v>1.9079999999999999</v>
      </c>
      <c r="W123" s="230">
        <f t="shared" si="61"/>
        <v>7.9160000000000004</v>
      </c>
      <c r="X123" s="352">
        <f t="shared" si="61"/>
        <v>2.2149999999999999</v>
      </c>
      <c r="Y123" s="352">
        <f t="shared" si="61"/>
        <v>2.8580000000000001</v>
      </c>
      <c r="Z123" s="352">
        <f t="shared" si="61"/>
        <v>2.3319999999999999</v>
      </c>
      <c r="AA123" s="352">
        <f t="shared" si="61"/>
        <v>1.4610000000000001</v>
      </c>
      <c r="AB123" s="230">
        <f t="shared" si="61"/>
        <v>8.8659999999999997</v>
      </c>
      <c r="AC123" s="352">
        <f t="shared" si="61"/>
        <v>2.2570000000000001</v>
      </c>
      <c r="AD123" s="352">
        <f t="shared" si="61"/>
        <v>2.7730000000000001</v>
      </c>
      <c r="AE123" s="352">
        <f t="shared" si="61"/>
        <v>2.2429999999999999</v>
      </c>
      <c r="AF123" s="352">
        <f t="shared" si="61"/>
        <v>2.2509999999999999</v>
      </c>
      <c r="AG123" s="230">
        <f t="shared" si="61"/>
        <v>9.5239999999999991</v>
      </c>
      <c r="AH123" s="352">
        <f t="shared" si="61"/>
        <v>2.2610000000000001</v>
      </c>
      <c r="AI123" s="352">
        <f t="shared" ref="AI123:BM123" si="62">AI125+AI128+AI121</f>
        <v>2.3780000000000001</v>
      </c>
      <c r="AJ123" s="352">
        <f t="shared" si="62"/>
        <v>2.4289999999999998</v>
      </c>
      <c r="AK123" s="352">
        <f t="shared" si="62"/>
        <v>2.79</v>
      </c>
      <c r="AL123" s="230">
        <f t="shared" si="62"/>
        <v>9.8580000000000005</v>
      </c>
      <c r="AM123" s="352">
        <f t="shared" si="62"/>
        <v>2.94</v>
      </c>
      <c r="AN123" s="352">
        <f t="shared" si="62"/>
        <v>4.5590000000000002</v>
      </c>
      <c r="AO123" s="352">
        <f t="shared" si="62"/>
        <v>4.5819999999999999</v>
      </c>
      <c r="AP123" s="352">
        <f t="shared" si="62"/>
        <v>4.6900000000000004</v>
      </c>
      <c r="AQ123" s="230">
        <f t="shared" si="62"/>
        <v>16.771000000000001</v>
      </c>
      <c r="AR123" s="352">
        <f t="shared" si="62"/>
        <v>7.6349999999999998</v>
      </c>
      <c r="AS123" s="352">
        <f t="shared" si="62"/>
        <v>15.342000000000001</v>
      </c>
      <c r="AT123" s="352">
        <f t="shared" si="62"/>
        <v>19.757999999999999</v>
      </c>
      <c r="AU123" s="352">
        <f t="shared" si="62"/>
        <v>24.221</v>
      </c>
      <c r="AV123" s="230">
        <f t="shared" si="62"/>
        <v>66.956000000000003</v>
      </c>
      <c r="AW123" s="352">
        <f t="shared" si="62"/>
        <v>23.914999999999999</v>
      </c>
      <c r="AX123" s="352">
        <f t="shared" si="62"/>
        <v>26.850999999999999</v>
      </c>
      <c r="AY123" s="352">
        <f t="shared" si="62"/>
        <v>28.026</v>
      </c>
      <c r="AZ123" s="352">
        <f t="shared" si="62"/>
        <v>30.265000000000001</v>
      </c>
      <c r="BA123" s="230">
        <f t="shared" si="62"/>
        <v>109.05700000000002</v>
      </c>
      <c r="BB123" s="353">
        <f t="shared" si="62"/>
        <v>27.283000000000001</v>
      </c>
      <c r="BC123" s="353">
        <f t="shared" si="62"/>
        <v>28.115000000000002</v>
      </c>
      <c r="BD123" s="353">
        <f t="shared" si="62"/>
        <v>34.576999999999998</v>
      </c>
      <c r="BE123" s="353">
        <f t="shared" si="62"/>
        <v>36.957000000000001</v>
      </c>
      <c r="BF123" s="230">
        <f t="shared" si="62"/>
        <v>126.93199999999999</v>
      </c>
      <c r="BG123" s="353">
        <f t="shared" si="62"/>
        <v>32.822000000000003</v>
      </c>
      <c r="BH123" s="353">
        <f t="shared" si="62"/>
        <v>35.046999999999997</v>
      </c>
      <c r="BI123" s="353">
        <f t="shared" si="62"/>
        <v>34.225999999999999</v>
      </c>
      <c r="BJ123" s="353">
        <f t="shared" si="62"/>
        <v>41.304000000000002</v>
      </c>
      <c r="BK123" s="230">
        <f t="shared" si="62"/>
        <v>143.399</v>
      </c>
      <c r="BL123" s="353">
        <f t="shared" si="62"/>
        <v>35.881</v>
      </c>
      <c r="BM123" s="353">
        <f t="shared" si="62"/>
        <v>39.326999999999998</v>
      </c>
      <c r="BN123" s="353">
        <f>BN125+BN128</f>
        <v>40.799999999999997</v>
      </c>
      <c r="BO123" s="353">
        <f t="shared" ref="BO123:DZ123" si="63">BO125+BO128</f>
        <v>50</v>
      </c>
      <c r="BP123" s="230">
        <f t="shared" si="63"/>
        <v>166.00800000000001</v>
      </c>
      <c r="BQ123" s="353">
        <f t="shared" si="63"/>
        <v>38</v>
      </c>
      <c r="BR123" s="353">
        <f t="shared" si="63"/>
        <v>45</v>
      </c>
      <c r="BS123" s="353">
        <f t="shared" si="63"/>
        <v>43</v>
      </c>
      <c r="BT123" s="353">
        <f t="shared" si="63"/>
        <v>48</v>
      </c>
      <c r="BU123" s="230">
        <f t="shared" si="63"/>
        <v>174</v>
      </c>
      <c r="BV123" s="353">
        <f t="shared" si="63"/>
        <v>44</v>
      </c>
      <c r="BW123" s="353">
        <f t="shared" si="63"/>
        <v>43</v>
      </c>
      <c r="BX123" s="712">
        <f t="shared" si="63"/>
        <v>49</v>
      </c>
      <c r="BY123" s="712">
        <f t="shared" si="63"/>
        <v>52</v>
      </c>
      <c r="BZ123" s="230">
        <f t="shared" si="63"/>
        <v>188</v>
      </c>
      <c r="CA123" s="353">
        <f>CA125+CA128</f>
        <v>45</v>
      </c>
      <c r="CB123" s="356">
        <v>50</v>
      </c>
      <c r="CC123" s="356">
        <v>50</v>
      </c>
      <c r="CD123" s="997">
        <f>62-7</f>
        <v>55</v>
      </c>
      <c r="CE123" s="230">
        <f>SUM(CA123:CD123)</f>
        <v>200</v>
      </c>
      <c r="CF123" s="353">
        <f t="shared" si="63"/>
        <v>46.800000000000004</v>
      </c>
      <c r="CG123" s="353">
        <f t="shared" si="63"/>
        <v>52</v>
      </c>
      <c r="CH123" s="353">
        <f t="shared" si="63"/>
        <v>52</v>
      </c>
      <c r="CI123" s="353">
        <f t="shared" si="63"/>
        <v>57.965957446808488</v>
      </c>
      <c r="CJ123" s="698">
        <f>CJ125+CJ128</f>
        <v>208.7659574468085</v>
      </c>
      <c r="CK123" s="353">
        <f t="shared" si="63"/>
        <v>31.9</v>
      </c>
      <c r="CL123" s="353">
        <f t="shared" si="63"/>
        <v>33.9</v>
      </c>
      <c r="CM123" s="353">
        <f t="shared" si="63"/>
        <v>73.970402897238557</v>
      </c>
      <c r="CN123" s="353">
        <f t="shared" si="63"/>
        <v>73.970402897238557</v>
      </c>
      <c r="CO123" s="698">
        <f>CO125+CO128</f>
        <v>213.74080579447713</v>
      </c>
      <c r="CP123" s="353">
        <f t="shared" si="63"/>
        <v>31.9</v>
      </c>
      <c r="CQ123" s="353">
        <f t="shared" si="63"/>
        <v>33.9</v>
      </c>
      <c r="CR123" s="353">
        <f t="shared" si="63"/>
        <v>74.379693801951376</v>
      </c>
      <c r="CS123" s="353">
        <f t="shared" si="63"/>
        <v>74.379693801951376</v>
      </c>
      <c r="CT123" s="698">
        <f>CT125+CT128</f>
        <v>214.55938760390276</v>
      </c>
      <c r="CU123" s="353">
        <f t="shared" si="63"/>
        <v>50.957854555926907</v>
      </c>
      <c r="CV123" s="353">
        <f t="shared" si="63"/>
        <v>50.957854555926907</v>
      </c>
      <c r="CW123" s="353">
        <f t="shared" si="63"/>
        <v>50.957854555926907</v>
      </c>
      <c r="CX123" s="353">
        <f t="shared" si="63"/>
        <v>50.957854555926907</v>
      </c>
      <c r="CY123" s="698">
        <f>CY125+CY128</f>
        <v>203.83141822370763</v>
      </c>
      <c r="CZ123" s="353">
        <f t="shared" si="63"/>
        <v>25.478927277963454</v>
      </c>
      <c r="DA123" s="353">
        <f t="shared" si="63"/>
        <v>25.478927277963454</v>
      </c>
      <c r="DB123" s="353">
        <f t="shared" si="63"/>
        <v>25.478927277963454</v>
      </c>
      <c r="DC123" s="353">
        <f t="shared" si="63"/>
        <v>25.478927277963454</v>
      </c>
      <c r="DD123" s="698">
        <f>DD125+DD128</f>
        <v>101.91570911185381</v>
      </c>
      <c r="DE123" s="353">
        <f t="shared" si="63"/>
        <v>12.739463638981727</v>
      </c>
      <c r="DF123" s="353">
        <f t="shared" si="63"/>
        <v>12.739463638981727</v>
      </c>
      <c r="DG123" s="353">
        <f t="shared" si="63"/>
        <v>12.739463638981727</v>
      </c>
      <c r="DH123" s="353">
        <f t="shared" si="63"/>
        <v>12.739463638981727</v>
      </c>
      <c r="DI123" s="698">
        <f>DI125+DI128</f>
        <v>50.957854555926907</v>
      </c>
      <c r="DJ123" s="353">
        <f t="shared" si="63"/>
        <v>6.3697318194908634</v>
      </c>
      <c r="DK123" s="353">
        <f t="shared" si="63"/>
        <v>6.3697318194908634</v>
      </c>
      <c r="DL123" s="353">
        <f t="shared" si="63"/>
        <v>6.3697318194908634</v>
      </c>
      <c r="DM123" s="353">
        <f t="shared" si="63"/>
        <v>6.3697318194908634</v>
      </c>
      <c r="DN123" s="698">
        <f>DN125+DN128</f>
        <v>25.478927277963454</v>
      </c>
      <c r="DO123" s="353">
        <f t="shared" si="63"/>
        <v>3.1848659097454317</v>
      </c>
      <c r="DP123" s="353">
        <f t="shared" si="63"/>
        <v>3.1848659097454317</v>
      </c>
      <c r="DQ123" s="353">
        <f t="shared" si="63"/>
        <v>3.1848659097454317</v>
      </c>
      <c r="DR123" s="353">
        <f t="shared" si="63"/>
        <v>3.1848659097454317</v>
      </c>
      <c r="DS123" s="698">
        <f>DS125+DS128</f>
        <v>12.739463638981727</v>
      </c>
      <c r="DT123" s="353">
        <f t="shared" si="63"/>
        <v>1.5924329548727159</v>
      </c>
      <c r="DU123" s="353">
        <f t="shared" si="63"/>
        <v>1.5924329548727159</v>
      </c>
      <c r="DV123" s="353">
        <f t="shared" si="63"/>
        <v>1.5924329548727159</v>
      </c>
      <c r="DW123" s="353">
        <f t="shared" si="63"/>
        <v>1.5924329548727159</v>
      </c>
      <c r="DX123" s="698">
        <f>DX125+DX128</f>
        <v>6.3697318194908634</v>
      </c>
      <c r="DY123" s="353">
        <f t="shared" si="63"/>
        <v>0.79621647743635793</v>
      </c>
      <c r="DZ123" s="353">
        <f t="shared" si="63"/>
        <v>0.79621647743635793</v>
      </c>
      <c r="EA123" s="353">
        <f t="shared" ref="EA123:EQ123" si="64">EA125+EA128</f>
        <v>0.79621647743635793</v>
      </c>
      <c r="EB123" s="353">
        <f t="shared" si="64"/>
        <v>0.79621647743635793</v>
      </c>
      <c r="EC123" s="698">
        <f>EC125+EC128</f>
        <v>3.1848659097454317</v>
      </c>
      <c r="ED123" s="353">
        <f t="shared" si="64"/>
        <v>0.39810823871817896</v>
      </c>
      <c r="EE123" s="353">
        <f t="shared" si="64"/>
        <v>0.39810823871817896</v>
      </c>
      <c r="EF123" s="353">
        <f t="shared" si="64"/>
        <v>0.39810823871817896</v>
      </c>
      <c r="EG123" s="353">
        <f t="shared" si="64"/>
        <v>0.39810823871817896</v>
      </c>
      <c r="EH123" s="698">
        <f>EH125+EH128</f>
        <v>1.5924329548727159</v>
      </c>
      <c r="EI123" s="353">
        <f t="shared" si="64"/>
        <v>0.19905411935908948</v>
      </c>
      <c r="EJ123" s="353">
        <f t="shared" si="64"/>
        <v>0.19905411935908948</v>
      </c>
      <c r="EK123" s="353">
        <f t="shared" si="64"/>
        <v>0.19905411935908948</v>
      </c>
      <c r="EL123" s="353">
        <f t="shared" si="64"/>
        <v>0.19905411935908948</v>
      </c>
      <c r="EM123" s="698">
        <f>EM125+EM128</f>
        <v>0.79621647743635793</v>
      </c>
      <c r="EN123" s="353">
        <f t="shared" si="64"/>
        <v>9.9527059679544741E-2</v>
      </c>
      <c r="EO123" s="353">
        <f t="shared" si="64"/>
        <v>9.9527059679544741E-2</v>
      </c>
      <c r="EP123" s="353">
        <f t="shared" si="64"/>
        <v>9.9527059679544741E-2</v>
      </c>
      <c r="EQ123" s="353">
        <f t="shared" si="64"/>
        <v>9.9527059679544741E-2</v>
      </c>
      <c r="ER123" s="698">
        <f>ER125+ER128</f>
        <v>0.39810823871817896</v>
      </c>
    </row>
    <row r="124" spans="2:148">
      <c r="B124" s="230"/>
      <c r="C124" s="230"/>
      <c r="D124" s="352"/>
      <c r="E124" s="352"/>
      <c r="F124" s="352"/>
      <c r="G124" s="352"/>
      <c r="H124" s="230"/>
      <c r="I124" s="352"/>
      <c r="J124" s="352"/>
      <c r="K124" s="352"/>
      <c r="L124" s="352"/>
      <c r="M124" s="230"/>
      <c r="N124" s="352"/>
      <c r="O124" s="352"/>
      <c r="P124" s="352"/>
      <c r="Q124" s="352"/>
      <c r="R124" s="230"/>
      <c r="S124" s="352"/>
      <c r="T124" s="352"/>
      <c r="U124" s="352"/>
      <c r="V124" s="352"/>
      <c r="W124" s="230"/>
      <c r="X124" s="352"/>
      <c r="Y124" s="352"/>
      <c r="Z124" s="352"/>
      <c r="AA124" s="352"/>
      <c r="AB124" s="230"/>
      <c r="AC124" s="352"/>
      <c r="AD124" s="352"/>
      <c r="AE124" s="352"/>
      <c r="AF124" s="352"/>
      <c r="AG124" s="230"/>
      <c r="AH124" s="352"/>
      <c r="AI124" s="352"/>
      <c r="AJ124" s="352"/>
      <c r="AK124" s="352"/>
      <c r="AL124" s="233"/>
      <c r="AM124" s="352"/>
      <c r="AN124" s="352"/>
      <c r="AO124" s="352"/>
      <c r="AP124" s="352"/>
      <c r="AQ124" s="233"/>
      <c r="AR124" s="352"/>
      <c r="AS124" s="352"/>
      <c r="AT124" s="352"/>
      <c r="AU124" s="352"/>
      <c r="AV124" s="233"/>
      <c r="AW124" s="352"/>
      <c r="AX124" s="352"/>
      <c r="AY124" s="352"/>
      <c r="AZ124" s="352"/>
      <c r="BA124" s="233"/>
      <c r="BB124" s="353"/>
      <c r="BC124" s="353"/>
      <c r="BD124" s="353"/>
      <c r="BE124" s="353"/>
      <c r="BF124" s="233"/>
      <c r="BG124" s="353"/>
      <c r="BH124" s="353"/>
      <c r="BI124" s="353"/>
      <c r="BJ124" s="353"/>
      <c r="BK124" s="233"/>
      <c r="BL124" s="353"/>
      <c r="BM124" s="353"/>
      <c r="BN124" s="353"/>
      <c r="BO124" s="353"/>
      <c r="BP124" s="233"/>
      <c r="BQ124" s="353"/>
      <c r="BR124" s="353"/>
      <c r="BS124" s="353"/>
      <c r="BT124" s="353"/>
      <c r="BU124" s="18"/>
      <c r="BV124" s="353"/>
      <c r="BW124" s="353"/>
      <c r="BX124" s="353"/>
      <c r="BY124" s="353"/>
      <c r="BZ124" s="233"/>
      <c r="CA124" s="353"/>
      <c r="CB124" s="353"/>
      <c r="CC124" s="353"/>
      <c r="CD124" s="712"/>
      <c r="CE124" s="230"/>
      <c r="CF124" s="353"/>
      <c r="CG124" s="353"/>
      <c r="CH124" s="353"/>
      <c r="CI124" s="353"/>
      <c r="CJ124" s="230"/>
      <c r="CK124" s="353"/>
      <c r="CL124" s="353"/>
      <c r="CM124" s="353"/>
      <c r="CN124" s="353"/>
      <c r="CO124" s="230"/>
      <c r="CP124" s="353"/>
      <c r="CQ124" s="353"/>
      <c r="CR124" s="353"/>
      <c r="CS124" s="353"/>
      <c r="CT124" s="230"/>
      <c r="CU124" s="353"/>
      <c r="CV124" s="353"/>
      <c r="CW124" s="353"/>
      <c r="CX124" s="353"/>
      <c r="CY124" s="230"/>
      <c r="CZ124" s="353"/>
      <c r="DA124" s="353"/>
      <c r="DB124" s="353"/>
      <c r="DC124" s="353"/>
      <c r="DD124" s="230"/>
      <c r="DE124" s="353"/>
      <c r="DF124" s="353"/>
      <c r="DG124" s="353"/>
      <c r="DH124" s="353"/>
      <c r="DI124" s="230"/>
      <c r="DJ124" s="353"/>
      <c r="DK124" s="353"/>
      <c r="DL124" s="353"/>
      <c r="DM124" s="353"/>
      <c r="DN124" s="230"/>
      <c r="DO124" s="353"/>
      <c r="DP124" s="353"/>
      <c r="DQ124" s="353"/>
      <c r="DR124" s="353"/>
      <c r="DS124" s="230"/>
      <c r="DT124" s="353"/>
      <c r="DU124" s="353"/>
      <c r="DV124" s="353"/>
      <c r="DW124" s="353"/>
      <c r="DX124" s="230"/>
      <c r="DY124" s="353"/>
      <c r="DZ124" s="353"/>
      <c r="EA124" s="353"/>
      <c r="EB124" s="353"/>
      <c r="EC124" s="230"/>
      <c r="ED124" s="353"/>
      <c r="EE124" s="353"/>
      <c r="EF124" s="353"/>
      <c r="EG124" s="353"/>
      <c r="EH124" s="230"/>
      <c r="EI124" s="353"/>
      <c r="EJ124" s="353"/>
      <c r="EK124" s="353"/>
      <c r="EL124" s="353"/>
      <c r="EM124" s="230"/>
      <c r="EN124" s="353"/>
      <c r="EO124" s="353"/>
      <c r="EP124" s="353"/>
      <c r="EQ124" s="353"/>
      <c r="ER124" s="230"/>
    </row>
    <row r="125" spans="2:148">
      <c r="B125" s="231" t="s">
        <v>675</v>
      </c>
      <c r="C125" s="230"/>
      <c r="D125" s="352"/>
      <c r="E125" s="352"/>
      <c r="F125" s="352"/>
      <c r="G125" s="352"/>
      <c r="H125" s="230"/>
      <c r="I125" s="352"/>
      <c r="J125" s="352"/>
      <c r="K125" s="352"/>
      <c r="L125" s="352"/>
      <c r="M125" s="230"/>
      <c r="N125" s="352"/>
      <c r="O125" s="352"/>
      <c r="P125" s="352"/>
      <c r="Q125" s="352"/>
      <c r="R125" s="230"/>
      <c r="S125" s="352"/>
      <c r="T125" s="352"/>
      <c r="U125" s="352"/>
      <c r="V125" s="352"/>
      <c r="W125" s="230"/>
      <c r="X125" s="352"/>
      <c r="Y125" s="352"/>
      <c r="Z125" s="352"/>
      <c r="AA125" s="352"/>
      <c r="AB125" s="230"/>
      <c r="AC125" s="352"/>
      <c r="AD125" s="352"/>
      <c r="AE125" s="352"/>
      <c r="AF125" s="352"/>
      <c r="AG125" s="230"/>
      <c r="AH125" s="352"/>
      <c r="AI125" s="352"/>
      <c r="AJ125" s="352"/>
      <c r="AK125" s="352"/>
      <c r="AL125" s="230"/>
      <c r="AM125" s="352"/>
      <c r="AN125" s="352"/>
      <c r="AO125" s="352"/>
      <c r="AP125" s="352"/>
      <c r="AQ125" s="230"/>
      <c r="AR125" s="352">
        <v>2.9</v>
      </c>
      <c r="AS125" s="352">
        <v>10.5</v>
      </c>
      <c r="AT125" s="352">
        <v>14.7</v>
      </c>
      <c r="AU125" s="352">
        <v>19.399999999999999</v>
      </c>
      <c r="AV125" s="230">
        <f>AR125+AS125+AT125+AU125</f>
        <v>47.5</v>
      </c>
      <c r="AW125" s="352">
        <v>19.8</v>
      </c>
      <c r="AX125" s="352">
        <v>21.5</v>
      </c>
      <c r="AY125" s="352">
        <v>23.6</v>
      </c>
      <c r="AZ125" s="352">
        <v>25.9</v>
      </c>
      <c r="BA125" s="230">
        <f>AW125+AX125+AY125+AZ125</f>
        <v>90.800000000000011</v>
      </c>
      <c r="BB125" s="353">
        <v>23</v>
      </c>
      <c r="BC125" s="353">
        <f>28.115-BC128</f>
        <v>23.015000000000001</v>
      </c>
      <c r="BD125" s="353">
        <f>28.3</f>
        <v>28.3</v>
      </c>
      <c r="BE125" s="353">
        <v>32.6</v>
      </c>
      <c r="BF125" s="230">
        <f>BB125+BC125+BD125+BE125</f>
        <v>106.91499999999999</v>
      </c>
      <c r="BG125" s="353">
        <v>31.9</v>
      </c>
      <c r="BH125" s="353">
        <v>33.9</v>
      </c>
      <c r="BI125" s="353">
        <v>34.6</v>
      </c>
      <c r="BJ125" s="356">
        <v>39</v>
      </c>
      <c r="BK125" s="230">
        <f>SUM(BG125:BJ125)</f>
        <v>139.4</v>
      </c>
      <c r="BL125" s="356">
        <v>35.5</v>
      </c>
      <c r="BM125" s="356">
        <v>39.326999999999998</v>
      </c>
      <c r="BN125" s="356">
        <v>40.799999999999997</v>
      </c>
      <c r="BO125" s="356">
        <v>50</v>
      </c>
      <c r="BP125" s="230">
        <f>SUM(BL125:BO125)</f>
        <v>165.62700000000001</v>
      </c>
      <c r="BQ125" s="356">
        <v>38</v>
      </c>
      <c r="BR125" s="356">
        <v>45</v>
      </c>
      <c r="BS125" s="356">
        <v>43</v>
      </c>
      <c r="BT125" s="356">
        <v>48</v>
      </c>
      <c r="BU125" s="230">
        <f>SUM(BQ125:BT125)</f>
        <v>174</v>
      </c>
      <c r="BV125" s="356">
        <v>44</v>
      </c>
      <c r="BW125" s="356">
        <v>43</v>
      </c>
      <c r="BX125" s="356">
        <v>49</v>
      </c>
      <c r="BY125" s="356">
        <v>52</v>
      </c>
      <c r="BZ125" s="230">
        <f>SUM(BV125:BY125)</f>
        <v>188</v>
      </c>
      <c r="CA125" s="356">
        <v>45</v>
      </c>
      <c r="CB125" s="353">
        <f>CB123</f>
        <v>50</v>
      </c>
      <c r="CC125" s="712">
        <f t="shared" ref="CC125:CD125" si="65">CC123</f>
        <v>50</v>
      </c>
      <c r="CD125" s="712">
        <f t="shared" si="65"/>
        <v>55</v>
      </c>
      <c r="CE125" s="230">
        <f>SUM(CA125:CD125)</f>
        <v>200</v>
      </c>
      <c r="CF125" s="353">
        <f>CA125*1.04</f>
        <v>46.800000000000004</v>
      </c>
      <c r="CG125" s="712">
        <f t="shared" ref="CG125:CH125" si="66">CB125*1.04</f>
        <v>52</v>
      </c>
      <c r="CH125" s="712">
        <f t="shared" si="66"/>
        <v>52</v>
      </c>
      <c r="CI125" s="353">
        <f>CJ125-CF125-CG125-CH125</f>
        <v>57.965957446808488</v>
      </c>
      <c r="CJ125" s="230">
        <f>CE125*(1+CJ126)</f>
        <v>208.7659574468085</v>
      </c>
      <c r="CK125" s="353">
        <v>31.9</v>
      </c>
      <c r="CL125" s="353">
        <v>33.9</v>
      </c>
      <c r="CM125" s="353">
        <f>(CO125-CK125-CL125)/2</f>
        <v>73.970402897238557</v>
      </c>
      <c r="CN125" s="353">
        <f>CM125</f>
        <v>73.970402897238557</v>
      </c>
      <c r="CO125" s="230">
        <f>CJ125*(1+CO126)</f>
        <v>213.74080579447713</v>
      </c>
      <c r="CP125" s="353">
        <v>31.9</v>
      </c>
      <c r="CQ125" s="353">
        <v>33.9</v>
      </c>
      <c r="CR125" s="353">
        <f>(CT125-CP125-CQ125)/2</f>
        <v>74.379693801951376</v>
      </c>
      <c r="CS125" s="353">
        <f>CR125</f>
        <v>74.379693801951376</v>
      </c>
      <c r="CT125" s="230">
        <f>CO125*(1+CT126)</f>
        <v>214.55938760390276</v>
      </c>
      <c r="CU125" s="353">
        <f>+CY125/4</f>
        <v>50.957854555926907</v>
      </c>
      <c r="CV125" s="353">
        <f>+CY125/4</f>
        <v>50.957854555926907</v>
      </c>
      <c r="CW125" s="353">
        <f>+CY125/4</f>
        <v>50.957854555926907</v>
      </c>
      <c r="CX125" s="353">
        <f>+CY125/4</f>
        <v>50.957854555926907</v>
      </c>
      <c r="CY125" s="230">
        <f>CT125*(1+CY126)</f>
        <v>203.83141822370763</v>
      </c>
      <c r="CZ125" s="353">
        <f>+DD125/4</f>
        <v>25.478927277963454</v>
      </c>
      <c r="DA125" s="353">
        <f>+DD125/4</f>
        <v>25.478927277963454</v>
      </c>
      <c r="DB125" s="353">
        <f>+DD125/4</f>
        <v>25.478927277963454</v>
      </c>
      <c r="DC125" s="353">
        <f>+DD125/4</f>
        <v>25.478927277963454</v>
      </c>
      <c r="DD125" s="230">
        <f>CY125*(1+DD126)</f>
        <v>101.91570911185381</v>
      </c>
      <c r="DE125" s="353">
        <f>+DI125/4</f>
        <v>12.739463638981727</v>
      </c>
      <c r="DF125" s="353">
        <f>+DI125/4</f>
        <v>12.739463638981727</v>
      </c>
      <c r="DG125" s="353">
        <f>+DI125/4</f>
        <v>12.739463638981727</v>
      </c>
      <c r="DH125" s="353">
        <f>+DI125/4</f>
        <v>12.739463638981727</v>
      </c>
      <c r="DI125" s="230">
        <f>DD125*(1+DI126)</f>
        <v>50.957854555926907</v>
      </c>
      <c r="DJ125" s="353">
        <f>+DN125/4</f>
        <v>6.3697318194908634</v>
      </c>
      <c r="DK125" s="353">
        <f>+DN125/4</f>
        <v>6.3697318194908634</v>
      </c>
      <c r="DL125" s="353">
        <f>+DN125/4</f>
        <v>6.3697318194908634</v>
      </c>
      <c r="DM125" s="353">
        <f>+DN125/4</f>
        <v>6.3697318194908634</v>
      </c>
      <c r="DN125" s="230">
        <f>DI125*(1+DN126)</f>
        <v>25.478927277963454</v>
      </c>
      <c r="DO125" s="353">
        <f>+DS125/4</f>
        <v>3.1848659097454317</v>
      </c>
      <c r="DP125" s="353">
        <f>+DS125/4</f>
        <v>3.1848659097454317</v>
      </c>
      <c r="DQ125" s="353">
        <f>+DS125/4</f>
        <v>3.1848659097454317</v>
      </c>
      <c r="DR125" s="353">
        <f>+DS125/4</f>
        <v>3.1848659097454317</v>
      </c>
      <c r="DS125" s="230">
        <f>DN125*(1+DS126)</f>
        <v>12.739463638981727</v>
      </c>
      <c r="DT125" s="353">
        <f>+DX125/4</f>
        <v>1.5924329548727159</v>
      </c>
      <c r="DU125" s="353">
        <f>+DX125/4</f>
        <v>1.5924329548727159</v>
      </c>
      <c r="DV125" s="353">
        <f>+DX125/4</f>
        <v>1.5924329548727159</v>
      </c>
      <c r="DW125" s="353">
        <f>+DX125/4</f>
        <v>1.5924329548727159</v>
      </c>
      <c r="DX125" s="230">
        <f>DS125*(1+DX126)</f>
        <v>6.3697318194908634</v>
      </c>
      <c r="DY125" s="353">
        <f>+EC125/4</f>
        <v>0.79621647743635793</v>
      </c>
      <c r="DZ125" s="353">
        <f>+EC125/4</f>
        <v>0.79621647743635793</v>
      </c>
      <c r="EA125" s="353">
        <f>+EC125/4</f>
        <v>0.79621647743635793</v>
      </c>
      <c r="EB125" s="353">
        <f>+EC125/4</f>
        <v>0.79621647743635793</v>
      </c>
      <c r="EC125" s="230">
        <f>DX125*(1+EC126)</f>
        <v>3.1848659097454317</v>
      </c>
      <c r="ED125" s="353">
        <f>+EH125/4</f>
        <v>0.39810823871817896</v>
      </c>
      <c r="EE125" s="353">
        <f>+EH125/4</f>
        <v>0.39810823871817896</v>
      </c>
      <c r="EF125" s="353">
        <f>+EH125/4</f>
        <v>0.39810823871817896</v>
      </c>
      <c r="EG125" s="353">
        <f>+EH125/4</f>
        <v>0.39810823871817896</v>
      </c>
      <c r="EH125" s="230">
        <f>EC125*(1+EH126)</f>
        <v>1.5924329548727159</v>
      </c>
      <c r="EI125" s="353">
        <f>+EM125/4</f>
        <v>0.19905411935908948</v>
      </c>
      <c r="EJ125" s="353">
        <f>+EM125/4</f>
        <v>0.19905411935908948</v>
      </c>
      <c r="EK125" s="353">
        <f>+EM125/4</f>
        <v>0.19905411935908948</v>
      </c>
      <c r="EL125" s="353">
        <f>+EM125/4</f>
        <v>0.19905411935908948</v>
      </c>
      <c r="EM125" s="230">
        <f>EH125*(1+EM126)</f>
        <v>0.79621647743635793</v>
      </c>
      <c r="EN125" s="353">
        <f>+ER125/4</f>
        <v>9.9527059679544741E-2</v>
      </c>
      <c r="EO125" s="353">
        <f>+ER125/4</f>
        <v>9.9527059679544741E-2</v>
      </c>
      <c r="EP125" s="353">
        <f>+ER125/4</f>
        <v>9.9527059679544741E-2</v>
      </c>
      <c r="EQ125" s="353">
        <f>+ER125/4</f>
        <v>9.9527059679544741E-2</v>
      </c>
      <c r="ER125" s="230">
        <f>EM125*(1+ER126)</f>
        <v>0.39810823871817896</v>
      </c>
    </row>
    <row r="126" spans="2:148" s="17" customFormat="1" ht="12.75" customHeight="1">
      <c r="B126" s="236"/>
      <c r="C126" s="223"/>
      <c r="D126" s="357"/>
      <c r="E126" s="357"/>
      <c r="F126" s="357"/>
      <c r="G126" s="357"/>
      <c r="H126" s="223"/>
      <c r="I126" s="357"/>
      <c r="J126" s="357"/>
      <c r="K126" s="357"/>
      <c r="L126" s="357"/>
      <c r="M126" s="223"/>
      <c r="N126" s="357"/>
      <c r="O126" s="357"/>
      <c r="P126" s="357"/>
      <c r="Q126" s="357"/>
      <c r="R126" s="223"/>
      <c r="S126" s="357"/>
      <c r="T126" s="357"/>
      <c r="U126" s="357"/>
      <c r="V126" s="357"/>
      <c r="W126" s="223"/>
      <c r="X126" s="357"/>
      <c r="Y126" s="357"/>
      <c r="Z126" s="357"/>
      <c r="AA126" s="357"/>
      <c r="AB126" s="223"/>
      <c r="AC126" s="357"/>
      <c r="AD126" s="357"/>
      <c r="AE126" s="357"/>
      <c r="AF126" s="357"/>
      <c r="AG126" s="223"/>
      <c r="AH126" s="357"/>
      <c r="AI126" s="357"/>
      <c r="AJ126" s="357"/>
      <c r="AK126" s="357"/>
      <c r="AL126" s="223"/>
      <c r="AM126" s="357"/>
      <c r="AN126" s="357"/>
      <c r="AO126" s="357"/>
      <c r="AP126" s="357"/>
      <c r="AQ126" s="223"/>
      <c r="AR126" s="357"/>
      <c r="AS126" s="357"/>
      <c r="AT126" s="357"/>
      <c r="AU126" s="357"/>
      <c r="AV126" s="223"/>
      <c r="AW126" s="357"/>
      <c r="AX126" s="357"/>
      <c r="AY126" s="357"/>
      <c r="AZ126" s="357"/>
      <c r="BA126" s="223"/>
      <c r="BB126" s="358"/>
      <c r="BC126" s="358"/>
      <c r="BD126" s="358"/>
      <c r="BE126" s="358"/>
      <c r="BF126" s="31">
        <f>BF125/BA125-1</f>
        <v>0.17747797356828166</v>
      </c>
      <c r="BG126" s="358"/>
      <c r="BH126" s="358"/>
      <c r="BI126" s="358"/>
      <c r="BJ126" s="358"/>
      <c r="BK126" s="31">
        <f>BK125/BF125-1</f>
        <v>0.30383949866716575</v>
      </c>
      <c r="BL126" s="358"/>
      <c r="BM126" s="358"/>
      <c r="BN126" s="358"/>
      <c r="BO126" s="358"/>
      <c r="BP126" s="31">
        <f>BP125/BK125-1</f>
        <v>0.18814203730272605</v>
      </c>
      <c r="BQ126" s="358"/>
      <c r="BR126" s="358"/>
      <c r="BS126" s="358"/>
      <c r="BT126" s="358"/>
      <c r="BU126" s="18">
        <f>BU125/BP125-1</f>
        <v>5.0553351808581892E-2</v>
      </c>
      <c r="BV126" s="680"/>
      <c r="BW126" s="358"/>
      <c r="BX126" s="358"/>
      <c r="BY126" s="358"/>
      <c r="BZ126" s="18">
        <f>BZ125/BU125-1</f>
        <v>8.0459770114942541E-2</v>
      </c>
      <c r="CA126" s="358"/>
      <c r="CB126" s="358"/>
      <c r="CC126" s="358"/>
      <c r="CD126" s="358"/>
      <c r="CE126" s="18">
        <f>CE125/BZ125-1</f>
        <v>6.3829787234042534E-2</v>
      </c>
      <c r="CF126" s="358"/>
      <c r="CG126" s="358"/>
      <c r="CH126" s="358"/>
      <c r="CI126" s="358"/>
      <c r="CJ126" s="359">
        <f>CE126-0.02</f>
        <v>4.382978723404253E-2</v>
      </c>
      <c r="CK126" s="358"/>
      <c r="CL126" s="358"/>
      <c r="CM126" s="358"/>
      <c r="CN126" s="358"/>
      <c r="CO126" s="359">
        <f>CJ126-0.02</f>
        <v>2.382978723404253E-2</v>
      </c>
      <c r="CP126" s="358"/>
      <c r="CQ126" s="358"/>
      <c r="CR126" s="358"/>
      <c r="CS126" s="358"/>
      <c r="CT126" s="359">
        <f>CO126-0.02</f>
        <v>3.8297872340425296E-3</v>
      </c>
      <c r="CU126" s="358"/>
      <c r="CV126" s="358"/>
      <c r="CW126" s="358"/>
      <c r="CX126" s="358"/>
      <c r="CY126" s="359">
        <v>-0.05</v>
      </c>
      <c r="CZ126" s="358"/>
      <c r="DA126" s="358"/>
      <c r="DB126" s="358"/>
      <c r="DC126" s="358"/>
      <c r="DD126" s="359">
        <v>-0.5</v>
      </c>
      <c r="DE126" s="358"/>
      <c r="DF126" s="358"/>
      <c r="DG126" s="358"/>
      <c r="DH126" s="358"/>
      <c r="DI126" s="359">
        <v>-0.5</v>
      </c>
      <c r="DJ126" s="358"/>
      <c r="DK126" s="358"/>
      <c r="DL126" s="358"/>
      <c r="DM126" s="358"/>
      <c r="DN126" s="359">
        <v>-0.5</v>
      </c>
      <c r="DO126" s="358"/>
      <c r="DP126" s="358"/>
      <c r="DQ126" s="358"/>
      <c r="DR126" s="358"/>
      <c r="DS126" s="359">
        <v>-0.5</v>
      </c>
      <c r="DT126" s="358"/>
      <c r="DU126" s="358"/>
      <c r="DV126" s="358"/>
      <c r="DW126" s="358"/>
      <c r="DX126" s="359">
        <v>-0.5</v>
      </c>
      <c r="DY126" s="358"/>
      <c r="DZ126" s="358"/>
      <c r="EA126" s="358"/>
      <c r="EB126" s="358"/>
      <c r="EC126" s="359">
        <v>-0.5</v>
      </c>
      <c r="ED126" s="358"/>
      <c r="EE126" s="358"/>
      <c r="EF126" s="358"/>
      <c r="EG126" s="358"/>
      <c r="EH126" s="359">
        <v>-0.5</v>
      </c>
      <c r="EI126" s="358"/>
      <c r="EJ126" s="358"/>
      <c r="EK126" s="358"/>
      <c r="EL126" s="358"/>
      <c r="EM126" s="359">
        <v>-0.5</v>
      </c>
      <c r="EN126" s="358"/>
      <c r="EO126" s="358"/>
      <c r="EP126" s="358"/>
      <c r="EQ126" s="358"/>
      <c r="ER126" s="359">
        <v>-0.5</v>
      </c>
    </row>
    <row r="127" spans="2:148">
      <c r="B127" s="231"/>
      <c r="C127" s="230"/>
      <c r="D127" s="352"/>
      <c r="E127" s="352"/>
      <c r="F127" s="352"/>
      <c r="G127" s="352"/>
      <c r="H127" s="230"/>
      <c r="I127" s="352"/>
      <c r="J127" s="352"/>
      <c r="K127" s="352"/>
      <c r="L127" s="352"/>
      <c r="M127" s="230"/>
      <c r="N127" s="352"/>
      <c r="O127" s="352"/>
      <c r="P127" s="352"/>
      <c r="Q127" s="352"/>
      <c r="R127" s="230"/>
      <c r="S127" s="352"/>
      <c r="T127" s="352"/>
      <c r="U127" s="352"/>
      <c r="V127" s="352"/>
      <c r="W127" s="230"/>
      <c r="X127" s="352"/>
      <c r="Y127" s="352"/>
      <c r="Z127" s="352"/>
      <c r="AA127" s="352"/>
      <c r="AB127" s="230"/>
      <c r="AC127" s="352"/>
      <c r="AD127" s="352"/>
      <c r="AE127" s="352"/>
      <c r="AF127" s="352"/>
      <c r="AG127" s="230"/>
      <c r="AH127" s="352"/>
      <c r="AI127" s="352"/>
      <c r="AJ127" s="352"/>
      <c r="AK127" s="352"/>
      <c r="AL127" s="230"/>
      <c r="AM127" s="352"/>
      <c r="AN127" s="352"/>
      <c r="AO127" s="352"/>
      <c r="AP127" s="352"/>
      <c r="AQ127" s="230"/>
      <c r="AR127" s="352"/>
      <c r="AS127" s="352"/>
      <c r="AT127" s="352"/>
      <c r="AU127" s="352"/>
      <c r="AV127" s="230"/>
      <c r="AW127" s="352"/>
      <c r="AX127" s="352"/>
      <c r="AY127" s="352"/>
      <c r="AZ127" s="352"/>
      <c r="BA127" s="230"/>
      <c r="BB127" s="353"/>
      <c r="BC127" s="353"/>
      <c r="BD127" s="353"/>
      <c r="BE127" s="353"/>
      <c r="BF127" s="355"/>
      <c r="BG127" s="353"/>
      <c r="BH127" s="353"/>
      <c r="BI127" s="353"/>
      <c r="BJ127" s="353"/>
      <c r="BK127" s="355"/>
      <c r="BL127" s="353"/>
      <c r="BM127" s="353"/>
      <c r="BN127" s="353"/>
      <c r="BO127" s="353"/>
      <c r="BP127" s="355"/>
      <c r="BQ127" s="353"/>
      <c r="BR127" s="353"/>
      <c r="BS127" s="353"/>
      <c r="BT127" s="353"/>
      <c r="BU127" s="355"/>
      <c r="BV127" s="356"/>
      <c r="BW127" s="353"/>
      <c r="BX127" s="353"/>
      <c r="BY127" s="353"/>
      <c r="BZ127" s="355"/>
      <c r="CA127" s="353"/>
      <c r="CB127" s="353"/>
      <c r="CC127" s="353"/>
      <c r="CD127" s="353"/>
      <c r="CE127" s="355"/>
      <c r="CF127" s="353"/>
      <c r="CG127" s="353"/>
      <c r="CH127" s="353"/>
      <c r="CI127" s="353"/>
      <c r="CJ127" s="355"/>
      <c r="CK127" s="353"/>
      <c r="CL127" s="353"/>
      <c r="CM127" s="353"/>
      <c r="CN127" s="353"/>
      <c r="CO127" s="355"/>
      <c r="CP127" s="353"/>
      <c r="CQ127" s="353"/>
      <c r="CR127" s="353"/>
      <c r="CS127" s="353"/>
      <c r="CT127" s="355"/>
      <c r="CU127" s="353"/>
      <c r="CV127" s="353"/>
      <c r="CW127" s="353"/>
      <c r="CX127" s="353"/>
      <c r="CY127" s="355"/>
      <c r="CZ127" s="353"/>
      <c r="DA127" s="353"/>
      <c r="DB127" s="353"/>
      <c r="DC127" s="353"/>
      <c r="DD127" s="355"/>
      <c r="DE127" s="353"/>
      <c r="DF127" s="353"/>
      <c r="DG127" s="353"/>
      <c r="DH127" s="353"/>
      <c r="DI127" s="355"/>
      <c r="DJ127" s="353"/>
      <c r="DK127" s="353"/>
      <c r="DL127" s="353"/>
      <c r="DM127" s="353"/>
      <c r="DN127" s="355"/>
      <c r="DO127" s="353"/>
      <c r="DP127" s="353"/>
      <c r="DQ127" s="353"/>
      <c r="DR127" s="353"/>
      <c r="DS127" s="355"/>
      <c r="DT127" s="353"/>
      <c r="DU127" s="353"/>
      <c r="DV127" s="353"/>
      <c r="DW127" s="353"/>
      <c r="DX127" s="355"/>
      <c r="DY127" s="353"/>
      <c r="DZ127" s="353"/>
      <c r="EA127" s="353"/>
      <c r="EB127" s="353"/>
      <c r="EC127" s="355"/>
      <c r="ED127" s="353"/>
      <c r="EE127" s="353"/>
      <c r="EF127" s="353"/>
      <c r="EG127" s="353"/>
      <c r="EH127" s="355"/>
      <c r="EI127" s="353"/>
      <c r="EJ127" s="353"/>
      <c r="EK127" s="353"/>
      <c r="EL127" s="353"/>
      <c r="EM127" s="355"/>
      <c r="EN127" s="353"/>
      <c r="EO127" s="353"/>
      <c r="EP127" s="353"/>
      <c r="EQ127" s="353"/>
      <c r="ER127" s="355"/>
    </row>
    <row r="128" spans="2:148" s="230" customFormat="1">
      <c r="B128" s="231" t="s">
        <v>68</v>
      </c>
      <c r="C128" s="230">
        <v>10.851000000000001</v>
      </c>
      <c r="D128" s="352">
        <v>3.7890000000000001</v>
      </c>
      <c r="E128" s="352">
        <v>1.355</v>
      </c>
      <c r="F128" s="352">
        <v>2.6829999999999998</v>
      </c>
      <c r="G128" s="352">
        <f>(12.395-7.827)</f>
        <v>4.5679999999999996</v>
      </c>
      <c r="H128" s="230">
        <f>D128+E128+F128+G128</f>
        <v>12.395</v>
      </c>
      <c r="I128" s="352">
        <f>7.634-I68</f>
        <v>1.8340000000000005</v>
      </c>
      <c r="J128" s="352">
        <f>12.47-J68</f>
        <v>7.0000000000000284E-2</v>
      </c>
      <c r="K128" s="352">
        <f>21.113-K68</f>
        <v>4.713000000000001</v>
      </c>
      <c r="L128" s="352">
        <f>+(61.492-41.217)-L68</f>
        <v>4.4749999999999979</v>
      </c>
      <c r="M128" s="230">
        <f>I128+J128+K128+L128</f>
        <v>11.091999999999999</v>
      </c>
      <c r="N128" s="352">
        <f>0.158+0.576</f>
        <v>0.73399999999999999</v>
      </c>
      <c r="O128" s="352">
        <f>2.478+0.309</f>
        <v>2.7870000000000004</v>
      </c>
      <c r="P128" s="352">
        <v>3.1120000000000001</v>
      </c>
      <c r="Q128" s="352">
        <v>2.9990000000000001</v>
      </c>
      <c r="R128" s="230">
        <f>N128+O128+P128+Q128</f>
        <v>9.6320000000000014</v>
      </c>
      <c r="S128" s="352">
        <v>1.8759999999999999</v>
      </c>
      <c r="T128" s="352">
        <v>2.0920000000000001</v>
      </c>
      <c r="U128" s="352">
        <v>2.04</v>
      </c>
      <c r="V128" s="352">
        <v>1.9079999999999999</v>
      </c>
      <c r="W128" s="230">
        <f>S128+T128+U128+V128</f>
        <v>7.9160000000000004</v>
      </c>
      <c r="X128" s="352">
        <v>2.2149999999999999</v>
      </c>
      <c r="Y128" s="352">
        <v>2.8580000000000001</v>
      </c>
      <c r="Z128" s="352">
        <v>2.3319999999999999</v>
      </c>
      <c r="AA128" s="352">
        <v>1.4610000000000001</v>
      </c>
      <c r="AB128" s="230">
        <f>X128+Y128+Z128+AA128</f>
        <v>8.8659999999999997</v>
      </c>
      <c r="AC128" s="352">
        <v>2.2570000000000001</v>
      </c>
      <c r="AD128" s="352">
        <v>2.7730000000000001</v>
      </c>
      <c r="AE128" s="352">
        <v>2.2429999999999999</v>
      </c>
      <c r="AF128" s="352">
        <v>2.2509999999999999</v>
      </c>
      <c r="AG128" s="230">
        <f>AC128+AD128+AE128+AF128</f>
        <v>9.5239999999999991</v>
      </c>
      <c r="AH128" s="352">
        <v>2.2610000000000001</v>
      </c>
      <c r="AI128" s="352">
        <v>2.3780000000000001</v>
      </c>
      <c r="AJ128" s="352">
        <v>2.4289999999999998</v>
      </c>
      <c r="AK128" s="352">
        <v>2.79</v>
      </c>
      <c r="AL128" s="230">
        <f>AH128+AI128+AJ128+AK128</f>
        <v>9.8580000000000005</v>
      </c>
      <c r="AM128" s="352">
        <v>2.94</v>
      </c>
      <c r="AN128" s="352">
        <v>4.5590000000000002</v>
      </c>
      <c r="AO128" s="352">
        <v>4.5819999999999999</v>
      </c>
      <c r="AP128" s="352">
        <v>4.6900000000000004</v>
      </c>
      <c r="AQ128" s="230">
        <f>AM128+AN128+AO128+AP128</f>
        <v>16.771000000000001</v>
      </c>
      <c r="AR128" s="352">
        <f>7.635-AR125</f>
        <v>4.7349999999999994</v>
      </c>
      <c r="AS128" s="352">
        <f>15.342-AS125</f>
        <v>4.8420000000000005</v>
      </c>
      <c r="AT128" s="352">
        <f>19.758-AT125</f>
        <v>5.0579999999999998</v>
      </c>
      <c r="AU128" s="352">
        <f>24.221-AU125</f>
        <v>4.8210000000000015</v>
      </c>
      <c r="AV128" s="230">
        <f>AR128+AS128+AT128+AU128</f>
        <v>19.456000000000003</v>
      </c>
      <c r="AW128" s="352">
        <f>23.915-AW125</f>
        <v>4.1149999999999984</v>
      </c>
      <c r="AX128" s="352">
        <f>26.851-AX125</f>
        <v>5.3509999999999991</v>
      </c>
      <c r="AY128" s="352">
        <f>28.026-AY125</f>
        <v>4.4259999999999984</v>
      </c>
      <c r="AZ128" s="352">
        <f>30.265-AZ125</f>
        <v>4.365000000000002</v>
      </c>
      <c r="BA128" s="230">
        <f>AW128+AX128+AY128+AZ128</f>
        <v>18.256999999999998</v>
      </c>
      <c r="BB128" s="353">
        <f>27.283-23</f>
        <v>4.2830000000000013</v>
      </c>
      <c r="BC128" s="353">
        <v>5.0999999999999996</v>
      </c>
      <c r="BD128" s="353">
        <f>34.577-BD125</f>
        <v>6.2769999999999975</v>
      </c>
      <c r="BE128" s="353">
        <f>36.957-BE125</f>
        <v>4.3569999999999993</v>
      </c>
      <c r="BF128" s="230">
        <f>SUM(BB128:BE128)</f>
        <v>20.016999999999996</v>
      </c>
      <c r="BG128" s="353">
        <f>32.822-BG125</f>
        <v>0.92200000000000415</v>
      </c>
      <c r="BH128" s="353">
        <f>35.047-BH125</f>
        <v>1.1469999999999985</v>
      </c>
      <c r="BI128" s="353">
        <f>34.226-BI125</f>
        <v>-0.37400000000000233</v>
      </c>
      <c r="BJ128" s="353">
        <f>41.304-BJ125</f>
        <v>2.304000000000002</v>
      </c>
      <c r="BK128" s="230">
        <f>SUM(BG128:BJ128)</f>
        <v>3.9990000000000023</v>
      </c>
      <c r="BL128" s="353">
        <f>35.881-BL125</f>
        <v>0.38100000000000023</v>
      </c>
      <c r="BM128" s="353">
        <v>0</v>
      </c>
      <c r="BN128" s="353">
        <v>0</v>
      </c>
      <c r="BO128" s="353">
        <v>0</v>
      </c>
      <c r="BP128" s="230">
        <f>SUM(BL128:BO128)</f>
        <v>0.38100000000000023</v>
      </c>
      <c r="BQ128" s="356">
        <v>0</v>
      </c>
      <c r="BR128" s="356">
        <v>0</v>
      </c>
      <c r="BS128" s="356">
        <v>0</v>
      </c>
      <c r="BT128" s="356">
        <v>0</v>
      </c>
      <c r="BU128" s="230">
        <f>SUM(BQ128:BT128)</f>
        <v>0</v>
      </c>
      <c r="BV128" s="356"/>
      <c r="BW128" s="356"/>
      <c r="BX128" s="353"/>
      <c r="BY128" s="353"/>
      <c r="CA128" s="353"/>
      <c r="CB128" s="353"/>
      <c r="CC128" s="353"/>
      <c r="CD128" s="353"/>
      <c r="CF128" s="353"/>
      <c r="CG128" s="353"/>
      <c r="CH128" s="353"/>
      <c r="CI128" s="353"/>
      <c r="CK128" s="353"/>
      <c r="CL128" s="353"/>
      <c r="CM128" s="353"/>
      <c r="CN128" s="353"/>
      <c r="CP128" s="353"/>
      <c r="CQ128" s="353"/>
      <c r="CR128" s="353"/>
      <c r="CS128" s="353"/>
      <c r="CU128" s="353"/>
      <c r="CV128" s="353"/>
      <c r="CW128" s="353"/>
      <c r="CX128" s="353"/>
      <c r="CZ128" s="353"/>
      <c r="DA128" s="353"/>
      <c r="DB128" s="353"/>
      <c r="DC128" s="353"/>
      <c r="DE128" s="353"/>
      <c r="DF128" s="353"/>
      <c r="DG128" s="353"/>
      <c r="DH128" s="353"/>
      <c r="DJ128" s="353"/>
      <c r="DK128" s="353"/>
      <c r="DL128" s="353"/>
      <c r="DM128" s="353"/>
      <c r="DO128" s="353"/>
      <c r="DP128" s="353"/>
      <c r="DQ128" s="353"/>
      <c r="DR128" s="353"/>
      <c r="DT128" s="353"/>
      <c r="DU128" s="353"/>
      <c r="DV128" s="353"/>
      <c r="DW128" s="353"/>
      <c r="DY128" s="353"/>
      <c r="DZ128" s="353"/>
      <c r="EA128" s="353"/>
      <c r="EB128" s="353"/>
      <c r="ED128" s="353"/>
      <c r="EE128" s="353"/>
      <c r="EF128" s="353"/>
      <c r="EG128" s="353"/>
      <c r="EI128" s="353"/>
      <c r="EJ128" s="353"/>
      <c r="EK128" s="353"/>
      <c r="EL128" s="353"/>
      <c r="EN128" s="353"/>
      <c r="EO128" s="353"/>
      <c r="EP128" s="353"/>
      <c r="EQ128" s="353"/>
    </row>
    <row r="129" spans="2:148">
      <c r="B129" s="230"/>
      <c r="C129" s="230"/>
      <c r="D129" s="352"/>
      <c r="E129" s="352"/>
      <c r="F129" s="352"/>
      <c r="G129" s="352"/>
      <c r="H129" s="230"/>
      <c r="I129" s="352"/>
      <c r="J129" s="352"/>
      <c r="K129" s="352"/>
      <c r="L129" s="352"/>
      <c r="M129" s="230"/>
      <c r="N129" s="352"/>
      <c r="O129" s="352"/>
      <c r="P129" s="352"/>
      <c r="Q129" s="352"/>
      <c r="R129" s="230"/>
      <c r="S129" s="352"/>
      <c r="T129" s="352"/>
      <c r="U129" s="352"/>
      <c r="V129" s="352"/>
      <c r="W129" s="230"/>
      <c r="X129" s="352"/>
      <c r="Y129" s="352"/>
      <c r="Z129" s="352"/>
      <c r="AA129" s="352"/>
      <c r="AB129" s="230"/>
      <c r="AC129" s="352"/>
      <c r="AD129" s="352"/>
      <c r="AE129" s="352"/>
      <c r="AF129" s="352"/>
      <c r="AG129" s="230"/>
      <c r="AH129" s="352"/>
      <c r="AI129" s="352"/>
      <c r="AJ129" s="352"/>
      <c r="AK129" s="352"/>
      <c r="AL129" s="230"/>
      <c r="AM129" s="352"/>
      <c r="AN129" s="352"/>
      <c r="AO129" s="352"/>
      <c r="AP129" s="352"/>
      <c r="AQ129" s="230"/>
      <c r="AR129" s="352"/>
      <c r="AS129" s="352"/>
      <c r="AT129" s="352"/>
      <c r="AU129" s="352"/>
      <c r="AV129" s="230"/>
      <c r="AW129" s="352"/>
      <c r="AX129" s="352"/>
      <c r="AY129" s="352"/>
      <c r="AZ129" s="352"/>
      <c r="BA129" s="230"/>
      <c r="BB129" s="353"/>
      <c r="BC129" s="353"/>
      <c r="BD129" s="353"/>
      <c r="BE129" s="353"/>
      <c r="BF129" s="230"/>
      <c r="BG129" s="353"/>
      <c r="BH129" s="353"/>
      <c r="BI129" s="353"/>
      <c r="BJ129" s="353"/>
      <c r="BK129" s="230"/>
      <c r="BL129" s="353"/>
      <c r="BM129" s="353"/>
      <c r="BN129" s="353"/>
      <c r="BO129" s="353"/>
      <c r="BP129" s="230"/>
      <c r="BQ129" s="353"/>
      <c r="BR129" s="353"/>
      <c r="BS129" s="353"/>
      <c r="BT129" s="353"/>
      <c r="BU129" s="230"/>
      <c r="BV129" s="353"/>
      <c r="BW129" s="353"/>
      <c r="BX129" s="353"/>
      <c r="BY129" s="353"/>
      <c r="BZ129" s="230"/>
      <c r="CA129" s="353"/>
      <c r="CB129" s="353"/>
      <c r="CC129" s="353"/>
      <c r="CD129" s="353"/>
      <c r="CE129" s="230"/>
      <c r="CF129" s="353"/>
      <c r="CG129" s="353"/>
      <c r="CH129" s="353"/>
      <c r="CI129" s="353"/>
      <c r="CJ129" s="230"/>
      <c r="CK129" s="353"/>
      <c r="CL129" s="353"/>
      <c r="CM129" s="353"/>
      <c r="CN129" s="353"/>
      <c r="CO129" s="230"/>
      <c r="CP129" s="353"/>
      <c r="CQ129" s="353"/>
      <c r="CR129" s="353"/>
      <c r="CS129" s="353"/>
      <c r="CT129" s="230"/>
      <c r="CU129" s="353"/>
      <c r="CV129" s="353"/>
      <c r="CW129" s="353"/>
      <c r="CX129" s="353"/>
      <c r="CY129" s="230"/>
      <c r="CZ129" s="353"/>
      <c r="DA129" s="353"/>
      <c r="DB129" s="353"/>
      <c r="DC129" s="353"/>
      <c r="DD129" s="230"/>
      <c r="DE129" s="353"/>
      <c r="DF129" s="353"/>
      <c r="DG129" s="353"/>
      <c r="DH129" s="353"/>
      <c r="DI129" s="230"/>
      <c r="DJ129" s="353"/>
      <c r="DK129" s="353"/>
      <c r="DL129" s="353"/>
      <c r="DM129" s="353"/>
      <c r="DN129" s="230"/>
      <c r="DO129" s="353"/>
      <c r="DP129" s="353"/>
      <c r="DQ129" s="353"/>
      <c r="DR129" s="353"/>
      <c r="DS129" s="230"/>
      <c r="DT129" s="353"/>
      <c r="DU129" s="353"/>
      <c r="DV129" s="353"/>
      <c r="DW129" s="353"/>
      <c r="DX129" s="230"/>
      <c r="DY129" s="353"/>
      <c r="DZ129" s="353"/>
      <c r="EA129" s="353"/>
      <c r="EB129" s="353"/>
      <c r="EC129" s="230"/>
      <c r="ED129" s="353"/>
      <c r="EE129" s="353"/>
      <c r="EF129" s="353"/>
      <c r="EG129" s="353"/>
      <c r="EH129" s="230"/>
      <c r="EI129" s="353"/>
      <c r="EJ129" s="353"/>
      <c r="EK129" s="353"/>
      <c r="EL129" s="353"/>
      <c r="EM129" s="230"/>
      <c r="EN129" s="353"/>
      <c r="EO129" s="353"/>
      <c r="EP129" s="353"/>
      <c r="EQ129" s="353"/>
      <c r="ER129" s="230"/>
    </row>
    <row r="130" spans="2:148">
      <c r="B130" s="244" t="s">
        <v>69</v>
      </c>
      <c r="C130" s="244">
        <f t="shared" ref="C130:AH130" si="67">C89+C112+C115+C118+C123</f>
        <v>190.97</v>
      </c>
      <c r="D130" s="293">
        <f t="shared" si="67"/>
        <v>70.710999999999999</v>
      </c>
      <c r="E130" s="293">
        <f t="shared" si="67"/>
        <v>93.787999999999997</v>
      </c>
      <c r="F130" s="293">
        <f t="shared" si="67"/>
        <v>120.20099999999999</v>
      </c>
      <c r="G130" s="293">
        <f t="shared" si="67"/>
        <v>139.17900000000003</v>
      </c>
      <c r="H130" s="244">
        <f t="shared" si="67"/>
        <v>423.87900000000002</v>
      </c>
      <c r="I130" s="293">
        <f t="shared" si="67"/>
        <v>155.964</v>
      </c>
      <c r="J130" s="293">
        <f t="shared" si="67"/>
        <v>230.66800000000001</v>
      </c>
      <c r="K130" s="293">
        <f t="shared" si="67"/>
        <v>194.07500000000002</v>
      </c>
      <c r="L130" s="293">
        <f t="shared" si="67"/>
        <v>255.63399999999999</v>
      </c>
      <c r="M130" s="244">
        <f t="shared" si="67"/>
        <v>836.34100000000012</v>
      </c>
      <c r="N130" s="293">
        <f t="shared" si="67"/>
        <v>276.58499999999998</v>
      </c>
      <c r="O130" s="293">
        <f t="shared" si="67"/>
        <v>299.33199999999999</v>
      </c>
      <c r="P130" s="293">
        <f t="shared" si="67"/>
        <v>310.72700000000003</v>
      </c>
      <c r="Q130" s="293">
        <f t="shared" si="67"/>
        <v>355.58100000000002</v>
      </c>
      <c r="R130" s="244">
        <f t="shared" si="67"/>
        <v>1242.2250000000001</v>
      </c>
      <c r="S130" s="293">
        <f t="shared" si="67"/>
        <v>400.21099999999996</v>
      </c>
      <c r="T130" s="293">
        <f t="shared" si="67"/>
        <v>448.45799999999997</v>
      </c>
      <c r="U130" s="293">
        <f t="shared" si="67"/>
        <v>467.20400000000001</v>
      </c>
      <c r="V130" s="293">
        <f t="shared" si="67"/>
        <v>493.42600000000004</v>
      </c>
      <c r="W130" s="244">
        <f t="shared" si="67"/>
        <v>1809.299</v>
      </c>
      <c r="X130" s="293">
        <f t="shared" si="67"/>
        <v>559.35300000000007</v>
      </c>
      <c r="Y130" s="293">
        <f t="shared" si="67"/>
        <v>590.69099999999992</v>
      </c>
      <c r="Z130" s="293">
        <f t="shared" si="67"/>
        <v>670.06</v>
      </c>
      <c r="AA130" s="293">
        <f t="shared" si="67"/>
        <v>767.92899999999986</v>
      </c>
      <c r="AB130" s="244">
        <f t="shared" si="67"/>
        <v>2588.0330000000004</v>
      </c>
      <c r="AC130" s="293">
        <f t="shared" si="67"/>
        <v>839.85199999999998</v>
      </c>
      <c r="AD130" s="293">
        <f t="shared" si="67"/>
        <v>905.05800000000022</v>
      </c>
      <c r="AE130" s="293">
        <f t="shared" si="67"/>
        <v>961.93100000000004</v>
      </c>
      <c r="AF130" s="293">
        <f t="shared" si="67"/>
        <v>1025.6190000000001</v>
      </c>
      <c r="AG130" s="244">
        <f t="shared" si="67"/>
        <v>3732.46</v>
      </c>
      <c r="AH130" s="293">
        <f t="shared" si="67"/>
        <v>1141.306</v>
      </c>
      <c r="AI130" s="293">
        <f t="shared" ref="AI130:BM130" si="68">AI89+AI112+AI115+AI118+AI123</f>
        <v>1217.2159999999999</v>
      </c>
      <c r="AJ130" s="293">
        <f t="shared" si="68"/>
        <v>1338.502</v>
      </c>
      <c r="AK130" s="293">
        <f t="shared" si="68"/>
        <v>1387.7719999999997</v>
      </c>
      <c r="AL130" s="244">
        <f t="shared" si="68"/>
        <v>5084.7959999999994</v>
      </c>
      <c r="AM130" s="293">
        <f t="shared" si="68"/>
        <v>1447.5800000000002</v>
      </c>
      <c r="AN130" s="293">
        <f t="shared" si="68"/>
        <v>1568.3779999999999</v>
      </c>
      <c r="AO130" s="293">
        <f t="shared" si="68"/>
        <v>1648.9550000000006</v>
      </c>
      <c r="AP130" s="293">
        <f t="shared" si="68"/>
        <v>1804.3980000000001</v>
      </c>
      <c r="AQ130" s="244">
        <f t="shared" si="68"/>
        <v>6469.3109999999997</v>
      </c>
      <c r="AR130" s="293">
        <f t="shared" si="68"/>
        <v>1788.0629999999999</v>
      </c>
      <c r="AS130" s="293">
        <f t="shared" si="68"/>
        <v>1806.0610000000001</v>
      </c>
      <c r="AT130" s="293">
        <f t="shared" si="68"/>
        <v>1865.5589999999997</v>
      </c>
      <c r="AU130" s="293">
        <f t="shared" si="68"/>
        <v>1930.2379999999998</v>
      </c>
      <c r="AV130" s="244">
        <f t="shared" si="68"/>
        <v>7389.9210000000003</v>
      </c>
      <c r="AW130" s="293">
        <f t="shared" si="68"/>
        <v>1863.5780000000002</v>
      </c>
      <c r="AX130" s="293">
        <f t="shared" si="68"/>
        <v>2039.5880000000002</v>
      </c>
      <c r="AY130" s="293">
        <f t="shared" si="68"/>
        <v>2065.8589999999999</v>
      </c>
      <c r="AZ130" s="293">
        <f t="shared" si="68"/>
        <v>2133.3339999999998</v>
      </c>
      <c r="BA130" s="244">
        <f t="shared" si="68"/>
        <v>8102.3590000000004</v>
      </c>
      <c r="BB130" s="294">
        <f t="shared" si="68"/>
        <v>2208.3420000000001</v>
      </c>
      <c r="BC130" s="294">
        <f t="shared" si="68"/>
        <v>2321.2399999999993</v>
      </c>
      <c r="BD130" s="294">
        <f t="shared" si="68"/>
        <v>2375.4889999999996</v>
      </c>
      <c r="BE130" s="294">
        <f t="shared" si="68"/>
        <v>2550.8359999999998</v>
      </c>
      <c r="BF130" s="244">
        <f t="shared" si="68"/>
        <v>9398.371000000001</v>
      </c>
      <c r="BG130" s="294">
        <f t="shared" si="68"/>
        <v>2393.5680000000002</v>
      </c>
      <c r="BH130" s="294">
        <f t="shared" si="68"/>
        <v>2657.2850000000003</v>
      </c>
      <c r="BI130" s="294">
        <f t="shared" si="68"/>
        <v>2709.6530000000002</v>
      </c>
      <c r="BJ130" s="294">
        <f t="shared" si="68"/>
        <v>3043.19</v>
      </c>
      <c r="BK130" s="244">
        <f t="shared" si="68"/>
        <v>10803.696</v>
      </c>
      <c r="BL130" s="294">
        <f t="shared" si="68"/>
        <v>4870.9740000000011</v>
      </c>
      <c r="BM130" s="294">
        <f t="shared" si="68"/>
        <v>6412.9370000000008</v>
      </c>
      <c r="BN130" s="294">
        <f t="shared" ref="BN130:CC130" si="69">BN89+BN112+BN115+BN118+BN123+BN121</f>
        <v>5968.2080000000005</v>
      </c>
      <c r="BO130" s="294">
        <f t="shared" si="69"/>
        <v>7221.8721077385035</v>
      </c>
      <c r="BP130" s="244">
        <f t="shared" si="69"/>
        <v>24474.391107738502</v>
      </c>
      <c r="BQ130" s="294">
        <f t="shared" si="69"/>
        <v>7405</v>
      </c>
      <c r="BR130" s="294">
        <f t="shared" si="69"/>
        <v>8126</v>
      </c>
      <c r="BS130" s="294">
        <f t="shared" si="69"/>
        <v>8211</v>
      </c>
      <c r="BT130" s="294">
        <f t="shared" si="69"/>
        <v>8409</v>
      </c>
      <c r="BU130" s="244">
        <f t="shared" si="69"/>
        <v>32151</v>
      </c>
      <c r="BV130" s="294">
        <f t="shared" si="69"/>
        <v>7681</v>
      </c>
      <c r="BW130" s="294">
        <f t="shared" si="69"/>
        <v>7651</v>
      </c>
      <c r="BX130" s="294">
        <f t="shared" si="69"/>
        <v>7405</v>
      </c>
      <c r="BY130" s="294">
        <f t="shared" si="69"/>
        <v>7216</v>
      </c>
      <c r="BZ130" s="244">
        <f t="shared" si="69"/>
        <v>29953</v>
      </c>
      <c r="CA130" s="294">
        <f t="shared" si="69"/>
        <v>6377</v>
      </c>
      <c r="CB130" s="294">
        <f t="shared" si="69"/>
        <v>7046</v>
      </c>
      <c r="CC130" s="294">
        <f t="shared" si="69"/>
        <v>6402</v>
      </c>
      <c r="CD130" s="294">
        <f>CD89+CD112+CD115+CD118+CD123+CD121+CD97</f>
        <v>5837</v>
      </c>
      <c r="CE130" s="244">
        <f>CE89+CE112+CE115+CE118+CE123+CE121+CE97+CE102+CE107</f>
        <v>25662</v>
      </c>
      <c r="CF130" s="294">
        <f>CF89+CF112+CF115+CF118+CF123+CF121+CF97</f>
        <v>5019.9583102460174</v>
      </c>
      <c r="CG130" s="294">
        <f t="shared" ref="CG130:CI130" si="70">CG89+CG112+CG115+CG118+CG123+CG121+CG97</f>
        <v>5159.908177053444</v>
      </c>
      <c r="CH130" s="294">
        <f t="shared" si="70"/>
        <v>5186.7360621896987</v>
      </c>
      <c r="CI130" s="294">
        <f t="shared" si="70"/>
        <v>5288.5804831258829</v>
      </c>
      <c r="CJ130" s="244">
        <f>CJ89+CJ112+CJ115+CJ118+CJ123+CJ121+CJ97+CJ102+CJ107</f>
        <v>20655.183032615045</v>
      </c>
      <c r="CK130" s="294" t="e">
        <f>CK89+CK112+CK115+CK118+CK123+CK121</f>
        <v>#DIV/0!</v>
      </c>
      <c r="CL130" s="294" t="e">
        <f>CL89+CL112+CL115+CL118+CL123+CL121</f>
        <v>#DIV/0!</v>
      </c>
      <c r="CM130" s="294" t="e">
        <f>CM89+CM112+CM115+CM118+CM123+CM121</f>
        <v>#DIV/0!</v>
      </c>
      <c r="CN130" s="294" t="e">
        <f>CN89+CN112+CN115+CN118+CN123+CN121</f>
        <v>#DIV/0!</v>
      </c>
      <c r="CO130" s="244">
        <f>CO89+CO112+CO115+CO118+CO123+CO121+CO97+CO102+CO107</f>
        <v>20983.327061315729</v>
      </c>
      <c r="CP130" s="294" t="e">
        <f>CP89+CP112+CP115+CP118+CP123+CP121</f>
        <v>#DIV/0!</v>
      </c>
      <c r="CQ130" s="294" t="e">
        <f>CQ89+CQ112+CQ115+CQ118+CQ123+CQ121</f>
        <v>#DIV/0!</v>
      </c>
      <c r="CR130" s="294" t="e">
        <f>CR89+CR112+CR115+CR118+CR123+CR121</f>
        <v>#DIV/0!</v>
      </c>
      <c r="CS130" s="294" t="e">
        <f>CS89+CS112+CS115+CS118+CS123+CS121</f>
        <v>#DIV/0!</v>
      </c>
      <c r="CT130" s="244">
        <f>CT89+CT112+CT115+CT118+CT123+CT121+CT97+CT102+CT107</f>
        <v>22332.241210210832</v>
      </c>
      <c r="CU130" s="294" t="e">
        <f>CU89+CU112+CU115+CU118+CU123+CU121</f>
        <v>#DIV/0!</v>
      </c>
      <c r="CV130" s="294" t="e">
        <f>CV89+CV112+CV115+CV118+CV123+CV121</f>
        <v>#DIV/0!</v>
      </c>
      <c r="CW130" s="294" t="e">
        <f>CW89+CW112+CW115+CW118+CW123+CW121</f>
        <v>#DIV/0!</v>
      </c>
      <c r="CX130" s="294" t="e">
        <f>CX89+CX112+CX115+CX118+CX123+CX121</f>
        <v>#DIV/0!</v>
      </c>
      <c r="CY130" s="244">
        <f>CY89+CY112+CY115+CY118+CY123+CY121+CY97+CY102+CY107</f>
        <v>21092.328521464304</v>
      </c>
      <c r="CZ130" s="294" t="e">
        <f>CZ89+CZ112+CZ115+CZ118+CZ123+CZ121</f>
        <v>#DIV/0!</v>
      </c>
      <c r="DA130" s="294" t="e">
        <f>DA89+DA112+DA115+DA118+DA123+DA121</f>
        <v>#DIV/0!</v>
      </c>
      <c r="DB130" s="294" t="e">
        <f>DB89+DB112+DB115+DB118+DB123+DB121</f>
        <v>#DIV/0!</v>
      </c>
      <c r="DC130" s="294" t="e">
        <f>DC89+DC112+DC115+DC118+DC123+DC121</f>
        <v>#DIV/0!</v>
      </c>
      <c r="DD130" s="244">
        <f>DD89+DD112+DD115+DD118+DD123+DD121+DD97+DD102+DD107</f>
        <v>21796.025119934726</v>
      </c>
      <c r="DE130" s="294" t="e">
        <f>DE89+DE112+DE115+DE118+DE123+DE121</f>
        <v>#DIV/0!</v>
      </c>
      <c r="DF130" s="294" t="e">
        <f>DF89+DF112+DF115+DF118+DF123+DF121</f>
        <v>#DIV/0!</v>
      </c>
      <c r="DG130" s="294" t="e">
        <f>DG89+DG112+DG115+DG118+DG123+DG121</f>
        <v>#DIV/0!</v>
      </c>
      <c r="DH130" s="294" t="e">
        <f>DH89+DH112+DH115+DH118+DH123+DH121</f>
        <v>#DIV/0!</v>
      </c>
      <c r="DI130" s="244">
        <f>DI89+DI112+DI115+DI118+DI123+DI121+DI97+DI102+DI107</f>
        <v>22634.75827267396</v>
      </c>
      <c r="DJ130" s="294" t="e">
        <f>DJ89+DJ112+DJ115+DJ118+DJ123+DJ121</f>
        <v>#DIV/0!</v>
      </c>
      <c r="DK130" s="294" t="e">
        <f>DK89+DK112+DK115+DK118+DK123+DK121</f>
        <v>#DIV/0!</v>
      </c>
      <c r="DL130" s="294" t="e">
        <f>DL89+DL112+DL115+DL118+DL123+DL121</f>
        <v>#DIV/0!</v>
      </c>
      <c r="DM130" s="294" t="e">
        <f>DM89+DM112+DM115+DM118+DM123+DM121</f>
        <v>#DIV/0!</v>
      </c>
      <c r="DN130" s="244">
        <f>DN89+DN112+DN115+DN118+DN123+DN121+DN97+DN102+DN107</f>
        <v>23507.051648473574</v>
      </c>
      <c r="DO130" s="294" t="e">
        <f>DO89+DO112+DO115+DO118+DO123+DO121</f>
        <v>#DIV/0!</v>
      </c>
      <c r="DP130" s="294" t="e">
        <f>DP89+DP112+DP115+DP118+DP123+DP121</f>
        <v>#DIV/0!</v>
      </c>
      <c r="DQ130" s="294" t="e">
        <f>DQ89+DQ112+DQ115+DQ118+DQ123+DQ121</f>
        <v>#DIV/0!</v>
      </c>
      <c r="DR130" s="294" t="e">
        <f>DR89+DR112+DR115+DR118+DR123+DR121</f>
        <v>#DIV/0!</v>
      </c>
      <c r="DS130" s="244">
        <f>DS89+DS112+DS115+DS118+DS123+DS121+DS97+DS102+DS107</f>
        <v>18117.035567585077</v>
      </c>
      <c r="DT130" s="294" t="e">
        <f>DT89+DT112+DT115+DT118+DT123+DT121</f>
        <v>#DIV/0!</v>
      </c>
      <c r="DU130" s="294" t="e">
        <f>DU89+DU112+DU115+DU118+DU123+DU121</f>
        <v>#DIV/0!</v>
      </c>
      <c r="DV130" s="294" t="e">
        <f>DV89+DV112+DV115+DV118+DV123+DV121</f>
        <v>#DIV/0!</v>
      </c>
      <c r="DW130" s="294" t="e">
        <f>DW89+DW112+DW115+DW118+DW123+DW121</f>
        <v>#DIV/0!</v>
      </c>
      <c r="DX130" s="244">
        <f>DX89+DX112+DX115+DX118+DX123+DX121+DX97+DX102+DX107</f>
        <v>16478.280609602105</v>
      </c>
      <c r="DY130" s="294" t="e">
        <f>DY89+DY112+DY115+DY118+DY123+DY121</f>
        <v>#DIV/0!</v>
      </c>
      <c r="DZ130" s="294" t="e">
        <f>DZ89+DZ112+DZ115+DZ118+DZ123+DZ121</f>
        <v>#DIV/0!</v>
      </c>
      <c r="EA130" s="294" t="e">
        <f>EA89+EA112+EA115+EA118+EA123+EA121</f>
        <v>#DIV/0!</v>
      </c>
      <c r="EB130" s="294" t="e">
        <f>EB89+EB112+EB115+EB118+EB123+EB121</f>
        <v>#DIV/0!</v>
      </c>
      <c r="EC130" s="244">
        <f>EC89+EC112+EC115+EC118+EC123+EC121+EC97+EC102+EC107</f>
        <v>16321.540347083199</v>
      </c>
      <c r="ED130" s="294" t="e">
        <f>ED89+ED112+ED115+ED118+ED123+ED121</f>
        <v>#DIV/0!</v>
      </c>
      <c r="EE130" s="294" t="e">
        <f>EE89+EE112+EE115+EE118+EE123+EE121</f>
        <v>#DIV/0!</v>
      </c>
      <c r="EF130" s="294" t="e">
        <f>EF89+EF112+EF115+EF118+EF123+EF121</f>
        <v>#DIV/0!</v>
      </c>
      <c r="EG130" s="294" t="e">
        <f>EG89+EG112+EG115+EG118+EG123+EG121</f>
        <v>#DIV/0!</v>
      </c>
      <c r="EH130" s="244">
        <f>EH89+EH112+EH115+EH118+EH123+EH121+EH97+EH102+EH107</f>
        <v>16253.257588306835</v>
      </c>
      <c r="EI130" s="294" t="e">
        <f>EI89+EI112+EI115+EI118+EI123+EI121</f>
        <v>#DIV/0!</v>
      </c>
      <c r="EJ130" s="294" t="e">
        <f>EJ89+EJ112+EJ115+EJ118+EJ123+EJ121</f>
        <v>#DIV/0!</v>
      </c>
      <c r="EK130" s="294" t="e">
        <f>EK89+EK112+EK115+EK118+EK123+EK121</f>
        <v>#DIV/0!</v>
      </c>
      <c r="EL130" s="294" t="e">
        <f>EL89+EL112+EL115+EL118+EL123+EL121</f>
        <v>#DIV/0!</v>
      </c>
      <c r="EM130" s="244">
        <f>EM89+EM112+EM115+EM118+EM123+EM121+EM97+EM102+EM107</f>
        <v>13588.822640978744</v>
      </c>
      <c r="EN130" s="294" t="e">
        <f>EN89+EN112+EN115+EN118+EN123+EN121</f>
        <v>#DIV/0!</v>
      </c>
      <c r="EO130" s="294" t="e">
        <f>EO89+EO112+EO115+EO118+EO123+EO121</f>
        <v>#DIV/0!</v>
      </c>
      <c r="EP130" s="294" t="e">
        <f>EP89+EP112+EP115+EP118+EP123+EP121</f>
        <v>#DIV/0!</v>
      </c>
      <c r="EQ130" s="294" t="e">
        <f>EQ89+EQ112+EQ115+EQ118+EQ123+EQ121</f>
        <v>#DIV/0!</v>
      </c>
      <c r="ER130" s="244">
        <f>ER89+ER112+ER115+ER118+ER123+ER121+ER97+ER102+ER107</f>
        <v>13006.810726953012</v>
      </c>
    </row>
    <row r="131" spans="2:148">
      <c r="B131" s="230"/>
      <c r="C131" s="230"/>
      <c r="D131" s="352"/>
      <c r="E131" s="352"/>
      <c r="F131" s="352"/>
      <c r="G131" s="352"/>
      <c r="H131" s="230"/>
      <c r="I131" s="352"/>
      <c r="J131" s="352"/>
      <c r="K131" s="352"/>
      <c r="L131" s="352"/>
      <c r="M131" s="230"/>
      <c r="N131" s="352"/>
      <c r="O131" s="352"/>
      <c r="P131" s="352"/>
      <c r="Q131" s="352"/>
      <c r="R131" s="230"/>
      <c r="S131" s="352"/>
      <c r="T131" s="352"/>
      <c r="U131" s="352"/>
      <c r="V131" s="352"/>
      <c r="W131" s="230"/>
      <c r="X131" s="352"/>
      <c r="Y131" s="352"/>
      <c r="Z131" s="352"/>
      <c r="AA131" s="352"/>
      <c r="AB131" s="230"/>
      <c r="AC131" s="352"/>
      <c r="AD131" s="352"/>
      <c r="AE131" s="352"/>
      <c r="AF131" s="352"/>
      <c r="AG131" s="230"/>
      <c r="AH131" s="352"/>
      <c r="AI131" s="352"/>
      <c r="AJ131" s="352"/>
      <c r="AK131" s="352"/>
      <c r="AL131" s="230"/>
      <c r="AM131" s="352"/>
      <c r="AN131" s="352"/>
      <c r="AO131" s="352"/>
      <c r="AP131" s="352"/>
      <c r="AQ131" s="230"/>
      <c r="AR131" s="352"/>
      <c r="AS131" s="352"/>
      <c r="AT131" s="352"/>
      <c r="AU131" s="352"/>
      <c r="AV131" s="230"/>
      <c r="AW131" s="352"/>
      <c r="AX131" s="352"/>
      <c r="AY131" s="352"/>
      <c r="AZ131" s="352"/>
      <c r="BA131" s="230"/>
      <c r="BB131" s="353"/>
      <c r="BC131" s="353"/>
      <c r="BD131" s="353"/>
      <c r="BE131" s="353"/>
      <c r="BF131" s="230"/>
      <c r="BG131" s="353"/>
      <c r="BH131" s="353"/>
      <c r="BI131" s="353"/>
      <c r="BJ131" s="353"/>
      <c r="BK131" s="230"/>
      <c r="BL131" s="353"/>
      <c r="BM131" s="353"/>
      <c r="BN131" s="353"/>
      <c r="BO131" s="353"/>
      <c r="BP131" s="230"/>
      <c r="BQ131" s="353"/>
      <c r="BR131" s="353"/>
      <c r="BS131" s="353"/>
      <c r="BT131" s="353"/>
      <c r="BU131" s="230"/>
      <c r="BV131" s="353"/>
      <c r="BW131" s="353"/>
      <c r="BX131" s="353"/>
      <c r="BY131" s="353"/>
      <c r="BZ131" s="230"/>
      <c r="CA131" s="353"/>
      <c r="CB131" s="353"/>
      <c r="CC131" s="353"/>
      <c r="CD131" s="353"/>
      <c r="CE131" s="230"/>
      <c r="CF131" s="353"/>
      <c r="CG131" s="353"/>
      <c r="CH131" s="353"/>
      <c r="CI131" s="353"/>
      <c r="CJ131" s="230"/>
      <c r="CK131" s="353"/>
      <c r="CL131" s="353"/>
      <c r="CM131" s="353"/>
      <c r="CN131" s="353"/>
      <c r="CO131" s="230"/>
      <c r="CP131" s="353"/>
      <c r="CQ131" s="353"/>
      <c r="CR131" s="353"/>
      <c r="CS131" s="353"/>
      <c r="CT131" s="230"/>
      <c r="CU131" s="353"/>
      <c r="CV131" s="353"/>
      <c r="CW131" s="353"/>
      <c r="CX131" s="353"/>
      <c r="CY131" s="230"/>
      <c r="CZ131" s="353"/>
      <c r="DA131" s="353"/>
      <c r="DB131" s="353"/>
      <c r="DC131" s="353"/>
      <c r="DD131" s="230"/>
      <c r="DE131" s="353"/>
      <c r="DF131" s="353"/>
      <c r="DG131" s="353"/>
      <c r="DH131" s="353"/>
      <c r="DI131" s="230"/>
      <c r="DJ131" s="353"/>
      <c r="DK131" s="353"/>
      <c r="DL131" s="353"/>
      <c r="DM131" s="353"/>
      <c r="DN131" s="230"/>
      <c r="DO131" s="353"/>
      <c r="DP131" s="353"/>
      <c r="DQ131" s="353"/>
      <c r="DR131" s="353"/>
      <c r="DS131" s="230"/>
      <c r="DT131" s="353"/>
      <c r="DU131" s="353"/>
      <c r="DV131" s="353"/>
      <c r="DW131" s="353"/>
      <c r="DX131" s="230"/>
      <c r="DY131" s="353"/>
      <c r="DZ131" s="353"/>
      <c r="EA131" s="353"/>
      <c r="EB131" s="353"/>
      <c r="EC131" s="230"/>
      <c r="ED131" s="353"/>
      <c r="EE131" s="353"/>
      <c r="EF131" s="353"/>
      <c r="EG131" s="353"/>
      <c r="EH131" s="230"/>
      <c r="EI131" s="353"/>
      <c r="EJ131" s="353"/>
      <c r="EK131" s="353"/>
      <c r="EL131" s="353"/>
      <c r="EM131" s="230"/>
      <c r="EN131" s="353"/>
      <c r="EO131" s="353"/>
      <c r="EP131" s="353"/>
      <c r="EQ131" s="353"/>
      <c r="ER131" s="230"/>
    </row>
    <row r="132" spans="2:148">
      <c r="B132" s="230" t="s">
        <v>84</v>
      </c>
      <c r="C132" s="230">
        <f t="shared" ref="C132:BF132" si="71">C134+C144</f>
        <v>42.798999999999999</v>
      </c>
      <c r="D132" s="352">
        <f t="shared" si="71"/>
        <v>7.7050000000000001</v>
      </c>
      <c r="E132" s="352">
        <f t="shared" si="71"/>
        <v>15.574999999999999</v>
      </c>
      <c r="F132" s="352">
        <f t="shared" si="71"/>
        <v>13.782999999999999</v>
      </c>
      <c r="G132" s="352">
        <f t="shared" si="71"/>
        <v>5.8479999999999999</v>
      </c>
      <c r="H132" s="230">
        <f t="shared" si="71"/>
        <v>42.911000000000001</v>
      </c>
      <c r="I132" s="352">
        <f t="shared" si="71"/>
        <v>9.141</v>
      </c>
      <c r="J132" s="352">
        <f t="shared" si="71"/>
        <v>8.202</v>
      </c>
      <c r="K132" s="352">
        <f t="shared" si="71"/>
        <v>6.2969999999999997</v>
      </c>
      <c r="L132" s="352">
        <f t="shared" si="71"/>
        <v>7.8830000000000027</v>
      </c>
      <c r="M132" s="230">
        <f t="shared" si="71"/>
        <v>31.523000000000003</v>
      </c>
      <c r="N132" s="352">
        <f t="shared" si="71"/>
        <v>32.542000000000002</v>
      </c>
      <c r="O132" s="352">
        <f t="shared" si="71"/>
        <v>20.39</v>
      </c>
      <c r="P132" s="352">
        <f t="shared" si="71"/>
        <v>15.46</v>
      </c>
      <c r="Q132" s="352">
        <f t="shared" si="71"/>
        <v>14.005000000000001</v>
      </c>
      <c r="R132" s="230">
        <f t="shared" si="71"/>
        <v>82.396999999999991</v>
      </c>
      <c r="S132" s="352">
        <f t="shared" si="71"/>
        <v>30.202999999999999</v>
      </c>
      <c r="T132" s="352">
        <f t="shared" si="71"/>
        <v>46.811</v>
      </c>
      <c r="U132" s="352">
        <f t="shared" si="71"/>
        <v>26.247</v>
      </c>
      <c r="V132" s="352">
        <f t="shared" si="71"/>
        <v>115.84</v>
      </c>
      <c r="W132" s="230">
        <f t="shared" si="71"/>
        <v>219.101</v>
      </c>
      <c r="X132" s="352">
        <f t="shared" si="71"/>
        <v>133.52500000000001</v>
      </c>
      <c r="Y132" s="352">
        <f t="shared" si="71"/>
        <v>94.61099999999999</v>
      </c>
      <c r="Z132" s="352">
        <f t="shared" si="71"/>
        <v>78.672999999999988</v>
      </c>
      <c r="AA132" s="352">
        <f t="shared" si="71"/>
        <v>131.13300000000004</v>
      </c>
      <c r="AB132" s="230">
        <f t="shared" si="71"/>
        <v>437.94200000000001</v>
      </c>
      <c r="AC132" s="352">
        <f t="shared" si="71"/>
        <v>188.20499999999998</v>
      </c>
      <c r="AD132" s="352">
        <f t="shared" si="71"/>
        <v>143.03100000000001</v>
      </c>
      <c r="AE132" s="352">
        <f t="shared" si="71"/>
        <v>96.872</v>
      </c>
      <c r="AF132" s="352">
        <f t="shared" si="71"/>
        <v>68.827999999999975</v>
      </c>
      <c r="AG132" s="230">
        <f t="shared" si="71"/>
        <v>496.93599999999998</v>
      </c>
      <c r="AH132" s="352">
        <f t="shared" si="71"/>
        <v>116.846</v>
      </c>
      <c r="AI132" s="352">
        <f t="shared" si="71"/>
        <v>60.908999999999999</v>
      </c>
      <c r="AJ132" s="352">
        <f t="shared" si="71"/>
        <v>32.766000000000005</v>
      </c>
      <c r="AK132" s="352">
        <f t="shared" si="71"/>
        <v>40.433000000000007</v>
      </c>
      <c r="AL132" s="230">
        <f t="shared" si="71"/>
        <v>250.95400000000001</v>
      </c>
      <c r="AM132" s="352">
        <f t="shared" si="71"/>
        <v>82.88</v>
      </c>
      <c r="AN132" s="352">
        <f t="shared" si="71"/>
        <v>78.777000000000001</v>
      </c>
      <c r="AO132" s="352">
        <f t="shared" si="71"/>
        <v>152.434</v>
      </c>
      <c r="AP132" s="352">
        <f t="shared" si="71"/>
        <v>227.98099999999999</v>
      </c>
      <c r="AQ132" s="230">
        <f t="shared" si="71"/>
        <v>542.072</v>
      </c>
      <c r="AR132" s="352">
        <f t="shared" si="71"/>
        <v>297.78999999999996</v>
      </c>
      <c r="AS132" s="352">
        <f t="shared" si="71"/>
        <v>121.16300000000001</v>
      </c>
      <c r="AT132" s="352">
        <f t="shared" si="71"/>
        <v>72.097000000000008</v>
      </c>
      <c r="AU132" s="352">
        <f t="shared" si="71"/>
        <v>68.449000000000012</v>
      </c>
      <c r="AV132" s="230">
        <f t="shared" si="71"/>
        <v>559.49900000000002</v>
      </c>
      <c r="AW132" s="352">
        <f t="shared" si="71"/>
        <v>62.515999999999998</v>
      </c>
      <c r="AX132" s="352">
        <f t="shared" si="71"/>
        <v>97.664999999999992</v>
      </c>
      <c r="AY132" s="352">
        <f t="shared" si="71"/>
        <v>55.800999999999995</v>
      </c>
      <c r="AZ132" s="352">
        <f t="shared" si="71"/>
        <v>67.044000000000011</v>
      </c>
      <c r="BA132" s="230">
        <f t="shared" si="71"/>
        <v>283.02600000000001</v>
      </c>
      <c r="BB132" s="353">
        <f t="shared" si="71"/>
        <v>74.106999999999999</v>
      </c>
      <c r="BC132" s="353">
        <f t="shared" si="71"/>
        <v>83.945999999999998</v>
      </c>
      <c r="BD132" s="353">
        <f t="shared" si="71"/>
        <v>68.619</v>
      </c>
      <c r="BE132" s="353">
        <f t="shared" si="71"/>
        <v>77.474000000000018</v>
      </c>
      <c r="BF132" s="230">
        <f t="shared" si="71"/>
        <v>304.14600000000002</v>
      </c>
      <c r="BG132" s="353">
        <f t="shared" ref="BG132:CQ132" si="72">BG134+BG144</f>
        <v>138.06700000000001</v>
      </c>
      <c r="BH132" s="353">
        <f t="shared" si="72"/>
        <v>110.10899999999999</v>
      </c>
      <c r="BI132" s="353">
        <f t="shared" si="72"/>
        <v>73.180999999999997</v>
      </c>
      <c r="BJ132" s="356">
        <v>76.635999999999996</v>
      </c>
      <c r="BK132" s="230">
        <f>BK134+BK144</f>
        <v>397.99299999999999</v>
      </c>
      <c r="BL132" s="356">
        <v>127.982</v>
      </c>
      <c r="BM132" s="356">
        <v>122.006</v>
      </c>
      <c r="BN132" s="356">
        <v>73.623999999999995</v>
      </c>
      <c r="BO132" s="356">
        <v>92</v>
      </c>
      <c r="BP132" s="230">
        <f>SUM(BL132:BO132)</f>
        <v>415.61199999999997</v>
      </c>
      <c r="BQ132" s="356">
        <v>189</v>
      </c>
      <c r="BR132" s="356">
        <v>118</v>
      </c>
      <c r="BS132" s="356">
        <v>84</v>
      </c>
      <c r="BT132" s="356">
        <v>97</v>
      </c>
      <c r="BU132" s="230">
        <v>488</v>
      </c>
      <c r="BV132" s="356">
        <v>113</v>
      </c>
      <c r="BW132" s="356">
        <v>125</v>
      </c>
      <c r="BX132" s="356">
        <v>95</v>
      </c>
      <c r="BY132" s="356">
        <v>104</v>
      </c>
      <c r="BZ132" s="230">
        <f>SUM(BV132:BY132)</f>
        <v>437</v>
      </c>
      <c r="CA132" s="356">
        <v>128</v>
      </c>
      <c r="CB132" s="356">
        <v>95</v>
      </c>
      <c r="CC132" s="356">
        <v>110</v>
      </c>
      <c r="CD132" s="997">
        <v>112</v>
      </c>
      <c r="CE132" s="230">
        <f>SUM(CA132:CD132)</f>
        <v>445</v>
      </c>
      <c r="CF132" s="353">
        <f>CF134+CF144</f>
        <v>100.5559428059875</v>
      </c>
      <c r="CG132" s="353">
        <f t="shared" si="72"/>
        <v>71.74267766291716</v>
      </c>
      <c r="CH132" s="353">
        <f t="shared" si="72"/>
        <v>105.6452866923896</v>
      </c>
      <c r="CI132" s="353">
        <f t="shared" si="72"/>
        <v>105.95711102457228</v>
      </c>
      <c r="CJ132" s="230">
        <f t="shared" si="72"/>
        <v>383.90101818586658</v>
      </c>
      <c r="CK132" s="353">
        <f t="shared" si="72"/>
        <v>87.438937607685006</v>
      </c>
      <c r="CL132" s="353">
        <f t="shared" si="72"/>
        <v>57.788785886082444</v>
      </c>
      <c r="CM132" s="353">
        <f t="shared" si="72"/>
        <v>107.31328237715286</v>
      </c>
      <c r="CN132" s="353">
        <f t="shared" si="72"/>
        <v>105.16581259361307</v>
      </c>
      <c r="CO132" s="230">
        <f t="shared" si="72"/>
        <v>357.7068184645334</v>
      </c>
      <c r="CP132" s="353">
        <f>CP134+CP144</f>
        <v>89.376624339268332</v>
      </c>
      <c r="CQ132" s="353">
        <f t="shared" si="72"/>
        <v>58.865278514739849</v>
      </c>
      <c r="CR132" s="353">
        <f t="shared" ref="CR132:DW132" si="73">CR134+CR144</f>
        <v>110.23002203586493</v>
      </c>
      <c r="CS132" s="353">
        <f t="shared" si="73"/>
        <v>107.95242095309695</v>
      </c>
      <c r="CT132" s="230">
        <f t="shared" si="73"/>
        <v>366.42434584297007</v>
      </c>
      <c r="CU132" s="353">
        <f t="shared" si="73"/>
        <v>91.370591537886895</v>
      </c>
      <c r="CV132" s="353">
        <f t="shared" si="73"/>
        <v>59.973038069527945</v>
      </c>
      <c r="CW132" s="353">
        <f t="shared" si="73"/>
        <v>113.23147893371421</v>
      </c>
      <c r="CX132" s="353">
        <f t="shared" si="73"/>
        <v>110.81996686422927</v>
      </c>
      <c r="CY132" s="230">
        <f t="shared" si="73"/>
        <v>375.39507540535834</v>
      </c>
      <c r="CZ132" s="353">
        <f t="shared" si="73"/>
        <v>93.422473880043398</v>
      </c>
      <c r="DA132" s="353">
        <f t="shared" si="73"/>
        <v>61.112972704059331</v>
      </c>
      <c r="DB132" s="353">
        <f t="shared" si="73"/>
        <v>116.32011369847237</v>
      </c>
      <c r="DC132" s="353">
        <f t="shared" si="73"/>
        <v>113.77080117306437</v>
      </c>
      <c r="DD132" s="230">
        <f t="shared" si="73"/>
        <v>384.62636145563948</v>
      </c>
      <c r="DE132" s="353">
        <f t="shared" si="73"/>
        <v>95.533953521719809</v>
      </c>
      <c r="DF132" s="353">
        <f t="shared" si="73"/>
        <v>62.286016949435108</v>
      </c>
      <c r="DG132" s="353">
        <f t="shared" si="73"/>
        <v>119.49845842729671</v>
      </c>
      <c r="DH132" s="353">
        <f t="shared" si="73"/>
        <v>116.80734300641203</v>
      </c>
      <c r="DI132" s="230">
        <f t="shared" si="73"/>
        <v>394.12577190486365</v>
      </c>
      <c r="DJ132" s="353">
        <f t="shared" si="73"/>
        <v>97.706761477427577</v>
      </c>
      <c r="DK132" s="353">
        <f t="shared" si="73"/>
        <v>63.493132480383863</v>
      </c>
      <c r="DL132" s="353">
        <f t="shared" si="73"/>
        <v>122.76911876257155</v>
      </c>
      <c r="DM132" s="353">
        <f t="shared" si="73"/>
        <v>119.93208175506456</v>
      </c>
      <c r="DN132" s="230">
        <f t="shared" si="73"/>
        <v>403.90109447544756</v>
      </c>
      <c r="DO132" s="353">
        <f t="shared" si="73"/>
        <v>99.942679039312594</v>
      </c>
      <c r="DP132" s="353">
        <f t="shared" si="73"/>
        <v>64.735308903653305</v>
      </c>
      <c r="DQ132" s="353">
        <f t="shared" si="73"/>
        <v>126.13477602804288</v>
      </c>
      <c r="DR132" s="353">
        <f t="shared" si="73"/>
        <v>123.14757911462711</v>
      </c>
      <c r="DS132" s="230">
        <f t="shared" si="73"/>
        <v>413.96034308563588</v>
      </c>
      <c r="DT132" s="353">
        <f t="shared" si="73"/>
        <v>102.24353923747832</v>
      </c>
      <c r="DU132" s="353">
        <f t="shared" si="73"/>
        <v>66.013564569300939</v>
      </c>
      <c r="DV132" s="353">
        <f t="shared" si="73"/>
        <v>129.59818942699741</v>
      </c>
      <c r="DW132" s="353">
        <f t="shared" si="73"/>
        <v>126.45647118562418</v>
      </c>
      <c r="DX132" s="230">
        <f t="shared" ref="DX132:ER132" si="74">DX134+DX144</f>
        <v>424.31176441940084</v>
      </c>
      <c r="DY132" s="353">
        <f t="shared" si="74"/>
        <v>104.61122834272426</v>
      </c>
      <c r="DZ132" s="353">
        <f t="shared" si="74"/>
        <v>67.328947405548675</v>
      </c>
      <c r="EA132" s="353">
        <f t="shared" si="74"/>
        <v>133.16219830428807</v>
      </c>
      <c r="EB132" s="353">
        <f t="shared" si="74"/>
        <v>129.86147063460425</v>
      </c>
      <c r="EC132" s="230">
        <f t="shared" si="74"/>
        <v>434.96384468716525</v>
      </c>
      <c r="ED132" s="353">
        <f t="shared" si="74"/>
        <v>107.04768741293177</v>
      </c>
      <c r="EE132" s="353">
        <f t="shared" si="74"/>
        <v>68.682535777886187</v>
      </c>
      <c r="EF132" s="353">
        <f t="shared" si="74"/>
        <v>136.82972447406064</v>
      </c>
      <c r="EG132" s="353">
        <f t="shared" si="74"/>
        <v>133.36536891801393</v>
      </c>
      <c r="EH132" s="230">
        <f t="shared" si="74"/>
        <v>445.92531658289255</v>
      </c>
      <c r="EI132" s="353">
        <f t="shared" si="74"/>
        <v>109.55491388436489</v>
      </c>
      <c r="EJ132" s="353">
        <f t="shared" si="74"/>
        <v>70.075439373126798</v>
      </c>
      <c r="EK132" s="353">
        <f t="shared" si="74"/>
        <v>140.60377461508949</v>
      </c>
      <c r="EL132" s="353">
        <f t="shared" si="74"/>
        <v>136.97103857066503</v>
      </c>
      <c r="EM132" s="230">
        <f t="shared" si="74"/>
        <v>457.20516644324618</v>
      </c>
      <c r="EN132" s="353">
        <f t="shared" si="74"/>
        <v>112.13496320919084</v>
      </c>
      <c r="EO132" s="353">
        <f t="shared" si="74"/>
        <v>71.508800109141234</v>
      </c>
      <c r="EP132" s="353">
        <f t="shared" si="74"/>
        <v>144.48744273568605</v>
      </c>
      <c r="EQ132" s="353">
        <f t="shared" si="74"/>
        <v>140.68143556067071</v>
      </c>
      <c r="ER132" s="230">
        <f t="shared" si="74"/>
        <v>468.81264161468886</v>
      </c>
    </row>
    <row r="133" spans="2:148">
      <c r="B133" s="230"/>
      <c r="C133" s="230"/>
      <c r="D133" s="352"/>
      <c r="E133" s="352"/>
      <c r="F133" s="352"/>
      <c r="G133" s="352"/>
      <c r="H133" s="230"/>
      <c r="I133" s="352"/>
      <c r="J133" s="352"/>
      <c r="K133" s="352"/>
      <c r="L133" s="352"/>
      <c r="M133" s="230"/>
      <c r="N133" s="352"/>
      <c r="O133" s="352"/>
      <c r="P133" s="352"/>
      <c r="Q133" s="352"/>
      <c r="R133" s="230"/>
      <c r="S133" s="352"/>
      <c r="T133" s="352"/>
      <c r="U133" s="352"/>
      <c r="V133" s="352"/>
      <c r="W133" s="230"/>
      <c r="X133" s="352"/>
      <c r="Y133" s="352"/>
      <c r="Z133" s="352"/>
      <c r="AA133" s="352"/>
      <c r="AB133" s="230"/>
      <c r="AC133" s="352"/>
      <c r="AD133" s="352"/>
      <c r="AE133" s="352"/>
      <c r="AF133" s="352"/>
      <c r="AG133" s="230"/>
      <c r="AH133" s="352"/>
      <c r="AI133" s="352"/>
      <c r="AJ133" s="352"/>
      <c r="AK133" s="352"/>
      <c r="AL133" s="230"/>
      <c r="AM133" s="352"/>
      <c r="AN133" s="352"/>
      <c r="AO133" s="352"/>
      <c r="AP133" s="352"/>
      <c r="AQ133" s="230"/>
      <c r="AR133" s="352"/>
      <c r="AS133" s="352"/>
      <c r="AT133" s="352"/>
      <c r="AU133" s="352"/>
      <c r="AV133" s="230"/>
      <c r="AW133" s="352"/>
      <c r="AX133" s="352"/>
      <c r="AY133" s="352"/>
      <c r="AZ133" s="352"/>
      <c r="BA133" s="230"/>
      <c r="BB133" s="353"/>
      <c r="BC133" s="353"/>
      <c r="BD133" s="353"/>
      <c r="BE133" s="353"/>
      <c r="BF133" s="230"/>
      <c r="BG133" s="353"/>
      <c r="BH133" s="353"/>
      <c r="BI133" s="353"/>
      <c r="BJ133" s="353"/>
      <c r="BK133" s="230"/>
      <c r="BL133" s="353"/>
      <c r="BM133" s="353"/>
      <c r="BN133" s="353"/>
      <c r="BO133" s="353"/>
      <c r="BP133" s="230"/>
      <c r="BQ133" s="353"/>
      <c r="BR133" s="353"/>
      <c r="BS133" s="353"/>
      <c r="BT133" s="353"/>
      <c r="BU133" s="230"/>
      <c r="BV133" s="353"/>
      <c r="BW133" s="353"/>
      <c r="BX133" s="353"/>
      <c r="BY133" s="353"/>
      <c r="BZ133" s="230"/>
      <c r="CA133" s="353"/>
      <c r="CB133" s="353"/>
      <c r="CC133" s="353"/>
      <c r="CD133" s="353"/>
      <c r="CE133" s="230"/>
      <c r="CF133" s="353"/>
      <c r="CG133" s="353"/>
      <c r="CH133" s="353"/>
      <c r="CI133" s="353"/>
      <c r="CJ133" s="230"/>
      <c r="CK133" s="353"/>
      <c r="CL133" s="353"/>
      <c r="CM133" s="353"/>
      <c r="CN133" s="353"/>
      <c r="CO133" s="230"/>
      <c r="CP133" s="353"/>
      <c r="CQ133" s="353"/>
      <c r="CR133" s="353"/>
      <c r="CS133" s="353"/>
      <c r="CT133" s="230"/>
      <c r="CU133" s="353"/>
      <c r="CV133" s="353"/>
      <c r="CW133" s="353"/>
      <c r="CX133" s="353"/>
      <c r="CY133" s="230"/>
      <c r="CZ133" s="353"/>
      <c r="DA133" s="353"/>
      <c r="DB133" s="353"/>
      <c r="DC133" s="353"/>
      <c r="DD133" s="230"/>
      <c r="DE133" s="353"/>
      <c r="DF133" s="353"/>
      <c r="DG133" s="353"/>
      <c r="DH133" s="353"/>
      <c r="DI133" s="230"/>
      <c r="DJ133" s="353"/>
      <c r="DK133" s="353"/>
      <c r="DL133" s="353"/>
      <c r="DM133" s="353"/>
      <c r="DN133" s="230"/>
      <c r="DO133" s="353"/>
      <c r="DP133" s="353"/>
      <c r="DQ133" s="353"/>
      <c r="DR133" s="353"/>
      <c r="DS133" s="230"/>
      <c r="DT133" s="353"/>
      <c r="DU133" s="353"/>
      <c r="DV133" s="353"/>
      <c r="DW133" s="353"/>
      <c r="DX133" s="230"/>
      <c r="DY133" s="353"/>
      <c r="DZ133" s="353"/>
      <c r="EA133" s="353"/>
      <c r="EB133" s="353"/>
      <c r="EC133" s="230"/>
      <c r="ED133" s="353"/>
      <c r="EE133" s="353"/>
      <c r="EF133" s="353"/>
      <c r="EG133" s="353"/>
      <c r="EH133" s="230"/>
      <c r="EI133" s="353"/>
      <c r="EJ133" s="353"/>
      <c r="EK133" s="353"/>
      <c r="EL133" s="353"/>
      <c r="EM133" s="230"/>
      <c r="EN133" s="353"/>
      <c r="EO133" s="353"/>
      <c r="EP133" s="353"/>
      <c r="EQ133" s="353"/>
      <c r="ER133" s="230"/>
    </row>
    <row r="134" spans="2:148">
      <c r="B134" s="230" t="s">
        <v>70</v>
      </c>
      <c r="C134" s="230">
        <v>22.969000000000001</v>
      </c>
      <c r="D134" s="352">
        <v>5.3769999999999998</v>
      </c>
      <c r="E134" s="352">
        <v>6.7370000000000001</v>
      </c>
      <c r="F134" s="352">
        <v>4.3819999999999997</v>
      </c>
      <c r="G134" s="352">
        <v>3.91</v>
      </c>
      <c r="H134" s="230">
        <f>D134+E134+F134+G134</f>
        <v>20.406000000000002</v>
      </c>
      <c r="I134" s="352">
        <f>9.141</f>
        <v>9.141</v>
      </c>
      <c r="J134" s="352">
        <f>8.202</f>
        <v>8.202</v>
      </c>
      <c r="K134" s="352">
        <v>6.2969999999999997</v>
      </c>
      <c r="L134" s="352">
        <f>25.219+6.304-23.64</f>
        <v>7.8830000000000027</v>
      </c>
      <c r="M134" s="230">
        <f>I134+J134+K134+L134</f>
        <v>31.523000000000003</v>
      </c>
      <c r="N134" s="352">
        <v>32.542000000000002</v>
      </c>
      <c r="O134" s="352">
        <v>20.39</v>
      </c>
      <c r="P134" s="352">
        <v>15.46</v>
      </c>
      <c r="Q134" s="352">
        <v>14.005000000000001</v>
      </c>
      <c r="R134" s="230">
        <f>N134+O134+P134+Q134</f>
        <v>82.396999999999991</v>
      </c>
      <c r="S134" s="352">
        <v>30.202999999999999</v>
      </c>
      <c r="T134" s="352">
        <v>46.811</v>
      </c>
      <c r="U134" s="352">
        <v>26.247</v>
      </c>
      <c r="V134" s="352">
        <f>196.873+22.228-103.261</f>
        <v>115.84</v>
      </c>
      <c r="W134" s="230">
        <f>S134+T134+U134+V134</f>
        <v>219.101</v>
      </c>
      <c r="X134" s="352">
        <v>129.429</v>
      </c>
      <c r="Y134" s="352">
        <v>85.316999999999993</v>
      </c>
      <c r="Z134" s="352">
        <v>76.194999999999993</v>
      </c>
      <c r="AA134" s="352">
        <f>416.526-290.941</f>
        <v>125.58500000000004</v>
      </c>
      <c r="AB134" s="230">
        <f>X134+Y134+Z134+AA134</f>
        <v>416.52600000000001</v>
      </c>
      <c r="AC134" s="352">
        <v>180.46199999999999</v>
      </c>
      <c r="AD134" s="352">
        <v>135.74700000000001</v>
      </c>
      <c r="AE134" s="352">
        <v>91.003</v>
      </c>
      <c r="AF134" s="352">
        <f>468.155-407.212</f>
        <v>60.942999999999984</v>
      </c>
      <c r="AG134" s="230">
        <f>AC134+AD134+AE134+AF134</f>
        <v>468.15499999999997</v>
      </c>
      <c r="AH134" s="352">
        <v>109.452</v>
      </c>
      <c r="AI134" s="352">
        <v>50.607999999999997</v>
      </c>
      <c r="AJ134" s="352">
        <v>25.161000000000001</v>
      </c>
      <c r="AK134" s="352">
        <f>218.18-185.221</f>
        <v>32.959000000000003</v>
      </c>
      <c r="AL134" s="230">
        <f>AH134+AI134+AJ134+AK134</f>
        <v>218.18</v>
      </c>
      <c r="AM134" s="352">
        <v>53.042000000000002</v>
      </c>
      <c r="AN134" s="352">
        <f>73.895</f>
        <v>73.894999999999996</v>
      </c>
      <c r="AO134" s="352">
        <v>142.13300000000001</v>
      </c>
      <c r="AP134" s="352">
        <f>491.818-269.07</f>
        <v>222.74799999999999</v>
      </c>
      <c r="AQ134" s="230">
        <f>AM134+AN134+AO134+AP134</f>
        <v>491.81799999999998</v>
      </c>
      <c r="AR134" s="352">
        <v>293.68099999999998</v>
      </c>
      <c r="AS134" s="352">
        <f>117.79</f>
        <v>117.79</v>
      </c>
      <c r="AT134" s="352">
        <v>69.358000000000004</v>
      </c>
      <c r="AU134" s="352">
        <f>545.97-480.829</f>
        <v>65.14100000000002</v>
      </c>
      <c r="AV134" s="230">
        <f>AR134+AS134+AT134+AU134</f>
        <v>545.97</v>
      </c>
      <c r="AW134" s="352">
        <v>58.664999999999999</v>
      </c>
      <c r="AX134" s="352">
        <v>94.320999999999998</v>
      </c>
      <c r="AY134" s="352">
        <v>51.628999999999998</v>
      </c>
      <c r="AZ134" s="352">
        <f>268.827-SUM(AW134:AY134)</f>
        <v>64.212000000000018</v>
      </c>
      <c r="BA134" s="230">
        <f>SUM(AW134:AZ134)</f>
        <v>268.827</v>
      </c>
      <c r="BB134" s="353">
        <v>71.105000000000004</v>
      </c>
      <c r="BC134" s="353">
        <v>81.105999999999995</v>
      </c>
      <c r="BD134" s="353">
        <v>63.914999999999999</v>
      </c>
      <c r="BE134" s="353">
        <f>290.523-SUM(BB134:BD134)</f>
        <v>74.39700000000002</v>
      </c>
      <c r="BF134" s="230">
        <f>SUM(BB134:BE134)</f>
        <v>290.52300000000002</v>
      </c>
      <c r="BG134" s="353">
        <v>134.40700000000001</v>
      </c>
      <c r="BH134" s="353">
        <v>106.514</v>
      </c>
      <c r="BI134" s="353">
        <v>69.778999999999996</v>
      </c>
      <c r="BJ134" s="353">
        <f>BJ135+BJ142</f>
        <v>73.233999999999995</v>
      </c>
      <c r="BK134" s="230">
        <f>SUM(BG134:BJ134)</f>
        <v>383.93399999999997</v>
      </c>
      <c r="BL134" s="353">
        <f>BL135+BL142</f>
        <v>124.322</v>
      </c>
      <c r="BM134" s="353">
        <f>BM135+BM142</f>
        <v>118.411</v>
      </c>
      <c r="BN134" s="353">
        <f>BN135+BN142</f>
        <v>71.221999999999994</v>
      </c>
      <c r="BO134" s="353">
        <f>BO135+BO142</f>
        <v>82.757137067020878</v>
      </c>
      <c r="BP134" s="230">
        <f>SUM(BL134:BO134)</f>
        <v>396.71213706702088</v>
      </c>
      <c r="BQ134" s="353">
        <f>BQ135+BQ142</f>
        <v>136.3249181588738</v>
      </c>
      <c r="BR134" s="353">
        <v>114</v>
      </c>
      <c r="BS134" s="353">
        <f>BS135+BS142</f>
        <v>73.497615063682943</v>
      </c>
      <c r="BT134" s="353">
        <f>BT135+BT142</f>
        <v>82.338365922902796</v>
      </c>
      <c r="BU134" s="230">
        <f>SUM(BQ134:BT134)</f>
        <v>406.16089914545955</v>
      </c>
      <c r="BV134" s="353">
        <f>BV135+BV142</f>
        <v>108</v>
      </c>
      <c r="BW134" s="353">
        <f>BW135+BW142</f>
        <v>121</v>
      </c>
      <c r="BX134" s="353">
        <f>BX135+BX142</f>
        <v>84.497615063682943</v>
      </c>
      <c r="BY134" s="353">
        <f>BY135+BY142</f>
        <v>100.598</v>
      </c>
      <c r="BZ134" s="230">
        <f>SUM(BV134:BY134)</f>
        <v>414.09561506368294</v>
      </c>
      <c r="CA134" s="353">
        <f t="shared" ref="CA134:CS134" si="75">CA135+CA142</f>
        <v>123</v>
      </c>
      <c r="CB134" s="353">
        <f t="shared" si="75"/>
        <v>95</v>
      </c>
      <c r="CC134" s="353">
        <f t="shared" si="75"/>
        <v>99.497615063682943</v>
      </c>
      <c r="CD134" s="353">
        <f t="shared" si="75"/>
        <v>104.598</v>
      </c>
      <c r="CE134" s="230">
        <f t="shared" si="75"/>
        <v>422.09561506368289</v>
      </c>
      <c r="CF134" s="353">
        <f t="shared" si="75"/>
        <v>94.829846571908234</v>
      </c>
      <c r="CG134" s="353">
        <f t="shared" si="75"/>
        <v>66.016581428837895</v>
      </c>
      <c r="CH134" s="353">
        <f t="shared" si="75"/>
        <v>99.919190458310339</v>
      </c>
      <c r="CI134" s="353">
        <f t="shared" si="75"/>
        <v>100.23101479049302</v>
      </c>
      <c r="CJ134" s="230">
        <f t="shared" si="75"/>
        <v>360.99663324954952</v>
      </c>
      <c r="CK134" s="353">
        <f t="shared" si="75"/>
        <v>81.712841373605741</v>
      </c>
      <c r="CL134" s="353">
        <f t="shared" si="75"/>
        <v>52.062689652003179</v>
      </c>
      <c r="CM134" s="353">
        <f t="shared" si="75"/>
        <v>101.58718614307359</v>
      </c>
      <c r="CN134" s="353">
        <f t="shared" si="75"/>
        <v>99.439716359533804</v>
      </c>
      <c r="CO134" s="230">
        <f t="shared" si="75"/>
        <v>334.80243352821634</v>
      </c>
      <c r="CP134" s="353">
        <f t="shared" si="75"/>
        <v>83.650528105189068</v>
      </c>
      <c r="CQ134" s="353">
        <f t="shared" si="75"/>
        <v>53.139182280660584</v>
      </c>
      <c r="CR134" s="353">
        <f t="shared" si="75"/>
        <v>104.50392580178567</v>
      </c>
      <c r="CS134" s="353">
        <f t="shared" si="75"/>
        <v>102.22632471901768</v>
      </c>
      <c r="CT134" s="230">
        <f t="shared" ref="CT134:DY134" si="76">CT135+CT142</f>
        <v>343.51996090665301</v>
      </c>
      <c r="CU134" s="353">
        <f t="shared" si="76"/>
        <v>85.644495303807631</v>
      </c>
      <c r="CV134" s="353">
        <f t="shared" si="76"/>
        <v>54.246941835448681</v>
      </c>
      <c r="CW134" s="353">
        <f t="shared" si="76"/>
        <v>107.50538269963495</v>
      </c>
      <c r="CX134" s="353">
        <f t="shared" si="76"/>
        <v>105.09387063015001</v>
      </c>
      <c r="CY134" s="230">
        <f t="shared" si="76"/>
        <v>352.49069046904128</v>
      </c>
      <c r="CZ134" s="353">
        <f t="shared" si="76"/>
        <v>87.696377645964134</v>
      </c>
      <c r="DA134" s="353">
        <f t="shared" si="76"/>
        <v>55.386876469980066</v>
      </c>
      <c r="DB134" s="353">
        <f t="shared" si="76"/>
        <v>110.5940174643931</v>
      </c>
      <c r="DC134" s="353">
        <f t="shared" si="76"/>
        <v>108.04470493898511</v>
      </c>
      <c r="DD134" s="230">
        <f t="shared" si="76"/>
        <v>361.72197651932242</v>
      </c>
      <c r="DE134" s="353">
        <f t="shared" si="76"/>
        <v>89.807857287640545</v>
      </c>
      <c r="DF134" s="353">
        <f t="shared" si="76"/>
        <v>56.559920715355844</v>
      </c>
      <c r="DG134" s="353">
        <f t="shared" si="76"/>
        <v>113.77236219321745</v>
      </c>
      <c r="DH134" s="353">
        <f t="shared" si="76"/>
        <v>111.08124677233276</v>
      </c>
      <c r="DI134" s="230">
        <f t="shared" si="76"/>
        <v>371.2213869685466</v>
      </c>
      <c r="DJ134" s="353">
        <f t="shared" si="76"/>
        <v>91.980665243348312</v>
      </c>
      <c r="DK134" s="353">
        <f t="shared" si="76"/>
        <v>57.767036246304599</v>
      </c>
      <c r="DL134" s="353">
        <f t="shared" si="76"/>
        <v>117.04302252849229</v>
      </c>
      <c r="DM134" s="353">
        <f t="shared" si="76"/>
        <v>114.20598552098529</v>
      </c>
      <c r="DN134" s="230">
        <f t="shared" si="76"/>
        <v>380.99670953913051</v>
      </c>
      <c r="DO134" s="353">
        <f t="shared" si="76"/>
        <v>94.21658280523333</v>
      </c>
      <c r="DP134" s="353">
        <f t="shared" si="76"/>
        <v>59.009212669574048</v>
      </c>
      <c r="DQ134" s="353">
        <f t="shared" si="76"/>
        <v>120.40867979396361</v>
      </c>
      <c r="DR134" s="353">
        <f t="shared" si="76"/>
        <v>117.42148288054784</v>
      </c>
      <c r="DS134" s="230">
        <f t="shared" si="76"/>
        <v>391.05595814931883</v>
      </c>
      <c r="DT134" s="353">
        <f t="shared" si="76"/>
        <v>96.517443003399052</v>
      </c>
      <c r="DU134" s="353">
        <f t="shared" si="76"/>
        <v>60.287468335221668</v>
      </c>
      <c r="DV134" s="353">
        <f t="shared" si="76"/>
        <v>123.87209319291813</v>
      </c>
      <c r="DW134" s="353">
        <f t="shared" si="76"/>
        <v>120.73037495154492</v>
      </c>
      <c r="DX134" s="230">
        <f t="shared" si="76"/>
        <v>401.40737948308379</v>
      </c>
      <c r="DY134" s="353">
        <f t="shared" si="76"/>
        <v>98.885132108644996</v>
      </c>
      <c r="DZ134" s="353">
        <f t="shared" ref="DZ134:ER134" si="77">DZ135+DZ142</f>
        <v>61.60285117146941</v>
      </c>
      <c r="EA134" s="353">
        <f t="shared" si="77"/>
        <v>127.4361020702088</v>
      </c>
      <c r="EB134" s="353">
        <f t="shared" si="77"/>
        <v>124.13537440052498</v>
      </c>
      <c r="EC134" s="230">
        <f t="shared" si="77"/>
        <v>412.05945975084819</v>
      </c>
      <c r="ED134" s="353">
        <f t="shared" si="77"/>
        <v>101.3215911788525</v>
      </c>
      <c r="EE134" s="353">
        <f t="shared" si="77"/>
        <v>62.956439543806916</v>
      </c>
      <c r="EF134" s="353">
        <f t="shared" si="77"/>
        <v>131.10362823998139</v>
      </c>
      <c r="EG134" s="353">
        <f t="shared" si="77"/>
        <v>127.63927268393465</v>
      </c>
      <c r="EH134" s="230">
        <f t="shared" si="77"/>
        <v>423.02093164657549</v>
      </c>
      <c r="EI134" s="353">
        <f t="shared" si="77"/>
        <v>103.82881765028563</v>
      </c>
      <c r="EJ134" s="353">
        <f t="shared" si="77"/>
        <v>64.349343139047534</v>
      </c>
      <c r="EK134" s="353">
        <f t="shared" si="77"/>
        <v>134.87767838101021</v>
      </c>
      <c r="EL134" s="353">
        <f t="shared" si="77"/>
        <v>131.24494233658578</v>
      </c>
      <c r="EM134" s="230">
        <f t="shared" si="77"/>
        <v>434.30078150692913</v>
      </c>
      <c r="EN134" s="353">
        <f t="shared" si="77"/>
        <v>106.40886697511158</v>
      </c>
      <c r="EO134" s="353">
        <f t="shared" si="77"/>
        <v>65.782703875061969</v>
      </c>
      <c r="EP134" s="353">
        <f t="shared" si="77"/>
        <v>138.76134650160679</v>
      </c>
      <c r="EQ134" s="353">
        <f t="shared" si="77"/>
        <v>134.95533932659146</v>
      </c>
      <c r="ER134" s="230">
        <f t="shared" si="77"/>
        <v>445.9082566783718</v>
      </c>
    </row>
    <row r="135" spans="2:148">
      <c r="B135" s="231" t="s">
        <v>923</v>
      </c>
      <c r="D135" s="297"/>
      <c r="E135" s="297">
        <v>2.4</v>
      </c>
      <c r="F135" s="297"/>
      <c r="G135" s="297"/>
      <c r="H135" s="116">
        <f>D135+E135+F135+G135</f>
        <v>2.4</v>
      </c>
      <c r="I135" s="297">
        <v>4.3</v>
      </c>
      <c r="J135" s="297">
        <v>8</v>
      </c>
      <c r="K135" s="297">
        <v>0</v>
      </c>
      <c r="L135" s="297">
        <v>0</v>
      </c>
      <c r="M135" s="116">
        <f>I135+J135+K135+L135</f>
        <v>12.3</v>
      </c>
      <c r="N135" s="297">
        <v>27.4</v>
      </c>
      <c r="O135" s="297">
        <v>9.6999999999999993</v>
      </c>
      <c r="P135" s="297">
        <v>1.7</v>
      </c>
      <c r="Q135" s="297">
        <v>5.8</v>
      </c>
      <c r="R135" s="116">
        <f>N135+O135+P135+Q135</f>
        <v>44.599999999999994</v>
      </c>
      <c r="S135" s="297">
        <v>11.9</v>
      </c>
      <c r="T135" s="297">
        <v>36.200000000000003</v>
      </c>
      <c r="U135" s="297">
        <v>12.1</v>
      </c>
      <c r="V135" s="297">
        <v>101.4</v>
      </c>
      <c r="W135" s="116">
        <f>S135+T135+U135+V135</f>
        <v>161.60000000000002</v>
      </c>
      <c r="X135" s="297">
        <v>115.3</v>
      </c>
      <c r="Y135" s="297">
        <v>73.3</v>
      </c>
      <c r="Z135" s="297">
        <v>62.7</v>
      </c>
      <c r="AA135" s="297">
        <v>113.2</v>
      </c>
      <c r="AB135" s="116">
        <f>X135+Y135+Z135+AA135</f>
        <v>364.5</v>
      </c>
      <c r="AC135" s="297">
        <v>167.9</v>
      </c>
      <c r="AD135" s="297">
        <v>123.1</v>
      </c>
      <c r="AE135" s="297">
        <v>77.400000000000006</v>
      </c>
      <c r="AF135" s="297">
        <v>46.1</v>
      </c>
      <c r="AG135" s="116">
        <f>AC135+AD135+AE135+AF135</f>
        <v>414.5</v>
      </c>
      <c r="AH135" s="297">
        <v>93.4</v>
      </c>
      <c r="AI135" s="297">
        <v>37.5</v>
      </c>
      <c r="AJ135" s="297">
        <v>8.6</v>
      </c>
      <c r="AK135" s="297">
        <v>16</v>
      </c>
      <c r="AL135" s="116">
        <f>AH135+AI135+AJ135+AK135</f>
        <v>155.5</v>
      </c>
      <c r="AM135" s="297">
        <v>33.200000000000003</v>
      </c>
      <c r="AN135" s="297">
        <v>51.9</v>
      </c>
      <c r="AO135" s="297">
        <v>113.5</v>
      </c>
      <c r="AP135" s="297">
        <v>194.1</v>
      </c>
      <c r="AQ135" s="116">
        <f>AM135+AN135+AO135+AP135</f>
        <v>392.7</v>
      </c>
      <c r="AR135" s="297">
        <v>246.3</v>
      </c>
      <c r="AS135" s="297">
        <v>83.8</v>
      </c>
      <c r="AT135" s="297">
        <v>34.5</v>
      </c>
      <c r="AU135" s="297">
        <v>21.9</v>
      </c>
      <c r="AV135" s="116">
        <f>AR135+AS135+AT135+AU135</f>
        <v>386.5</v>
      </c>
      <c r="AW135" s="297">
        <v>11.1</v>
      </c>
      <c r="AX135" s="297">
        <v>50.6</v>
      </c>
      <c r="AY135" s="297">
        <v>3.7</v>
      </c>
      <c r="AZ135" s="297">
        <v>10.1</v>
      </c>
      <c r="BA135" s="116">
        <f>SUM(AW135:AZ135)</f>
        <v>75.5</v>
      </c>
      <c r="BB135" s="298">
        <v>7.6</v>
      </c>
      <c r="BC135" s="298">
        <v>28.1</v>
      </c>
      <c r="BD135" s="298">
        <v>4.7</v>
      </c>
      <c r="BE135" s="298">
        <v>3.2</v>
      </c>
      <c r="BF135" s="116">
        <f>SUM(BB135:BE135)</f>
        <v>43.600000000000009</v>
      </c>
      <c r="BG135" s="298">
        <v>66</v>
      </c>
      <c r="BH135" s="298">
        <v>53</v>
      </c>
      <c r="BI135" s="298">
        <v>7</v>
      </c>
      <c r="BJ135" s="299">
        <v>9</v>
      </c>
      <c r="BK135" s="116">
        <f>SUM(BG135:BJ135)</f>
        <v>135</v>
      </c>
      <c r="BL135" s="299">
        <v>52</v>
      </c>
      <c r="BM135" s="299">
        <v>58</v>
      </c>
      <c r="BN135" s="299">
        <v>6</v>
      </c>
      <c r="BO135" s="298">
        <v>18</v>
      </c>
      <c r="BP135" s="116">
        <f>SUM(BL135:BO135)</f>
        <v>134</v>
      </c>
      <c r="BQ135" s="298">
        <v>60</v>
      </c>
      <c r="BR135" s="298">
        <v>60</v>
      </c>
      <c r="BS135" s="298">
        <f>(BU135/BP135)*BN135</f>
        <v>4.6656716417910449</v>
      </c>
      <c r="BT135" s="298">
        <f>(BU135/BP135)*BO135</f>
        <v>13.997014925373135</v>
      </c>
      <c r="BU135" s="116">
        <f>AVERAGE(BP135,BK135,BF135)</f>
        <v>104.2</v>
      </c>
      <c r="BV135" s="298">
        <f>BQ135</f>
        <v>60</v>
      </c>
      <c r="BW135" s="298">
        <f>BR135</f>
        <v>60</v>
      </c>
      <c r="BX135" s="298">
        <f>BS135</f>
        <v>4.6656716417910449</v>
      </c>
      <c r="BY135" s="298">
        <f>BT135</f>
        <v>13.997014925373135</v>
      </c>
      <c r="BZ135" s="116">
        <f>SUM(BV135:BY135)</f>
        <v>138.66268656716417</v>
      </c>
      <c r="CA135" s="298">
        <f>BV135</f>
        <v>60</v>
      </c>
      <c r="CB135" s="298">
        <f>BW135</f>
        <v>60</v>
      </c>
      <c r="CC135" s="298">
        <f>BX135</f>
        <v>4.6656716417910449</v>
      </c>
      <c r="CD135" s="298">
        <f>BY135</f>
        <v>13.997014925373135</v>
      </c>
      <c r="CE135" s="116">
        <f>SUM(CA135:CD135)</f>
        <v>138.66268656716417</v>
      </c>
      <c r="CF135" s="298">
        <f>CA135*0.5</f>
        <v>30</v>
      </c>
      <c r="CG135" s="711">
        <f t="shared" ref="CG135:CI135" si="78">CB135*0.5</f>
        <v>30</v>
      </c>
      <c r="CH135" s="711">
        <f t="shared" si="78"/>
        <v>2.3328358208955224</v>
      </c>
      <c r="CI135" s="711">
        <f t="shared" si="78"/>
        <v>6.9985074626865673</v>
      </c>
      <c r="CJ135" s="116">
        <f>SUM(CF135:CI135)</f>
        <v>69.331343283582086</v>
      </c>
      <c r="CK135" s="711">
        <f>CF135*0.5</f>
        <v>15</v>
      </c>
      <c r="CL135" s="711">
        <f t="shared" ref="CL135" si="79">CG135*0.5</f>
        <v>15</v>
      </c>
      <c r="CM135" s="711">
        <f t="shared" ref="CM135" si="80">CH135*0.5</f>
        <v>1.1664179104477612</v>
      </c>
      <c r="CN135" s="711">
        <f t="shared" ref="CN135" si="81">CI135*0.5</f>
        <v>3.4992537313432837</v>
      </c>
      <c r="CO135" s="116">
        <f>SUM(CK135:CN135)</f>
        <v>34.665671641791043</v>
      </c>
      <c r="CP135" s="298">
        <f>CK135</f>
        <v>15</v>
      </c>
      <c r="CQ135" s="298">
        <f>CL135</f>
        <v>15</v>
      </c>
      <c r="CR135" s="298">
        <f>CM135</f>
        <v>1.1664179104477612</v>
      </c>
      <c r="CS135" s="298">
        <f>CN135</f>
        <v>3.4992537313432837</v>
      </c>
      <c r="CT135" s="116">
        <f>SUM(CP135:CS135)</f>
        <v>34.665671641791043</v>
      </c>
      <c r="CU135" s="298">
        <f>CP135</f>
        <v>15</v>
      </c>
      <c r="CV135" s="298">
        <f>CQ135</f>
        <v>15</v>
      </c>
      <c r="CW135" s="298">
        <f>CR135</f>
        <v>1.1664179104477612</v>
      </c>
      <c r="CX135" s="298">
        <f>CS135</f>
        <v>3.4992537313432837</v>
      </c>
      <c r="CY135" s="116">
        <f>SUM(CU135:CX135)</f>
        <v>34.665671641791043</v>
      </c>
      <c r="CZ135" s="298">
        <f>CU135</f>
        <v>15</v>
      </c>
      <c r="DA135" s="298">
        <f>CV135</f>
        <v>15</v>
      </c>
      <c r="DB135" s="298">
        <f>CW135</f>
        <v>1.1664179104477612</v>
      </c>
      <c r="DC135" s="298">
        <f>CX135</f>
        <v>3.4992537313432837</v>
      </c>
      <c r="DD135" s="116">
        <f>SUM(CZ135:DC135)</f>
        <v>34.665671641791043</v>
      </c>
      <c r="DE135" s="298">
        <f>CZ135</f>
        <v>15</v>
      </c>
      <c r="DF135" s="298">
        <f>DA135</f>
        <v>15</v>
      </c>
      <c r="DG135" s="298">
        <f>DB135</f>
        <v>1.1664179104477612</v>
      </c>
      <c r="DH135" s="298">
        <f>DC135</f>
        <v>3.4992537313432837</v>
      </c>
      <c r="DI135" s="116">
        <f>SUM(DE135:DH135)</f>
        <v>34.665671641791043</v>
      </c>
      <c r="DJ135" s="298">
        <f>DE135</f>
        <v>15</v>
      </c>
      <c r="DK135" s="298">
        <f>DF135</f>
        <v>15</v>
      </c>
      <c r="DL135" s="298">
        <f>DG135</f>
        <v>1.1664179104477612</v>
      </c>
      <c r="DM135" s="298">
        <f>DH135</f>
        <v>3.4992537313432837</v>
      </c>
      <c r="DN135" s="116">
        <f>SUM(DJ135:DM135)</f>
        <v>34.665671641791043</v>
      </c>
      <c r="DO135" s="298">
        <f>DJ135</f>
        <v>15</v>
      </c>
      <c r="DP135" s="298">
        <f>DK135</f>
        <v>15</v>
      </c>
      <c r="DQ135" s="298">
        <f>DL135</f>
        <v>1.1664179104477612</v>
      </c>
      <c r="DR135" s="298">
        <f>DM135</f>
        <v>3.4992537313432837</v>
      </c>
      <c r="DS135" s="116">
        <f>SUM(DO135:DR135)</f>
        <v>34.665671641791043</v>
      </c>
      <c r="DT135" s="298">
        <f>DO135</f>
        <v>15</v>
      </c>
      <c r="DU135" s="298">
        <f>DP135</f>
        <v>15</v>
      </c>
      <c r="DV135" s="298">
        <f>DQ135</f>
        <v>1.1664179104477612</v>
      </c>
      <c r="DW135" s="298">
        <f>DR135</f>
        <v>3.4992537313432837</v>
      </c>
      <c r="DX135" s="116">
        <f>SUM(DT135:DW135)</f>
        <v>34.665671641791043</v>
      </c>
      <c r="DY135" s="298">
        <f>DT135</f>
        <v>15</v>
      </c>
      <c r="DZ135" s="298">
        <f>DU135</f>
        <v>15</v>
      </c>
      <c r="EA135" s="298">
        <f>DV135</f>
        <v>1.1664179104477612</v>
      </c>
      <c r="EB135" s="298">
        <f>DW135</f>
        <v>3.4992537313432837</v>
      </c>
      <c r="EC135" s="116">
        <f>SUM(DY135:EB135)</f>
        <v>34.665671641791043</v>
      </c>
      <c r="ED135" s="298">
        <f>DY135</f>
        <v>15</v>
      </c>
      <c r="EE135" s="298">
        <f>DZ135</f>
        <v>15</v>
      </c>
      <c r="EF135" s="298">
        <f>EA135</f>
        <v>1.1664179104477612</v>
      </c>
      <c r="EG135" s="298">
        <f>EB135</f>
        <v>3.4992537313432837</v>
      </c>
      <c r="EH135" s="116">
        <f>SUM(ED135:EG135)</f>
        <v>34.665671641791043</v>
      </c>
      <c r="EI135" s="298">
        <f>ED135</f>
        <v>15</v>
      </c>
      <c r="EJ135" s="298">
        <f>EE135</f>
        <v>15</v>
      </c>
      <c r="EK135" s="298">
        <f>EF135</f>
        <v>1.1664179104477612</v>
      </c>
      <c r="EL135" s="298">
        <f>EG135</f>
        <v>3.4992537313432837</v>
      </c>
      <c r="EM135" s="116">
        <f>SUM(EI135:EL135)</f>
        <v>34.665671641791043</v>
      </c>
      <c r="EN135" s="298">
        <f>EI135</f>
        <v>15</v>
      </c>
      <c r="EO135" s="298">
        <f>EJ135</f>
        <v>15</v>
      </c>
      <c r="EP135" s="298">
        <f>EK135</f>
        <v>1.1664179104477612</v>
      </c>
      <c r="EQ135" s="298">
        <f>EL135</f>
        <v>3.4992537313432837</v>
      </c>
      <c r="ER135" s="116">
        <f>SUM(EN135:EQ135)</f>
        <v>34.665671641791043</v>
      </c>
    </row>
    <row r="136" spans="2:148" ht="12.75" hidden="1" customHeight="1" outlineLevel="1">
      <c r="B136" s="231" t="s">
        <v>71</v>
      </c>
      <c r="D136" s="297"/>
      <c r="E136" s="297"/>
      <c r="F136" s="297"/>
      <c r="G136" s="297"/>
      <c r="I136" s="297"/>
      <c r="J136" s="297"/>
      <c r="K136" s="297"/>
      <c r="L136" s="297"/>
      <c r="N136" s="297"/>
      <c r="O136" s="297"/>
      <c r="P136" s="297"/>
      <c r="Q136" s="297"/>
      <c r="S136" s="297"/>
      <c r="T136" s="297"/>
      <c r="U136" s="297"/>
      <c r="V136" s="297"/>
      <c r="X136" s="297"/>
      <c r="Y136" s="297"/>
      <c r="Z136" s="297"/>
      <c r="AA136" s="297"/>
      <c r="AC136" s="297"/>
      <c r="AD136" s="297"/>
      <c r="AE136" s="297"/>
      <c r="AF136" s="297"/>
      <c r="AH136" s="297"/>
      <c r="AI136" s="297"/>
      <c r="AJ136" s="297"/>
      <c r="AK136" s="297"/>
      <c r="AM136" s="297">
        <v>9.9</v>
      </c>
      <c r="AN136" s="297">
        <v>7.8</v>
      </c>
      <c r="AO136" s="297">
        <v>9.1</v>
      </c>
      <c r="AP136" s="297">
        <v>9.6</v>
      </c>
      <c r="AQ136" s="116">
        <f>AM136+AN136+AO136+AP136</f>
        <v>36.4</v>
      </c>
      <c r="AR136" s="297">
        <v>25.4</v>
      </c>
      <c r="AS136" s="297">
        <v>11</v>
      </c>
      <c r="AT136" s="297">
        <v>8</v>
      </c>
      <c r="AU136" s="297">
        <v>15.2</v>
      </c>
      <c r="AV136" s="116">
        <f>AR136+AS136+AT136+AU136</f>
        <v>59.599999999999994</v>
      </c>
      <c r="AW136" s="297">
        <v>18.2</v>
      </c>
      <c r="AX136" s="297">
        <v>13.9</v>
      </c>
      <c r="AY136" s="297">
        <v>17.899999999999999</v>
      </c>
      <c r="AZ136" s="297">
        <v>24.1</v>
      </c>
      <c r="BA136" s="116">
        <f t="shared" ref="BA136:BA141" si="82">AW136+AX136+AY136+AZ136</f>
        <v>74.099999999999994</v>
      </c>
      <c r="BB136" s="298"/>
      <c r="BC136" s="298"/>
      <c r="BD136" s="298"/>
      <c r="BE136" s="298"/>
      <c r="BG136" s="298"/>
      <c r="BH136" s="298"/>
      <c r="BI136" s="298"/>
      <c r="BJ136" s="298"/>
      <c r="BL136" s="298"/>
      <c r="BM136" s="298"/>
      <c r="BN136" s="298"/>
      <c r="BO136" s="298"/>
      <c r="BQ136" s="298"/>
      <c r="BR136" s="298"/>
      <c r="BS136" s="298"/>
      <c r="BT136" s="298"/>
      <c r="BV136" s="298"/>
      <c r="BW136" s="298"/>
      <c r="BX136" s="298"/>
      <c r="BY136" s="298"/>
      <c r="CA136" s="298"/>
      <c r="CB136" s="298"/>
      <c r="CC136" s="298"/>
      <c r="CD136" s="298"/>
      <c r="CF136" s="298"/>
      <c r="CG136" s="298"/>
      <c r="CH136" s="298"/>
      <c r="CI136" s="298"/>
      <c r="CK136" s="298"/>
      <c r="CL136" s="298"/>
      <c r="CM136" s="298"/>
      <c r="CN136" s="298"/>
      <c r="CP136" s="298"/>
      <c r="CQ136" s="298"/>
      <c r="CR136" s="298"/>
      <c r="CS136" s="298"/>
      <c r="CU136" s="298"/>
      <c r="CV136" s="298"/>
      <c r="CW136" s="298"/>
      <c r="CX136" s="298"/>
      <c r="CZ136" s="298"/>
      <c r="DA136" s="298"/>
      <c r="DB136" s="298"/>
      <c r="DC136" s="298"/>
      <c r="DE136" s="298"/>
      <c r="DF136" s="298"/>
      <c r="DG136" s="298"/>
      <c r="DH136" s="298"/>
      <c r="DJ136" s="298"/>
      <c r="DK136" s="298"/>
      <c r="DL136" s="298"/>
      <c r="DM136" s="298"/>
      <c r="DO136" s="298"/>
      <c r="DP136" s="298"/>
      <c r="DQ136" s="298"/>
      <c r="DR136" s="298"/>
      <c r="DT136" s="298"/>
      <c r="DU136" s="298"/>
      <c r="DV136" s="298"/>
      <c r="DW136" s="298"/>
      <c r="DY136" s="298"/>
      <c r="DZ136" s="298"/>
      <c r="EA136" s="298"/>
      <c r="EB136" s="298"/>
      <c r="ED136" s="298"/>
      <c r="EE136" s="298"/>
      <c r="EF136" s="298"/>
      <c r="EG136" s="298"/>
      <c r="EI136" s="298"/>
      <c r="EJ136" s="298"/>
      <c r="EK136" s="298"/>
      <c r="EL136" s="298"/>
      <c r="EN136" s="298"/>
      <c r="EO136" s="298"/>
      <c r="EP136" s="298"/>
      <c r="EQ136" s="298"/>
    </row>
    <row r="137" spans="2:148" ht="12.75" hidden="1" customHeight="1" outlineLevel="1">
      <c r="B137" s="231" t="s">
        <v>72</v>
      </c>
      <c r="D137" s="297"/>
      <c r="E137" s="297"/>
      <c r="F137" s="297"/>
      <c r="G137" s="297"/>
      <c r="I137" s="297"/>
      <c r="J137" s="297"/>
      <c r="K137" s="297"/>
      <c r="L137" s="297"/>
      <c r="N137" s="297"/>
      <c r="O137" s="297"/>
      <c r="P137" s="297"/>
      <c r="Q137" s="297"/>
      <c r="S137" s="297"/>
      <c r="T137" s="297"/>
      <c r="U137" s="297"/>
      <c r="V137" s="297"/>
      <c r="X137" s="297"/>
      <c r="Y137" s="297"/>
      <c r="Z137" s="297"/>
      <c r="AA137" s="297"/>
      <c r="AC137" s="297"/>
      <c r="AD137" s="297"/>
      <c r="AE137" s="297"/>
      <c r="AF137" s="297"/>
      <c r="AH137" s="297"/>
      <c r="AI137" s="297"/>
      <c r="AJ137" s="297"/>
      <c r="AK137" s="297"/>
      <c r="AM137" s="291"/>
      <c r="AN137" s="297">
        <v>5.4</v>
      </c>
      <c r="AO137" s="297">
        <v>8.6999999999999993</v>
      </c>
      <c r="AP137" s="297">
        <v>8.5</v>
      </c>
      <c r="AQ137" s="116">
        <f>SUM(AP137,AO137,AN137,AM137)</f>
        <v>22.6</v>
      </c>
      <c r="AR137" s="291">
        <v>9.5</v>
      </c>
      <c r="AS137" s="297">
        <v>12.4</v>
      </c>
      <c r="AT137" s="297">
        <v>12.2</v>
      </c>
      <c r="AU137" s="297">
        <v>11.8</v>
      </c>
      <c r="AV137" s="116">
        <f>SUM(AU137,AT137,AS137,AR137)</f>
        <v>45.9</v>
      </c>
      <c r="AW137" s="291">
        <v>11.7</v>
      </c>
      <c r="AX137" s="297">
        <v>14.3</v>
      </c>
      <c r="AY137" s="297">
        <v>13.6</v>
      </c>
      <c r="AZ137" s="297">
        <v>12.6</v>
      </c>
      <c r="BA137" s="116">
        <f t="shared" si="82"/>
        <v>52.2</v>
      </c>
      <c r="BB137" s="292"/>
      <c r="BC137" s="292"/>
      <c r="BD137" s="292"/>
      <c r="BE137" s="292"/>
      <c r="BG137" s="292"/>
      <c r="BH137" s="292"/>
      <c r="BI137" s="292"/>
      <c r="BJ137" s="292"/>
      <c r="BL137" s="298"/>
      <c r="BM137" s="298"/>
      <c r="BN137" s="298"/>
      <c r="BO137" s="298"/>
      <c r="BQ137" s="298"/>
      <c r="BR137" s="298"/>
      <c r="BS137" s="298"/>
      <c r="BT137" s="298"/>
      <c r="BV137" s="298"/>
      <c r="BW137" s="298"/>
      <c r="BX137" s="298"/>
      <c r="BY137" s="298"/>
      <c r="CA137" s="298"/>
      <c r="CB137" s="298"/>
      <c r="CC137" s="298"/>
      <c r="CD137" s="298"/>
      <c r="CF137" s="298"/>
      <c r="CG137" s="298"/>
      <c r="CH137" s="298"/>
      <c r="CI137" s="298"/>
      <c r="CK137" s="298"/>
      <c r="CL137" s="298"/>
      <c r="CM137" s="298"/>
      <c r="CN137" s="298"/>
      <c r="CP137" s="298"/>
      <c r="CQ137" s="298"/>
      <c r="CR137" s="298"/>
      <c r="CS137" s="298"/>
      <c r="CU137" s="298"/>
      <c r="CV137" s="298"/>
      <c r="CW137" s="298"/>
      <c r="CX137" s="298"/>
      <c r="CZ137" s="298"/>
      <c r="DA137" s="298"/>
      <c r="DB137" s="298"/>
      <c r="DC137" s="298"/>
      <c r="DE137" s="298"/>
      <c r="DF137" s="298"/>
      <c r="DG137" s="298"/>
      <c r="DH137" s="298"/>
      <c r="DJ137" s="298"/>
      <c r="DK137" s="298"/>
      <c r="DL137" s="298"/>
      <c r="DM137" s="298"/>
      <c r="DO137" s="298"/>
      <c r="DP137" s="298"/>
      <c r="DQ137" s="298"/>
      <c r="DR137" s="298"/>
      <c r="DT137" s="298"/>
      <c r="DU137" s="298"/>
      <c r="DV137" s="298"/>
      <c r="DW137" s="298"/>
      <c r="DY137" s="298"/>
      <c r="DZ137" s="298"/>
      <c r="EA137" s="298"/>
      <c r="EB137" s="298"/>
      <c r="ED137" s="298"/>
      <c r="EE137" s="298"/>
      <c r="EF137" s="298"/>
      <c r="EG137" s="298"/>
      <c r="EI137" s="298"/>
      <c r="EJ137" s="298"/>
      <c r="EK137" s="298"/>
      <c r="EL137" s="298"/>
      <c r="EN137" s="298"/>
      <c r="EO137" s="298"/>
      <c r="EP137" s="298"/>
      <c r="EQ137" s="298"/>
    </row>
    <row r="138" spans="2:148" ht="12.75" hidden="1" customHeight="1" outlineLevel="1">
      <c r="B138" s="231" t="s">
        <v>73</v>
      </c>
      <c r="D138" s="297"/>
      <c r="E138" s="297"/>
      <c r="F138" s="297"/>
      <c r="G138" s="297"/>
      <c r="I138" s="297"/>
      <c r="J138" s="297"/>
      <c r="K138" s="297"/>
      <c r="L138" s="297"/>
      <c r="N138" s="297"/>
      <c r="O138" s="297"/>
      <c r="P138" s="297"/>
      <c r="Q138" s="297"/>
      <c r="S138" s="297"/>
      <c r="T138" s="297"/>
      <c r="U138" s="297"/>
      <c r="V138" s="297"/>
      <c r="X138" s="297"/>
      <c r="Y138" s="297"/>
      <c r="Z138" s="297"/>
      <c r="AA138" s="297"/>
      <c r="AC138" s="297"/>
      <c r="AD138" s="297"/>
      <c r="AE138" s="297"/>
      <c r="AF138" s="297"/>
      <c r="AH138" s="297"/>
      <c r="AI138" s="297"/>
      <c r="AJ138" s="297"/>
      <c r="AK138" s="297"/>
      <c r="AM138" s="297">
        <v>2.1</v>
      </c>
      <c r="AN138" s="297">
        <v>2.4</v>
      </c>
      <c r="AO138" s="297">
        <v>2.7</v>
      </c>
      <c r="AP138" s="297">
        <v>2.2000000000000002</v>
      </c>
      <c r="AQ138" s="116">
        <f>AM138+AN138+AO138+AP138</f>
        <v>9.4</v>
      </c>
      <c r="AR138" s="297">
        <v>2.5</v>
      </c>
      <c r="AS138" s="297">
        <v>2.2999999999999998</v>
      </c>
      <c r="AT138" s="297">
        <v>3.5</v>
      </c>
      <c r="AU138" s="297">
        <v>2.7</v>
      </c>
      <c r="AV138" s="116">
        <f>AR138+AS138+AT138+AU138</f>
        <v>11</v>
      </c>
      <c r="AW138" s="297">
        <v>2.6</v>
      </c>
      <c r="AX138" s="297">
        <v>1.8</v>
      </c>
      <c r="AY138" s="297">
        <v>2.9</v>
      </c>
      <c r="AZ138" s="297">
        <v>2.6</v>
      </c>
      <c r="BA138" s="116">
        <f t="shared" si="82"/>
        <v>9.9</v>
      </c>
      <c r="BB138" s="298"/>
      <c r="BC138" s="298"/>
      <c r="BD138" s="298"/>
      <c r="BE138" s="298"/>
      <c r="BG138" s="298"/>
      <c r="BH138" s="298"/>
      <c r="BI138" s="298"/>
      <c r="BJ138" s="298"/>
      <c r="BL138" s="298"/>
      <c r="BM138" s="298"/>
      <c r="BN138" s="298"/>
      <c r="BO138" s="298"/>
      <c r="BQ138" s="298"/>
      <c r="BR138" s="298"/>
      <c r="BS138" s="298"/>
      <c r="BT138" s="298"/>
      <c r="BV138" s="298"/>
      <c r="BW138" s="298"/>
      <c r="BX138" s="298"/>
      <c r="BY138" s="298"/>
      <c r="CA138" s="298"/>
      <c r="CB138" s="298"/>
      <c r="CC138" s="298"/>
      <c r="CD138" s="298"/>
      <c r="CF138" s="298"/>
      <c r="CG138" s="298"/>
      <c r="CH138" s="298"/>
      <c r="CI138" s="298"/>
      <c r="CK138" s="298"/>
      <c r="CL138" s="298"/>
      <c r="CM138" s="298"/>
      <c r="CN138" s="298"/>
      <c r="CP138" s="298"/>
      <c r="CQ138" s="298"/>
      <c r="CR138" s="298"/>
      <c r="CS138" s="298"/>
      <c r="CU138" s="298"/>
      <c r="CV138" s="298"/>
      <c r="CW138" s="298"/>
      <c r="CX138" s="298"/>
      <c r="CZ138" s="298"/>
      <c r="DA138" s="298"/>
      <c r="DB138" s="298"/>
      <c r="DC138" s="298"/>
      <c r="DE138" s="298"/>
      <c r="DF138" s="298"/>
      <c r="DG138" s="298"/>
      <c r="DH138" s="298"/>
      <c r="DJ138" s="298"/>
      <c r="DK138" s="298"/>
      <c r="DL138" s="298"/>
      <c r="DM138" s="298"/>
      <c r="DO138" s="298"/>
      <c r="DP138" s="298"/>
      <c r="DQ138" s="298"/>
      <c r="DR138" s="298"/>
      <c r="DT138" s="298"/>
      <c r="DU138" s="298"/>
      <c r="DV138" s="298"/>
      <c r="DW138" s="298"/>
      <c r="DY138" s="298"/>
      <c r="DZ138" s="298"/>
      <c r="EA138" s="298"/>
      <c r="EB138" s="298"/>
      <c r="ED138" s="298"/>
      <c r="EE138" s="298"/>
      <c r="EF138" s="298"/>
      <c r="EG138" s="298"/>
      <c r="EI138" s="298"/>
      <c r="EJ138" s="298"/>
      <c r="EK138" s="298"/>
      <c r="EL138" s="298"/>
      <c r="EN138" s="298"/>
      <c r="EO138" s="298"/>
      <c r="EP138" s="298"/>
      <c r="EQ138" s="298"/>
    </row>
    <row r="139" spans="2:148" ht="12.75" hidden="1" customHeight="1" outlineLevel="1">
      <c r="B139" s="231" t="s">
        <v>74</v>
      </c>
      <c r="D139" s="297"/>
      <c r="E139" s="297"/>
      <c r="F139" s="297"/>
      <c r="G139" s="297"/>
      <c r="I139" s="297"/>
      <c r="J139" s="297"/>
      <c r="K139" s="297"/>
      <c r="L139" s="297"/>
      <c r="N139" s="297"/>
      <c r="O139" s="297"/>
      <c r="P139" s="297"/>
      <c r="Q139" s="297"/>
      <c r="S139" s="297"/>
      <c r="T139" s="297"/>
      <c r="U139" s="297"/>
      <c r="V139" s="297"/>
      <c r="X139" s="297"/>
      <c r="Y139" s="297"/>
      <c r="Z139" s="297"/>
      <c r="AA139" s="297"/>
      <c r="AC139" s="297"/>
      <c r="AD139" s="297"/>
      <c r="AE139" s="297"/>
      <c r="AF139" s="297"/>
      <c r="AH139" s="297"/>
      <c r="AI139" s="297"/>
      <c r="AJ139" s="297"/>
      <c r="AK139" s="297"/>
      <c r="AM139" s="297">
        <v>5.0999999999999996</v>
      </c>
      <c r="AN139" s="297">
        <v>3.9</v>
      </c>
      <c r="AO139" s="297">
        <v>5.0999999999999996</v>
      </c>
      <c r="AP139" s="297">
        <v>5.7</v>
      </c>
      <c r="AQ139" s="116">
        <f>AM139+AN139+AO139+AP139</f>
        <v>19.8</v>
      </c>
      <c r="AR139" s="297">
        <v>7.7</v>
      </c>
      <c r="AS139" s="297">
        <v>5.8</v>
      </c>
      <c r="AT139" s="297">
        <v>8.6999999999999993</v>
      </c>
      <c r="AU139" s="297">
        <v>8.1999999999999993</v>
      </c>
      <c r="AV139" s="116">
        <f>AR139+AS139+AT139+AU139</f>
        <v>30.4</v>
      </c>
      <c r="AW139" s="297">
        <v>9.8000000000000007</v>
      </c>
      <c r="AX139" s="297">
        <v>9</v>
      </c>
      <c r="AY139" s="297">
        <v>8.8000000000000007</v>
      </c>
      <c r="AZ139" s="297">
        <v>10.8</v>
      </c>
      <c r="BA139" s="116">
        <f t="shared" si="82"/>
        <v>38.400000000000006</v>
      </c>
      <c r="BB139" s="298"/>
      <c r="BC139" s="298"/>
      <c r="BD139" s="298"/>
      <c r="BE139" s="298"/>
      <c r="BG139" s="298"/>
      <c r="BH139" s="298"/>
      <c r="BI139" s="298"/>
      <c r="BJ139" s="298"/>
      <c r="BL139" s="298"/>
      <c r="BM139" s="298"/>
      <c r="BN139" s="298"/>
      <c r="BO139" s="298"/>
      <c r="BQ139" s="298"/>
      <c r="BR139" s="298"/>
      <c r="BS139" s="298"/>
      <c r="BT139" s="298"/>
      <c r="BV139" s="298"/>
      <c r="BW139" s="298"/>
      <c r="BX139" s="298"/>
      <c r="BY139" s="298"/>
      <c r="CA139" s="298"/>
      <c r="CB139" s="298"/>
      <c r="CC139" s="298"/>
      <c r="CD139" s="298"/>
      <c r="CF139" s="298"/>
      <c r="CG139" s="298"/>
      <c r="CH139" s="298"/>
      <c r="CI139" s="298"/>
      <c r="CK139" s="298"/>
      <c r="CL139" s="298"/>
      <c r="CM139" s="298"/>
      <c r="CN139" s="298"/>
      <c r="CP139" s="298"/>
      <c r="CQ139" s="298"/>
      <c r="CR139" s="298"/>
      <c r="CS139" s="298"/>
      <c r="CU139" s="298"/>
      <c r="CV139" s="298"/>
      <c r="CW139" s="298"/>
      <c r="CX139" s="298"/>
      <c r="CZ139" s="298"/>
      <c r="DA139" s="298"/>
      <c r="DB139" s="298"/>
      <c r="DC139" s="298"/>
      <c r="DE139" s="298"/>
      <c r="DF139" s="298"/>
      <c r="DG139" s="298"/>
      <c r="DH139" s="298"/>
      <c r="DJ139" s="298"/>
      <c r="DK139" s="298"/>
      <c r="DL139" s="298"/>
      <c r="DM139" s="298"/>
      <c r="DO139" s="298"/>
      <c r="DP139" s="298"/>
      <c r="DQ139" s="298"/>
      <c r="DR139" s="298"/>
      <c r="DT139" s="298"/>
      <c r="DU139" s="298"/>
      <c r="DV139" s="298"/>
      <c r="DW139" s="298"/>
      <c r="DY139" s="298"/>
      <c r="DZ139" s="298"/>
      <c r="EA139" s="298"/>
      <c r="EB139" s="298"/>
      <c r="ED139" s="298"/>
      <c r="EE139" s="298"/>
      <c r="EF139" s="298"/>
      <c r="EG139" s="298"/>
      <c r="EI139" s="298"/>
      <c r="EJ139" s="298"/>
      <c r="EK139" s="298"/>
      <c r="EL139" s="298"/>
      <c r="EN139" s="298"/>
      <c r="EO139" s="298"/>
      <c r="EP139" s="298"/>
      <c r="EQ139" s="298"/>
    </row>
    <row r="140" spans="2:148" ht="12.75" hidden="1" customHeight="1" outlineLevel="1">
      <c r="B140" s="231" t="s">
        <v>75</v>
      </c>
      <c r="D140" s="297"/>
      <c r="E140" s="297"/>
      <c r="F140" s="297"/>
      <c r="G140" s="297"/>
      <c r="I140" s="297"/>
      <c r="J140" s="297"/>
      <c r="K140" s="297"/>
      <c r="L140" s="297"/>
      <c r="N140" s="297"/>
      <c r="O140" s="297"/>
      <c r="P140" s="297"/>
      <c r="Q140" s="297"/>
      <c r="S140" s="297"/>
      <c r="T140" s="297"/>
      <c r="U140" s="297"/>
      <c r="V140" s="297"/>
      <c r="X140" s="297"/>
      <c r="Y140" s="297"/>
      <c r="Z140" s="297"/>
      <c r="AA140" s="297"/>
      <c r="AC140" s="297"/>
      <c r="AD140" s="297"/>
      <c r="AE140" s="297"/>
      <c r="AF140" s="297"/>
      <c r="AH140" s="297"/>
      <c r="AI140" s="297"/>
      <c r="AJ140" s="297"/>
      <c r="AK140" s="297"/>
      <c r="AM140" s="297">
        <v>0.5</v>
      </c>
      <c r="AN140" s="297">
        <v>0.5</v>
      </c>
      <c r="AO140" s="297">
        <v>0.7</v>
      </c>
      <c r="AP140" s="297">
        <v>0.6</v>
      </c>
      <c r="AQ140" s="116">
        <f>AM140+AN140+AO140+AP140</f>
        <v>2.2999999999999998</v>
      </c>
      <c r="AR140" s="297">
        <v>0.6</v>
      </c>
      <c r="AS140" s="297">
        <v>0.5</v>
      </c>
      <c r="AT140" s="297">
        <v>0.6</v>
      </c>
      <c r="AU140" s="297">
        <v>0.5</v>
      </c>
      <c r="AV140" s="116">
        <f>AR140+AS140+AT140+AU140</f>
        <v>2.2000000000000002</v>
      </c>
      <c r="AW140" s="297">
        <v>0.5</v>
      </c>
      <c r="AX140" s="297">
        <v>0.5</v>
      </c>
      <c r="AY140" s="297">
        <v>0.5</v>
      </c>
      <c r="AZ140" s="297">
        <v>0.5</v>
      </c>
      <c r="BA140" s="116">
        <f t="shared" si="82"/>
        <v>2</v>
      </c>
      <c r="BB140" s="298"/>
      <c r="BC140" s="298"/>
      <c r="BD140" s="298"/>
      <c r="BE140" s="298"/>
      <c r="BG140" s="298"/>
      <c r="BH140" s="298"/>
      <c r="BI140" s="298"/>
      <c r="BJ140" s="298"/>
      <c r="BL140" s="298"/>
      <c r="BM140" s="298"/>
      <c r="BN140" s="298"/>
      <c r="BO140" s="298"/>
      <c r="BQ140" s="298"/>
      <c r="BR140" s="298"/>
      <c r="BS140" s="298"/>
      <c r="BT140" s="298"/>
      <c r="BV140" s="298"/>
      <c r="BW140" s="298"/>
      <c r="BX140" s="298"/>
      <c r="BY140" s="298"/>
      <c r="CA140" s="298"/>
      <c r="CB140" s="298"/>
      <c r="CC140" s="298"/>
      <c r="CD140" s="298"/>
      <c r="CF140" s="298"/>
      <c r="CG140" s="298"/>
      <c r="CH140" s="298"/>
      <c r="CI140" s="298"/>
      <c r="CK140" s="298"/>
      <c r="CL140" s="298"/>
      <c r="CM140" s="298"/>
      <c r="CN140" s="298"/>
      <c r="CP140" s="298"/>
      <c r="CQ140" s="298"/>
      <c r="CR140" s="298"/>
      <c r="CS140" s="298"/>
      <c r="CU140" s="298"/>
      <c r="CV140" s="298"/>
      <c r="CW140" s="298"/>
      <c r="CX140" s="298"/>
      <c r="CZ140" s="298"/>
      <c r="DA140" s="298"/>
      <c r="DB140" s="298"/>
      <c r="DC140" s="298"/>
      <c r="DE140" s="298"/>
      <c r="DF140" s="298"/>
      <c r="DG140" s="298"/>
      <c r="DH140" s="298"/>
      <c r="DJ140" s="298"/>
      <c r="DK140" s="298"/>
      <c r="DL140" s="298"/>
      <c r="DM140" s="298"/>
      <c r="DO140" s="298"/>
      <c r="DP140" s="298"/>
      <c r="DQ140" s="298"/>
      <c r="DR140" s="298"/>
      <c r="DT140" s="298"/>
      <c r="DU140" s="298"/>
      <c r="DV140" s="298"/>
      <c r="DW140" s="298"/>
      <c r="DY140" s="298"/>
      <c r="DZ140" s="298"/>
      <c r="EA140" s="298"/>
      <c r="EB140" s="298"/>
      <c r="ED140" s="298"/>
      <c r="EE140" s="298"/>
      <c r="EF140" s="298"/>
      <c r="EG140" s="298"/>
      <c r="EI140" s="298"/>
      <c r="EJ140" s="298"/>
      <c r="EK140" s="298"/>
      <c r="EL140" s="298"/>
      <c r="EN140" s="298"/>
      <c r="EO140" s="298"/>
      <c r="EP140" s="298"/>
      <c r="EQ140" s="298"/>
    </row>
    <row r="141" spans="2:148" ht="12.75" hidden="1" customHeight="1" outlineLevel="1">
      <c r="B141" s="231" t="s">
        <v>68</v>
      </c>
      <c r="D141" s="297"/>
      <c r="E141" s="297"/>
      <c r="F141" s="297"/>
      <c r="G141" s="297"/>
      <c r="I141" s="297"/>
      <c r="J141" s="297"/>
      <c r="K141" s="297"/>
      <c r="L141" s="297"/>
      <c r="N141" s="297"/>
      <c r="O141" s="297"/>
      <c r="P141" s="297"/>
      <c r="Q141" s="297"/>
      <c r="S141" s="297"/>
      <c r="T141" s="297"/>
      <c r="U141" s="297"/>
      <c r="V141" s="297"/>
      <c r="X141" s="297"/>
      <c r="Y141" s="297"/>
      <c r="Z141" s="297"/>
      <c r="AA141" s="297"/>
      <c r="AC141" s="297"/>
      <c r="AD141" s="297"/>
      <c r="AE141" s="297"/>
      <c r="AF141" s="297"/>
      <c r="AH141" s="297"/>
      <c r="AI141" s="297"/>
      <c r="AJ141" s="297"/>
      <c r="AK141" s="297"/>
      <c r="AM141" s="297">
        <v>1.6</v>
      </c>
      <c r="AN141" s="297">
        <v>1.8</v>
      </c>
      <c r="AO141" s="297">
        <v>2.4</v>
      </c>
      <c r="AP141" s="297">
        <v>2</v>
      </c>
      <c r="AQ141" s="116">
        <f>AM141+AN141+AO141+AP141</f>
        <v>7.8000000000000007</v>
      </c>
      <c r="AR141" s="297">
        <v>1.8</v>
      </c>
      <c r="AS141" s="297">
        <v>1.9</v>
      </c>
      <c r="AT141" s="297">
        <v>2</v>
      </c>
      <c r="AU141" s="297">
        <v>4.8</v>
      </c>
      <c r="AV141" s="116">
        <f>AR141+AS141+AT141+AU141</f>
        <v>10.5</v>
      </c>
      <c r="AW141" s="297">
        <v>4.8</v>
      </c>
      <c r="AX141" s="297">
        <v>4.3</v>
      </c>
      <c r="AY141" s="297">
        <v>4.0999999999999996</v>
      </c>
      <c r="AZ141" s="297">
        <v>3.5</v>
      </c>
      <c r="BA141" s="116">
        <f t="shared" si="82"/>
        <v>16.7</v>
      </c>
      <c r="BB141" s="298"/>
      <c r="BC141" s="298"/>
      <c r="BD141" s="298"/>
      <c r="BE141" s="298"/>
      <c r="BG141" s="298"/>
      <c r="BH141" s="298"/>
      <c r="BI141" s="298"/>
      <c r="BJ141" s="298"/>
      <c r="BL141" s="298"/>
      <c r="BM141" s="298"/>
      <c r="BN141" s="298"/>
      <c r="BO141" s="298"/>
      <c r="BQ141" s="298"/>
      <c r="BR141" s="298"/>
      <c r="BS141" s="298"/>
      <c r="BT141" s="298"/>
      <c r="BV141" s="298"/>
      <c r="BW141" s="298"/>
      <c r="BX141" s="298"/>
      <c r="BY141" s="298"/>
      <c r="CA141" s="298"/>
      <c r="CB141" s="298"/>
      <c r="CC141" s="298"/>
      <c r="CD141" s="298"/>
      <c r="CF141" s="298"/>
      <c r="CG141" s="298"/>
      <c r="CH141" s="298"/>
      <c r="CI141" s="298"/>
      <c r="CK141" s="298"/>
      <c r="CL141" s="298"/>
      <c r="CM141" s="298"/>
      <c r="CN141" s="298"/>
      <c r="CP141" s="298"/>
      <c r="CQ141" s="298"/>
      <c r="CR141" s="298"/>
      <c r="CS141" s="298"/>
      <c r="CU141" s="298"/>
      <c r="CV141" s="298"/>
      <c r="CW141" s="298"/>
      <c r="CX141" s="298"/>
      <c r="CZ141" s="298"/>
      <c r="DA141" s="298"/>
      <c r="DB141" s="298"/>
      <c r="DC141" s="298"/>
      <c r="DE141" s="298"/>
      <c r="DF141" s="298"/>
      <c r="DG141" s="298"/>
      <c r="DH141" s="298"/>
      <c r="DJ141" s="298"/>
      <c r="DK141" s="298"/>
      <c r="DL141" s="298"/>
      <c r="DM141" s="298"/>
      <c r="DO141" s="298"/>
      <c r="DP141" s="298"/>
      <c r="DQ141" s="298"/>
      <c r="DR141" s="298"/>
      <c r="DT141" s="298"/>
      <c r="DU141" s="298"/>
      <c r="DV141" s="298"/>
      <c r="DW141" s="298"/>
      <c r="DY141" s="298"/>
      <c r="DZ141" s="298"/>
      <c r="EA141" s="298"/>
      <c r="EB141" s="298"/>
      <c r="ED141" s="298"/>
      <c r="EE141" s="298"/>
      <c r="EF141" s="298"/>
      <c r="EG141" s="298"/>
      <c r="EI141" s="298"/>
      <c r="EJ141" s="298"/>
      <c r="EK141" s="298"/>
      <c r="EL141" s="298"/>
      <c r="EN141" s="298"/>
      <c r="EO141" s="298"/>
      <c r="EP141" s="298"/>
      <c r="EQ141" s="298"/>
    </row>
    <row r="142" spans="2:148" collapsed="1">
      <c r="B142" s="231" t="s">
        <v>76</v>
      </c>
      <c r="D142" s="297"/>
      <c r="E142" s="297">
        <f>+E134-E135</f>
        <v>4.3369999999999997</v>
      </c>
      <c r="F142" s="297"/>
      <c r="G142" s="297"/>
      <c r="H142" s="116">
        <f>D142+E142+F142+G142</f>
        <v>4.3369999999999997</v>
      </c>
      <c r="I142" s="297">
        <f>+I134-I135</f>
        <v>4.8410000000000002</v>
      </c>
      <c r="J142" s="297"/>
      <c r="K142" s="297"/>
      <c r="L142" s="297"/>
      <c r="M142" s="116">
        <f>I142+J142+K142+L142</f>
        <v>4.8410000000000002</v>
      </c>
      <c r="N142" s="297">
        <f t="shared" ref="N142:AV142" si="83">+N134-N135</f>
        <v>5.142000000000003</v>
      </c>
      <c r="O142" s="297">
        <f t="shared" si="83"/>
        <v>10.690000000000001</v>
      </c>
      <c r="P142" s="297">
        <f t="shared" si="83"/>
        <v>13.760000000000002</v>
      </c>
      <c r="Q142" s="297">
        <f t="shared" si="83"/>
        <v>8.2050000000000018</v>
      </c>
      <c r="R142" s="116">
        <f t="shared" si="83"/>
        <v>37.796999999999997</v>
      </c>
      <c r="S142" s="297">
        <f t="shared" si="83"/>
        <v>18.302999999999997</v>
      </c>
      <c r="T142" s="297">
        <f t="shared" si="83"/>
        <v>10.610999999999997</v>
      </c>
      <c r="U142" s="297">
        <f t="shared" si="83"/>
        <v>14.147</v>
      </c>
      <c r="V142" s="297">
        <f t="shared" si="83"/>
        <v>14.439999999999998</v>
      </c>
      <c r="W142" s="116">
        <f t="shared" si="83"/>
        <v>57.500999999999976</v>
      </c>
      <c r="X142" s="297">
        <f t="shared" si="83"/>
        <v>14.129000000000005</v>
      </c>
      <c r="Y142" s="297">
        <f t="shared" si="83"/>
        <v>12.016999999999996</v>
      </c>
      <c r="Z142" s="297">
        <f t="shared" si="83"/>
        <v>13.49499999999999</v>
      </c>
      <c r="AA142" s="297">
        <f t="shared" si="83"/>
        <v>12.385000000000034</v>
      </c>
      <c r="AB142" s="116">
        <f t="shared" si="83"/>
        <v>52.02600000000001</v>
      </c>
      <c r="AC142" s="297">
        <f t="shared" si="83"/>
        <v>12.561999999999983</v>
      </c>
      <c r="AD142" s="297">
        <f t="shared" si="83"/>
        <v>12.64700000000002</v>
      </c>
      <c r="AE142" s="297">
        <f t="shared" si="83"/>
        <v>13.602999999999994</v>
      </c>
      <c r="AF142" s="297">
        <f t="shared" si="83"/>
        <v>14.842999999999982</v>
      </c>
      <c r="AG142" s="116">
        <f t="shared" si="83"/>
        <v>53.654999999999973</v>
      </c>
      <c r="AH142" s="297">
        <f t="shared" si="83"/>
        <v>16.051999999999992</v>
      </c>
      <c r="AI142" s="297">
        <f t="shared" si="83"/>
        <v>13.107999999999997</v>
      </c>
      <c r="AJ142" s="297">
        <f t="shared" si="83"/>
        <v>16.561</v>
      </c>
      <c r="AK142" s="297">
        <f t="shared" si="83"/>
        <v>16.959000000000003</v>
      </c>
      <c r="AL142" s="116">
        <f t="shared" si="83"/>
        <v>62.680000000000007</v>
      </c>
      <c r="AM142" s="297">
        <f t="shared" si="83"/>
        <v>19.841999999999999</v>
      </c>
      <c r="AN142" s="297">
        <f t="shared" si="83"/>
        <v>21.994999999999997</v>
      </c>
      <c r="AO142" s="297">
        <f t="shared" si="83"/>
        <v>28.63300000000001</v>
      </c>
      <c r="AP142" s="297">
        <f t="shared" si="83"/>
        <v>28.647999999999996</v>
      </c>
      <c r="AQ142" s="116">
        <f t="shared" si="83"/>
        <v>99.117999999999995</v>
      </c>
      <c r="AR142" s="297">
        <f t="shared" si="83"/>
        <v>47.380999999999972</v>
      </c>
      <c r="AS142" s="297">
        <f t="shared" si="83"/>
        <v>33.990000000000009</v>
      </c>
      <c r="AT142" s="297">
        <f t="shared" si="83"/>
        <v>34.858000000000004</v>
      </c>
      <c r="AU142" s="297">
        <f t="shared" si="83"/>
        <v>43.241000000000021</v>
      </c>
      <c r="AV142" s="116">
        <f t="shared" si="83"/>
        <v>159.47000000000003</v>
      </c>
      <c r="AW142" s="297">
        <f>SUM(AW136:AW141)</f>
        <v>47.599999999999994</v>
      </c>
      <c r="AX142" s="297">
        <f>SUM(AX136:AX141)</f>
        <v>43.8</v>
      </c>
      <c r="AY142" s="297">
        <f>SUM(AY136:AY141)</f>
        <v>47.800000000000004</v>
      </c>
      <c r="AZ142" s="297">
        <f>SUM(AZ136:AZ141)</f>
        <v>54.100000000000009</v>
      </c>
      <c r="BA142" s="116">
        <f>SUM(AW142:AZ142)</f>
        <v>193.3</v>
      </c>
      <c r="BB142" s="298">
        <f>BB134-BB135</f>
        <v>63.505000000000003</v>
      </c>
      <c r="BC142" s="298">
        <f>BC134-BC135</f>
        <v>53.005999999999993</v>
      </c>
      <c r="BD142" s="298">
        <f>BD134-BD135</f>
        <v>59.214999999999996</v>
      </c>
      <c r="BE142" s="298">
        <f>BE134-BE135</f>
        <v>71.197000000000017</v>
      </c>
      <c r="BF142" s="116">
        <f>SUM(BB142:BE142)</f>
        <v>246.923</v>
      </c>
      <c r="BG142" s="298">
        <f>BG134-BG135</f>
        <v>68.407000000000011</v>
      </c>
      <c r="BH142" s="298">
        <f>BH134-BH135</f>
        <v>53.513999999999996</v>
      </c>
      <c r="BI142" s="298">
        <f>BI134-BI135</f>
        <v>62.778999999999996</v>
      </c>
      <c r="BJ142" s="298">
        <f>BJ132-BJ135-BJ144</f>
        <v>64.233999999999995</v>
      </c>
      <c r="BK142" s="116">
        <f>SUM(BG142:BJ142)</f>
        <v>248.93399999999997</v>
      </c>
      <c r="BL142" s="298">
        <f>BL132-BL135-BL144</f>
        <v>72.322000000000003</v>
      </c>
      <c r="BM142" s="298">
        <f>122.006-BM135-BM144</f>
        <v>60.411000000000001</v>
      </c>
      <c r="BN142" s="298">
        <f>74.624-BN135-BN144</f>
        <v>65.221999999999994</v>
      </c>
      <c r="BO142" s="298">
        <f>(BK142/BF142)*BJ142</f>
        <v>64.757137067020878</v>
      </c>
      <c r="BP142" s="116">
        <f>SUM(BL142:BO142)</f>
        <v>262.71213706702088</v>
      </c>
      <c r="BQ142" s="298">
        <f>(BP142/BK142)*BL142</f>
        <v>76.324918158873786</v>
      </c>
      <c r="BR142" s="298">
        <v>58</v>
      </c>
      <c r="BS142" s="298">
        <f>(BP142/BK142)*BN142</f>
        <v>68.831943421891893</v>
      </c>
      <c r="BT142" s="298">
        <f>(BP142/BK142)*BO142</f>
        <v>68.341350997529659</v>
      </c>
      <c r="BU142" s="116">
        <f>SUM(BQ142:BT142)</f>
        <v>271.49821257829535</v>
      </c>
      <c r="BV142" s="298">
        <f>BV132-BV144-BV135</f>
        <v>48</v>
      </c>
      <c r="BW142" s="711">
        <f t="shared" ref="BW142:BY142" si="84">BW132-BW144-BW135</f>
        <v>61</v>
      </c>
      <c r="BX142" s="711">
        <f t="shared" si="84"/>
        <v>79.831943421891893</v>
      </c>
      <c r="BY142" s="711">
        <f t="shared" si="84"/>
        <v>86.600985074626863</v>
      </c>
      <c r="BZ142" s="116">
        <f>SUM(BV142:BY142)</f>
        <v>275.43292849651874</v>
      </c>
      <c r="CA142" s="711">
        <f>CA132-CA144-CA135</f>
        <v>63</v>
      </c>
      <c r="CB142" s="711">
        <f t="shared" ref="CB142:CD142" si="85">CB132-CB144-CB135</f>
        <v>35</v>
      </c>
      <c r="CC142" s="711">
        <f t="shared" si="85"/>
        <v>94.831943421891893</v>
      </c>
      <c r="CD142" s="711">
        <f t="shared" si="85"/>
        <v>90.600985074626863</v>
      </c>
      <c r="CE142" s="116">
        <f>SUM(CA142:CD142)</f>
        <v>283.43292849651874</v>
      </c>
      <c r="CF142" s="298">
        <f>(CE142/BZ142)*CA142</f>
        <v>64.829846571908234</v>
      </c>
      <c r="CG142" s="298">
        <f>(CE142/BZ142)*CB142</f>
        <v>36.016581428837902</v>
      </c>
      <c r="CH142" s="298">
        <f>(CE142/BZ142)*CC142</f>
        <v>97.586354637414814</v>
      </c>
      <c r="CI142" s="298">
        <f>(CE142/BZ142)*CD142</f>
        <v>93.232507327806459</v>
      </c>
      <c r="CJ142" s="116">
        <f>SUM(CF142:CI142)</f>
        <v>291.66528996596742</v>
      </c>
      <c r="CK142" s="298">
        <f>(CJ142/CE142)*CF142</f>
        <v>66.712841373605741</v>
      </c>
      <c r="CL142" s="298">
        <f>(CJ142/CE142)*CG142</f>
        <v>37.062689652003179</v>
      </c>
      <c r="CM142" s="298">
        <f>(CJ142/CE142)*CH142</f>
        <v>100.42076823262583</v>
      </c>
      <c r="CN142" s="298">
        <f>(CJ142/CE142)*CI142</f>
        <v>95.940462628190517</v>
      </c>
      <c r="CO142" s="116">
        <f>SUM(CK142:CN142)</f>
        <v>300.13676188642529</v>
      </c>
      <c r="CP142" s="298">
        <f>(CO142/CJ142)*CK142</f>
        <v>68.650528105189068</v>
      </c>
      <c r="CQ142" s="298">
        <f>(CO142/CJ142)*CL142</f>
        <v>38.139182280660584</v>
      </c>
      <c r="CR142" s="298">
        <f>(CO142/CJ142)*CM142</f>
        <v>103.33750789133791</v>
      </c>
      <c r="CS142" s="298">
        <f>(CO142/CJ142)*CN142</f>
        <v>98.727070987674395</v>
      </c>
      <c r="CT142" s="116">
        <f>SUM(CP142:CS142)</f>
        <v>308.85428926486196</v>
      </c>
      <c r="CU142" s="298">
        <f>(CT142/CO142)*CP142</f>
        <v>70.644495303807631</v>
      </c>
      <c r="CV142" s="298">
        <f>(CT142/CO142)*CQ142</f>
        <v>39.246941835448681</v>
      </c>
      <c r="CW142" s="298">
        <f>(CT142/CO142)*CR142</f>
        <v>106.33896478918719</v>
      </c>
      <c r="CX142" s="298">
        <f>(CT142/CO142)*CS142</f>
        <v>101.59461689880672</v>
      </c>
      <c r="CY142" s="116">
        <f>SUM(CU142:CX142)</f>
        <v>317.82501882725023</v>
      </c>
      <c r="CZ142" s="298">
        <f>(CY142/CT142)*CU142</f>
        <v>72.696377645964134</v>
      </c>
      <c r="DA142" s="298">
        <f>(CY142/CT142)*CV142</f>
        <v>40.386876469980066</v>
      </c>
      <c r="DB142" s="298">
        <f>(CY142/CT142)*CW142</f>
        <v>109.42759955394534</v>
      </c>
      <c r="DC142" s="298">
        <f>(CY142/CT142)*CX142</f>
        <v>104.54545120764182</v>
      </c>
      <c r="DD142" s="116">
        <f>SUM(CZ142:DC142)</f>
        <v>327.05630487753137</v>
      </c>
      <c r="DE142" s="298">
        <f>(DD142/CY142)*CZ142</f>
        <v>74.807857287640545</v>
      </c>
      <c r="DF142" s="298">
        <f>(DD142/CY142)*DA142</f>
        <v>41.559920715355844</v>
      </c>
      <c r="DG142" s="298">
        <f>(DD142/CY142)*DB142</f>
        <v>112.60594428276968</v>
      </c>
      <c r="DH142" s="298">
        <f>(DD142/CY142)*DC142</f>
        <v>107.58199304098947</v>
      </c>
      <c r="DI142" s="116">
        <f>SUM(DE142:DH142)</f>
        <v>336.55571532675555</v>
      </c>
      <c r="DJ142" s="298">
        <f>(DI142/DD142)*DE142</f>
        <v>76.980665243348312</v>
      </c>
      <c r="DK142" s="298">
        <f>(DI142/DD142)*DF142</f>
        <v>42.767036246304599</v>
      </c>
      <c r="DL142" s="298">
        <f>(DI142/DD142)*DG142</f>
        <v>115.87660461804452</v>
      </c>
      <c r="DM142" s="298">
        <f>(DI142/DD142)*DH142</f>
        <v>110.70673178964201</v>
      </c>
      <c r="DN142" s="116">
        <f>SUM(DJ142:DM142)</f>
        <v>346.33103789733946</v>
      </c>
      <c r="DO142" s="298">
        <f>(DN142/DI142)*DJ142</f>
        <v>79.21658280523333</v>
      </c>
      <c r="DP142" s="298">
        <f>(DN142/DI142)*DK142</f>
        <v>44.009212669574048</v>
      </c>
      <c r="DQ142" s="298">
        <f>(DN142/DI142)*DL142</f>
        <v>119.24226188351585</v>
      </c>
      <c r="DR142" s="298">
        <f>(DN142/DI142)*DM142</f>
        <v>113.92222914920455</v>
      </c>
      <c r="DS142" s="116">
        <f>SUM(DO142:DR142)</f>
        <v>356.39028650752778</v>
      </c>
      <c r="DT142" s="298">
        <f>(DS142/DN142)*DO142</f>
        <v>81.517443003399052</v>
      </c>
      <c r="DU142" s="298">
        <f>(DS142/DN142)*DP142</f>
        <v>45.287468335221668</v>
      </c>
      <c r="DV142" s="298">
        <f>(DS142/DN142)*DQ142</f>
        <v>122.70567528247037</v>
      </c>
      <c r="DW142" s="298">
        <f>(DS142/DN142)*DR142</f>
        <v>117.23112122020163</v>
      </c>
      <c r="DX142" s="116">
        <f>SUM(DT142:DW142)</f>
        <v>366.74170784129274</v>
      </c>
      <c r="DY142" s="298">
        <f>(DX142/DS142)*DT142</f>
        <v>83.885132108644996</v>
      </c>
      <c r="DZ142" s="298">
        <f>(DX142/DS142)*DU142</f>
        <v>46.60285117146941</v>
      </c>
      <c r="EA142" s="298">
        <f>(DX142/DS142)*DV142</f>
        <v>126.26968415976104</v>
      </c>
      <c r="EB142" s="298">
        <f>(DX142/DS142)*DW142</f>
        <v>120.63612066918169</v>
      </c>
      <c r="EC142" s="116">
        <f>SUM(DY142:EB142)</f>
        <v>377.39378810905714</v>
      </c>
      <c r="ED142" s="298">
        <f>(EC142/DX142)*DY142</f>
        <v>86.321591178852501</v>
      </c>
      <c r="EE142" s="298">
        <f>(EC142/DX142)*DZ142</f>
        <v>47.956439543806916</v>
      </c>
      <c r="EF142" s="298">
        <f>(EC142/DX142)*EA142</f>
        <v>129.93721032953363</v>
      </c>
      <c r="EG142" s="298">
        <f>(EC142/DX142)*EB142</f>
        <v>124.14001895259136</v>
      </c>
      <c r="EH142" s="116">
        <f>SUM(ED142:EG142)</f>
        <v>388.35526000478444</v>
      </c>
      <c r="EI142" s="298">
        <f>(EH142/EC142)*ED142</f>
        <v>88.828817650285629</v>
      </c>
      <c r="EJ142" s="298">
        <f>(EH142/EC142)*EE142</f>
        <v>49.349343139047541</v>
      </c>
      <c r="EK142" s="298">
        <f>(EH142/EC142)*EF142</f>
        <v>133.71126047056245</v>
      </c>
      <c r="EL142" s="298">
        <f>(EH142/EC142)*EG142</f>
        <v>127.74568860524251</v>
      </c>
      <c r="EM142" s="116">
        <f>SUM(EI142:EL142)</f>
        <v>399.63510986513808</v>
      </c>
      <c r="EN142" s="298">
        <f>(EM142/EH142)*EI142</f>
        <v>91.408866975111579</v>
      </c>
      <c r="EO142" s="298">
        <f>(EM142/EH142)*EJ142</f>
        <v>50.782703875061962</v>
      </c>
      <c r="EP142" s="298">
        <f>(EM142/EH142)*EK142</f>
        <v>137.59492859115903</v>
      </c>
      <c r="EQ142" s="298">
        <f>(EM142/EH142)*EL142</f>
        <v>131.45608559524817</v>
      </c>
      <c r="ER142" s="116">
        <f>SUM(EN142:EQ142)</f>
        <v>411.24258503658075</v>
      </c>
    </row>
    <row r="143" spans="2:148">
      <c r="B143" s="230"/>
      <c r="C143" s="230"/>
      <c r="D143" s="352"/>
      <c r="E143" s="352"/>
      <c r="F143" s="352"/>
      <c r="G143" s="352"/>
      <c r="H143" s="230"/>
      <c r="I143" s="352"/>
      <c r="J143" s="352"/>
      <c r="K143" s="352"/>
      <c r="L143" s="352"/>
      <c r="M143" s="230"/>
      <c r="N143" s="352"/>
      <c r="O143" s="352"/>
      <c r="P143" s="352"/>
      <c r="Q143" s="352"/>
      <c r="R143" s="230"/>
      <c r="S143" s="352"/>
      <c r="T143" s="352"/>
      <c r="U143" s="352"/>
      <c r="V143" s="352"/>
      <c r="W143" s="230"/>
      <c r="X143" s="352"/>
      <c r="Y143" s="352"/>
      <c r="Z143" s="352"/>
      <c r="AA143" s="352"/>
      <c r="AB143" s="230"/>
      <c r="AC143" s="352"/>
      <c r="AD143" s="352"/>
      <c r="AE143" s="352"/>
      <c r="AF143" s="352"/>
      <c r="AG143" s="230"/>
      <c r="AH143" s="352"/>
      <c r="AI143" s="352"/>
      <c r="AJ143" s="352"/>
      <c r="AK143" s="352"/>
      <c r="AL143" s="230"/>
      <c r="AM143" s="352"/>
      <c r="AN143" s="352"/>
      <c r="AO143" s="352"/>
      <c r="AP143" s="352"/>
      <c r="AQ143" s="230"/>
      <c r="AR143" s="352"/>
      <c r="AS143" s="352"/>
      <c r="AT143" s="352"/>
      <c r="AU143" s="352"/>
      <c r="AV143" s="230"/>
      <c r="AW143" s="352"/>
      <c r="AX143" s="352"/>
      <c r="AY143" s="352"/>
      <c r="AZ143" s="352"/>
      <c r="BA143" s="230"/>
      <c r="BB143" s="353"/>
      <c r="BC143" s="353"/>
      <c r="BD143" s="353"/>
      <c r="BE143" s="353"/>
      <c r="BF143" s="230"/>
      <c r="BG143" s="353"/>
      <c r="BH143" s="353"/>
      <c r="BI143" s="353"/>
      <c r="BJ143" s="353"/>
      <c r="BK143" s="230"/>
      <c r="BL143" s="353"/>
      <c r="BM143" s="353"/>
      <c r="BN143" s="353"/>
      <c r="BO143" s="353"/>
      <c r="BP143" s="230"/>
      <c r="BQ143" s="353"/>
      <c r="BR143" s="353"/>
      <c r="BS143" s="353"/>
      <c r="BT143" s="353"/>
      <c r="BU143" s="230"/>
      <c r="BV143" s="353"/>
      <c r="BW143" s="353"/>
      <c r="BX143" s="353"/>
      <c r="BY143" s="353"/>
      <c r="BZ143" s="230"/>
      <c r="CA143" s="353"/>
      <c r="CB143" s="353"/>
      <c r="CC143" s="353"/>
      <c r="CD143" s="353"/>
      <c r="CE143" s="230"/>
      <c r="CF143" s="353"/>
      <c r="CG143" s="353"/>
      <c r="CH143" s="353"/>
      <c r="CI143" s="353"/>
      <c r="CJ143" s="230"/>
      <c r="CK143" s="353"/>
      <c r="CL143" s="353"/>
      <c r="CM143" s="353"/>
      <c r="CN143" s="353"/>
      <c r="CO143" s="230"/>
      <c r="CP143" s="353"/>
      <c r="CQ143" s="353"/>
      <c r="CR143" s="353"/>
      <c r="CS143" s="353"/>
      <c r="CT143" s="230"/>
      <c r="CU143" s="353"/>
      <c r="CV143" s="353"/>
      <c r="CW143" s="353"/>
      <c r="CX143" s="353"/>
      <c r="CY143" s="230"/>
      <c r="CZ143" s="353"/>
      <c r="DA143" s="353"/>
      <c r="DB143" s="353"/>
      <c r="DC143" s="353"/>
      <c r="DD143" s="230"/>
      <c r="DE143" s="353"/>
      <c r="DF143" s="353"/>
      <c r="DG143" s="353"/>
      <c r="DH143" s="353"/>
      <c r="DI143" s="230"/>
      <c r="DJ143" s="353"/>
      <c r="DK143" s="353"/>
      <c r="DL143" s="353"/>
      <c r="DM143" s="353"/>
      <c r="DN143" s="230"/>
      <c r="DO143" s="353"/>
      <c r="DP143" s="353"/>
      <c r="DQ143" s="353"/>
      <c r="DR143" s="353"/>
      <c r="DS143" s="230"/>
      <c r="DT143" s="353"/>
      <c r="DU143" s="353"/>
      <c r="DV143" s="353"/>
      <c r="DW143" s="353"/>
      <c r="DX143" s="230"/>
      <c r="DY143" s="353"/>
      <c r="DZ143" s="353"/>
      <c r="EA143" s="353"/>
      <c r="EB143" s="353"/>
      <c r="EC143" s="230"/>
      <c r="ED143" s="353"/>
      <c r="EE143" s="353"/>
      <c r="EF143" s="353"/>
      <c r="EG143" s="353"/>
      <c r="EH143" s="230"/>
      <c r="EI143" s="353"/>
      <c r="EJ143" s="353"/>
      <c r="EK143" s="353"/>
      <c r="EL143" s="353"/>
      <c r="EM143" s="230"/>
      <c r="EN143" s="353"/>
      <c r="EO143" s="353"/>
      <c r="EP143" s="353"/>
      <c r="EQ143" s="353"/>
      <c r="ER143" s="230"/>
    </row>
    <row r="144" spans="2:148">
      <c r="B144" s="230" t="s">
        <v>99</v>
      </c>
      <c r="C144" s="230">
        <v>19.829999999999998</v>
      </c>
      <c r="D144" s="352">
        <v>2.3279999999999998</v>
      </c>
      <c r="E144" s="352">
        <v>8.8379999999999992</v>
      </c>
      <c r="F144" s="352">
        <v>9.4009999999999998</v>
      </c>
      <c r="G144" s="352">
        <v>1.9379999999999999</v>
      </c>
      <c r="H144" s="230">
        <f>D144+E144+F144+G144</f>
        <v>22.504999999999999</v>
      </c>
      <c r="I144" s="352"/>
      <c r="J144" s="352"/>
      <c r="K144" s="352"/>
      <c r="L144" s="352"/>
      <c r="M144" s="230"/>
      <c r="N144" s="352"/>
      <c r="O144" s="352"/>
      <c r="P144" s="352"/>
      <c r="Q144" s="352"/>
      <c r="R144" s="230"/>
      <c r="S144" s="352"/>
      <c r="T144" s="352"/>
      <c r="U144" s="352"/>
      <c r="V144" s="352"/>
      <c r="W144" s="230"/>
      <c r="X144" s="352">
        <v>4.0960000000000001</v>
      </c>
      <c r="Y144" s="352">
        <v>9.2940000000000005</v>
      </c>
      <c r="Z144" s="352">
        <v>2.4780000000000002</v>
      </c>
      <c r="AA144" s="352">
        <f>21.416-15.868</f>
        <v>5.548</v>
      </c>
      <c r="AB144" s="230">
        <f>X144+Y144+Z144+AA144</f>
        <v>21.416</v>
      </c>
      <c r="AC144" s="352">
        <v>7.7430000000000003</v>
      </c>
      <c r="AD144" s="352">
        <v>7.2839999999999998</v>
      </c>
      <c r="AE144" s="352">
        <v>5.8689999999999998</v>
      </c>
      <c r="AF144" s="352">
        <f>28.781-20.896</f>
        <v>7.884999999999998</v>
      </c>
      <c r="AG144" s="230">
        <f>AC144+AD144+AE144+AF144</f>
        <v>28.780999999999999</v>
      </c>
      <c r="AH144" s="352">
        <v>7.3940000000000001</v>
      </c>
      <c r="AI144" s="352">
        <v>10.301</v>
      </c>
      <c r="AJ144" s="352">
        <v>7.6050000000000004</v>
      </c>
      <c r="AK144" s="352">
        <f>32.774-25.3</f>
        <v>7.4740000000000002</v>
      </c>
      <c r="AL144" s="230">
        <f>AH144+AI144+AJ144+AK144</f>
        <v>32.774000000000001</v>
      </c>
      <c r="AM144" s="352">
        <v>29.838000000000001</v>
      </c>
      <c r="AN144" s="352">
        <f>4.882</f>
        <v>4.8819999999999997</v>
      </c>
      <c r="AO144" s="352">
        <v>10.301</v>
      </c>
      <c r="AP144" s="352">
        <f>50.254-45.021</f>
        <v>5.232999999999997</v>
      </c>
      <c r="AQ144" s="230">
        <f>AM144+AN144+AO144+AP144</f>
        <v>50.253999999999998</v>
      </c>
      <c r="AR144" s="352">
        <v>4.109</v>
      </c>
      <c r="AS144" s="352">
        <v>3.3730000000000002</v>
      </c>
      <c r="AT144" s="352">
        <v>2.7389999999999999</v>
      </c>
      <c r="AU144" s="352">
        <f>13.529-10.221</f>
        <v>3.3079999999999998</v>
      </c>
      <c r="AV144" s="230">
        <f>AR144+AS144+AT144+AU144</f>
        <v>13.529</v>
      </c>
      <c r="AW144" s="352">
        <v>3.851</v>
      </c>
      <c r="AX144" s="352">
        <v>3.3439999999999999</v>
      </c>
      <c r="AY144" s="352">
        <v>4.1719999999999997</v>
      </c>
      <c r="AZ144" s="352">
        <f>14.199-SUM(AW144:AY144)</f>
        <v>2.831999999999999</v>
      </c>
      <c r="BA144" s="230">
        <f>AW144+AX144+AY144+AZ144</f>
        <v>14.199</v>
      </c>
      <c r="BB144" s="353">
        <v>3.0019999999999998</v>
      </c>
      <c r="BC144" s="353">
        <v>2.84</v>
      </c>
      <c r="BD144" s="353">
        <v>4.7039999999999997</v>
      </c>
      <c r="BE144" s="353">
        <f>13.623-SUM(BB144:BD144)</f>
        <v>3.077</v>
      </c>
      <c r="BF144" s="230">
        <f>BB144+BC144+BD144+BE144</f>
        <v>13.622999999999999</v>
      </c>
      <c r="BG144" s="353">
        <v>3.66</v>
      </c>
      <c r="BH144" s="353">
        <v>3.5950000000000002</v>
      </c>
      <c r="BI144" s="353">
        <f>3.402</f>
        <v>3.4020000000000001</v>
      </c>
      <c r="BJ144" s="353">
        <f>BI144</f>
        <v>3.4020000000000001</v>
      </c>
      <c r="BK144" s="230">
        <f>BG144+BH144+BI144+BJ144</f>
        <v>14.059000000000001</v>
      </c>
      <c r="BL144" s="353">
        <f>BG144</f>
        <v>3.66</v>
      </c>
      <c r="BM144" s="353">
        <f>BH144</f>
        <v>3.5950000000000002</v>
      </c>
      <c r="BN144" s="353">
        <f>BI144</f>
        <v>3.4020000000000001</v>
      </c>
      <c r="BO144" s="353">
        <f>BJ144</f>
        <v>3.4020000000000001</v>
      </c>
      <c r="BP144" s="230">
        <f t="shared" ref="BP144:CR144" si="86">BK144</f>
        <v>14.059000000000001</v>
      </c>
      <c r="BQ144" s="353">
        <f>BQ132-BQ134</f>
        <v>52.6750818411262</v>
      </c>
      <c r="BR144" s="353">
        <f>BR132-BR134</f>
        <v>4</v>
      </c>
      <c r="BS144" s="353">
        <f>BS132-BS134</f>
        <v>10.502384936317057</v>
      </c>
      <c r="BT144" s="353">
        <f>BO144</f>
        <v>3.4020000000000001</v>
      </c>
      <c r="BU144" s="230">
        <f>SUM(BQ144:BT144)</f>
        <v>70.579466777443258</v>
      </c>
      <c r="BV144" s="353">
        <v>5</v>
      </c>
      <c r="BW144" s="353">
        <f t="shared" si="86"/>
        <v>4</v>
      </c>
      <c r="BX144" s="353">
        <f t="shared" si="86"/>
        <v>10.502384936317057</v>
      </c>
      <c r="BY144" s="353">
        <f t="shared" si="86"/>
        <v>3.4020000000000001</v>
      </c>
      <c r="BZ144" s="230">
        <f>SUM(BV144:BY144)</f>
        <v>22.904384936317058</v>
      </c>
      <c r="CA144" s="353">
        <f t="shared" si="86"/>
        <v>5</v>
      </c>
      <c r="CB144" s="353">
        <v>0</v>
      </c>
      <c r="CC144" s="353">
        <f t="shared" si="86"/>
        <v>10.502384936317057</v>
      </c>
      <c r="CD144" s="353">
        <f>CE144-CA144-CB144-CC144</f>
        <v>7.402000000000001</v>
      </c>
      <c r="CE144" s="230">
        <f t="shared" si="86"/>
        <v>22.904384936317058</v>
      </c>
      <c r="CF144" s="353">
        <f>CJ144/4</f>
        <v>5.7260962340792645</v>
      </c>
      <c r="CG144" s="712">
        <f>CJ144/4</f>
        <v>5.7260962340792645</v>
      </c>
      <c r="CH144" s="712">
        <f>CJ144/4</f>
        <v>5.7260962340792645</v>
      </c>
      <c r="CI144" s="712">
        <f>CJ144/4</f>
        <v>5.7260962340792645</v>
      </c>
      <c r="CJ144" s="230">
        <f t="shared" si="86"/>
        <v>22.904384936317058</v>
      </c>
      <c r="CK144" s="353">
        <f t="shared" si="86"/>
        <v>5.7260962340792645</v>
      </c>
      <c r="CL144" s="353">
        <f t="shared" si="86"/>
        <v>5.7260962340792645</v>
      </c>
      <c r="CM144" s="353">
        <f t="shared" si="86"/>
        <v>5.7260962340792645</v>
      </c>
      <c r="CN144" s="353">
        <f t="shared" si="86"/>
        <v>5.7260962340792645</v>
      </c>
      <c r="CO144" s="230">
        <f t="shared" si="86"/>
        <v>22.904384936317058</v>
      </c>
      <c r="CP144" s="353">
        <f t="shared" si="86"/>
        <v>5.7260962340792645</v>
      </c>
      <c r="CQ144" s="353">
        <f t="shared" si="86"/>
        <v>5.7260962340792645</v>
      </c>
      <c r="CR144" s="353">
        <f t="shared" si="86"/>
        <v>5.7260962340792645</v>
      </c>
      <c r="CS144" s="353">
        <f t="shared" ref="CS144:DX144" si="87">CN144</f>
        <v>5.7260962340792645</v>
      </c>
      <c r="CT144" s="230">
        <f t="shared" si="87"/>
        <v>22.904384936317058</v>
      </c>
      <c r="CU144" s="353">
        <f t="shared" si="87"/>
        <v>5.7260962340792645</v>
      </c>
      <c r="CV144" s="353">
        <f t="shared" si="87"/>
        <v>5.7260962340792645</v>
      </c>
      <c r="CW144" s="353">
        <f t="shared" si="87"/>
        <v>5.7260962340792645</v>
      </c>
      <c r="CX144" s="353">
        <f t="shared" si="87"/>
        <v>5.7260962340792645</v>
      </c>
      <c r="CY144" s="230">
        <f t="shared" si="87"/>
        <v>22.904384936317058</v>
      </c>
      <c r="CZ144" s="353">
        <f t="shared" si="87"/>
        <v>5.7260962340792645</v>
      </c>
      <c r="DA144" s="353">
        <f t="shared" si="87"/>
        <v>5.7260962340792645</v>
      </c>
      <c r="DB144" s="353">
        <f t="shared" si="87"/>
        <v>5.7260962340792645</v>
      </c>
      <c r="DC144" s="353">
        <f t="shared" si="87"/>
        <v>5.7260962340792645</v>
      </c>
      <c r="DD144" s="230">
        <f t="shared" si="87"/>
        <v>22.904384936317058</v>
      </c>
      <c r="DE144" s="353">
        <f t="shared" si="87"/>
        <v>5.7260962340792645</v>
      </c>
      <c r="DF144" s="353">
        <f t="shared" si="87"/>
        <v>5.7260962340792645</v>
      </c>
      <c r="DG144" s="353">
        <f t="shared" si="87"/>
        <v>5.7260962340792645</v>
      </c>
      <c r="DH144" s="353">
        <f t="shared" si="87"/>
        <v>5.7260962340792645</v>
      </c>
      <c r="DI144" s="230">
        <f t="shared" si="87"/>
        <v>22.904384936317058</v>
      </c>
      <c r="DJ144" s="353">
        <f t="shared" si="87"/>
        <v>5.7260962340792645</v>
      </c>
      <c r="DK144" s="353">
        <f t="shared" si="87"/>
        <v>5.7260962340792645</v>
      </c>
      <c r="DL144" s="353">
        <f t="shared" si="87"/>
        <v>5.7260962340792645</v>
      </c>
      <c r="DM144" s="353">
        <f t="shared" si="87"/>
        <v>5.7260962340792645</v>
      </c>
      <c r="DN144" s="230">
        <f t="shared" si="87"/>
        <v>22.904384936317058</v>
      </c>
      <c r="DO144" s="353">
        <f t="shared" si="87"/>
        <v>5.7260962340792645</v>
      </c>
      <c r="DP144" s="353">
        <f t="shared" si="87"/>
        <v>5.7260962340792645</v>
      </c>
      <c r="DQ144" s="353">
        <f t="shared" si="87"/>
        <v>5.7260962340792645</v>
      </c>
      <c r="DR144" s="353">
        <f t="shared" si="87"/>
        <v>5.7260962340792645</v>
      </c>
      <c r="DS144" s="230">
        <f t="shared" si="87"/>
        <v>22.904384936317058</v>
      </c>
      <c r="DT144" s="353">
        <f t="shared" si="87"/>
        <v>5.7260962340792645</v>
      </c>
      <c r="DU144" s="353">
        <f t="shared" si="87"/>
        <v>5.7260962340792645</v>
      </c>
      <c r="DV144" s="353">
        <f t="shared" si="87"/>
        <v>5.7260962340792645</v>
      </c>
      <c r="DW144" s="353">
        <f t="shared" si="87"/>
        <v>5.7260962340792645</v>
      </c>
      <c r="DX144" s="230">
        <f t="shared" si="87"/>
        <v>22.904384936317058</v>
      </c>
      <c r="DY144" s="353">
        <f t="shared" ref="DY144:ER144" si="88">DT144</f>
        <v>5.7260962340792645</v>
      </c>
      <c r="DZ144" s="353">
        <f t="shared" si="88"/>
        <v>5.7260962340792645</v>
      </c>
      <c r="EA144" s="353">
        <f t="shared" si="88"/>
        <v>5.7260962340792645</v>
      </c>
      <c r="EB144" s="353">
        <f t="shared" si="88"/>
        <v>5.7260962340792645</v>
      </c>
      <c r="EC144" s="230">
        <f t="shared" si="88"/>
        <v>22.904384936317058</v>
      </c>
      <c r="ED144" s="353">
        <f t="shared" si="88"/>
        <v>5.7260962340792645</v>
      </c>
      <c r="EE144" s="353">
        <f t="shared" si="88"/>
        <v>5.7260962340792645</v>
      </c>
      <c r="EF144" s="353">
        <f t="shared" si="88"/>
        <v>5.7260962340792645</v>
      </c>
      <c r="EG144" s="353">
        <f t="shared" si="88"/>
        <v>5.7260962340792645</v>
      </c>
      <c r="EH144" s="230">
        <f t="shared" si="88"/>
        <v>22.904384936317058</v>
      </c>
      <c r="EI144" s="353">
        <f t="shared" si="88"/>
        <v>5.7260962340792645</v>
      </c>
      <c r="EJ144" s="353">
        <f t="shared" si="88"/>
        <v>5.7260962340792645</v>
      </c>
      <c r="EK144" s="353">
        <f t="shared" si="88"/>
        <v>5.7260962340792645</v>
      </c>
      <c r="EL144" s="353">
        <f t="shared" si="88"/>
        <v>5.7260962340792645</v>
      </c>
      <c r="EM144" s="230">
        <f t="shared" si="88"/>
        <v>22.904384936317058</v>
      </c>
      <c r="EN144" s="353">
        <f t="shared" si="88"/>
        <v>5.7260962340792645</v>
      </c>
      <c r="EO144" s="353">
        <f t="shared" si="88"/>
        <v>5.7260962340792645</v>
      </c>
      <c r="EP144" s="353">
        <f t="shared" si="88"/>
        <v>5.7260962340792645</v>
      </c>
      <c r="EQ144" s="353">
        <f t="shared" si="88"/>
        <v>5.7260962340792645</v>
      </c>
      <c r="ER144" s="230">
        <f t="shared" si="88"/>
        <v>22.904384936317058</v>
      </c>
    </row>
    <row r="145" spans="2:148">
      <c r="B145" s="230"/>
      <c r="C145" s="230"/>
      <c r="D145" s="352"/>
      <c r="E145" s="352"/>
      <c r="F145" s="352"/>
      <c r="G145" s="352"/>
      <c r="H145" s="230"/>
      <c r="I145" s="352"/>
      <c r="J145" s="352"/>
      <c r="K145" s="352"/>
      <c r="L145" s="352"/>
      <c r="M145" s="230"/>
      <c r="N145" s="352"/>
      <c r="O145" s="352"/>
      <c r="P145" s="352"/>
      <c r="Q145" s="352"/>
      <c r="R145" s="230"/>
      <c r="S145" s="352"/>
      <c r="T145" s="352"/>
      <c r="U145" s="352"/>
      <c r="V145" s="352"/>
      <c r="W145" s="230"/>
      <c r="X145" s="352"/>
      <c r="Y145" s="352"/>
      <c r="Z145" s="352"/>
      <c r="AA145" s="352"/>
      <c r="AB145" s="230"/>
      <c r="AC145" s="352"/>
      <c r="AD145" s="352"/>
      <c r="AE145" s="352"/>
      <c r="AF145" s="352"/>
      <c r="AG145" s="230"/>
      <c r="AH145" s="352"/>
      <c r="AI145" s="352"/>
      <c r="AJ145" s="352"/>
      <c r="AK145" s="352"/>
      <c r="AL145" s="230"/>
      <c r="AM145" s="352"/>
      <c r="AN145" s="352"/>
      <c r="AO145" s="352"/>
      <c r="AP145" s="352"/>
      <c r="AQ145" s="230"/>
      <c r="AR145" s="352"/>
      <c r="AS145" s="352"/>
      <c r="AT145" s="352"/>
      <c r="AU145" s="352"/>
      <c r="AV145" s="230"/>
      <c r="AW145" s="352"/>
      <c r="AX145" s="352"/>
      <c r="AY145" s="352"/>
      <c r="AZ145" s="352"/>
      <c r="BA145" s="230"/>
      <c r="BB145" s="353"/>
      <c r="BC145" s="353"/>
      <c r="BD145" s="353"/>
      <c r="BE145" s="353"/>
      <c r="BF145" s="230"/>
      <c r="BG145" s="353"/>
      <c r="BH145" s="353"/>
      <c r="BI145" s="353"/>
      <c r="BJ145" s="353"/>
      <c r="BK145" s="230"/>
      <c r="BL145" s="353"/>
      <c r="BM145" s="353"/>
      <c r="BN145" s="353"/>
      <c r="BO145" s="353"/>
      <c r="BP145" s="230"/>
      <c r="BQ145" s="353"/>
      <c r="BR145" s="353"/>
      <c r="BS145" s="353"/>
      <c r="BT145" s="353"/>
      <c r="BU145" s="230"/>
      <c r="BV145" s="353"/>
      <c r="BW145" s="353"/>
      <c r="BX145" s="353"/>
      <c r="BY145" s="353"/>
      <c r="BZ145" s="230"/>
      <c r="CA145" s="353"/>
      <c r="CB145" s="353"/>
      <c r="CC145" s="353"/>
      <c r="CD145" s="353"/>
      <c r="CE145" s="230"/>
      <c r="CF145" s="353"/>
      <c r="CG145" s="353"/>
      <c r="CH145" s="353"/>
      <c r="CI145" s="353"/>
      <c r="CJ145" s="230"/>
      <c r="CK145" s="353"/>
      <c r="CL145" s="353"/>
      <c r="CM145" s="353"/>
      <c r="CN145" s="353"/>
      <c r="CO145" s="230"/>
      <c r="CP145" s="353"/>
      <c r="CQ145" s="353"/>
      <c r="CR145" s="353"/>
      <c r="CS145" s="353"/>
      <c r="CT145" s="230"/>
      <c r="CU145" s="353"/>
      <c r="CV145" s="353"/>
      <c r="CW145" s="353"/>
      <c r="CX145" s="353"/>
      <c r="CY145" s="230"/>
      <c r="CZ145" s="353"/>
      <c r="DA145" s="353"/>
      <c r="DB145" s="353"/>
      <c r="DC145" s="353"/>
      <c r="DD145" s="230"/>
      <c r="DE145" s="353"/>
      <c r="DF145" s="353"/>
      <c r="DG145" s="353"/>
      <c r="DH145" s="353"/>
      <c r="DI145" s="230"/>
      <c r="DJ145" s="353"/>
      <c r="DK145" s="353"/>
      <c r="DL145" s="353"/>
      <c r="DM145" s="353"/>
      <c r="DN145" s="230"/>
      <c r="DO145" s="353"/>
      <c r="DP145" s="353"/>
      <c r="DQ145" s="353"/>
      <c r="DR145" s="353"/>
      <c r="DS145" s="230"/>
      <c r="DT145" s="353"/>
      <c r="DU145" s="353"/>
      <c r="DV145" s="353"/>
      <c r="DW145" s="353"/>
      <c r="DX145" s="230"/>
      <c r="DY145" s="353"/>
      <c r="DZ145" s="353"/>
      <c r="EA145" s="353"/>
      <c r="EB145" s="353"/>
      <c r="EC145" s="230"/>
      <c r="ED145" s="353"/>
      <c r="EE145" s="353"/>
      <c r="EF145" s="353"/>
      <c r="EG145" s="353"/>
      <c r="EH145" s="230"/>
      <c r="EI145" s="353"/>
      <c r="EJ145" s="353"/>
      <c r="EK145" s="353"/>
      <c r="EL145" s="353"/>
      <c r="EM145" s="230"/>
      <c r="EN145" s="353"/>
      <c r="EO145" s="353"/>
      <c r="EP145" s="353"/>
      <c r="EQ145" s="353"/>
      <c r="ER145" s="230"/>
    </row>
    <row r="146" spans="2:148">
      <c r="B146" s="230" t="s">
        <v>77</v>
      </c>
      <c r="C146" s="230">
        <f t="shared" ref="C146:BF146" si="89">C132+C130</f>
        <v>233.76900000000001</v>
      </c>
      <c r="D146" s="352">
        <f t="shared" si="89"/>
        <v>78.415999999999997</v>
      </c>
      <c r="E146" s="352">
        <f t="shared" si="89"/>
        <v>109.363</v>
      </c>
      <c r="F146" s="352">
        <f t="shared" si="89"/>
        <v>133.98399999999998</v>
      </c>
      <c r="G146" s="352">
        <f t="shared" si="89"/>
        <v>145.02700000000004</v>
      </c>
      <c r="H146" s="230">
        <f t="shared" si="89"/>
        <v>466.79</v>
      </c>
      <c r="I146" s="352">
        <f t="shared" si="89"/>
        <v>165.10499999999999</v>
      </c>
      <c r="J146" s="352">
        <f t="shared" si="89"/>
        <v>238.87</v>
      </c>
      <c r="K146" s="352">
        <f t="shared" si="89"/>
        <v>200.37200000000001</v>
      </c>
      <c r="L146" s="352">
        <f t="shared" si="89"/>
        <v>263.517</v>
      </c>
      <c r="M146" s="230">
        <f t="shared" si="89"/>
        <v>867.86400000000015</v>
      </c>
      <c r="N146" s="352">
        <f t="shared" si="89"/>
        <v>309.12699999999995</v>
      </c>
      <c r="O146" s="352">
        <f t="shared" si="89"/>
        <v>319.72199999999998</v>
      </c>
      <c r="P146" s="352">
        <f t="shared" si="89"/>
        <v>326.18700000000001</v>
      </c>
      <c r="Q146" s="352">
        <f t="shared" si="89"/>
        <v>369.58600000000001</v>
      </c>
      <c r="R146" s="230">
        <f t="shared" si="89"/>
        <v>1324.6220000000001</v>
      </c>
      <c r="S146" s="352">
        <f t="shared" si="89"/>
        <v>430.41399999999993</v>
      </c>
      <c r="T146" s="352">
        <f t="shared" si="89"/>
        <v>495.26899999999995</v>
      </c>
      <c r="U146" s="352">
        <f t="shared" si="89"/>
        <v>493.45100000000002</v>
      </c>
      <c r="V146" s="352">
        <f t="shared" si="89"/>
        <v>609.26600000000008</v>
      </c>
      <c r="W146" s="230">
        <f t="shared" si="89"/>
        <v>2028.4</v>
      </c>
      <c r="X146" s="352">
        <f t="shared" si="89"/>
        <v>692.87800000000004</v>
      </c>
      <c r="Y146" s="352">
        <f t="shared" si="89"/>
        <v>685.30199999999991</v>
      </c>
      <c r="Z146" s="352">
        <f t="shared" si="89"/>
        <v>748.73299999999995</v>
      </c>
      <c r="AA146" s="352">
        <f t="shared" si="89"/>
        <v>899.0619999999999</v>
      </c>
      <c r="AB146" s="230">
        <f t="shared" si="89"/>
        <v>3025.9750000000004</v>
      </c>
      <c r="AC146" s="352">
        <f t="shared" si="89"/>
        <v>1028.057</v>
      </c>
      <c r="AD146" s="352">
        <f t="shared" si="89"/>
        <v>1048.0890000000002</v>
      </c>
      <c r="AE146" s="352">
        <f t="shared" si="89"/>
        <v>1058.8030000000001</v>
      </c>
      <c r="AF146" s="352">
        <f t="shared" si="89"/>
        <v>1094.4470000000001</v>
      </c>
      <c r="AG146" s="230">
        <f t="shared" si="89"/>
        <v>4229.3959999999997</v>
      </c>
      <c r="AH146" s="352">
        <f t="shared" si="89"/>
        <v>1258.152</v>
      </c>
      <c r="AI146" s="352">
        <f t="shared" si="89"/>
        <v>1278.125</v>
      </c>
      <c r="AJ146" s="352">
        <f t="shared" si="89"/>
        <v>1371.268</v>
      </c>
      <c r="AK146" s="352">
        <f t="shared" si="89"/>
        <v>1428.2049999999997</v>
      </c>
      <c r="AL146" s="230">
        <f t="shared" si="89"/>
        <v>5335.7499999999991</v>
      </c>
      <c r="AM146" s="352">
        <f t="shared" si="89"/>
        <v>1530.46</v>
      </c>
      <c r="AN146" s="352">
        <f t="shared" si="89"/>
        <v>1647.155</v>
      </c>
      <c r="AO146" s="352">
        <f t="shared" si="89"/>
        <v>1801.3890000000006</v>
      </c>
      <c r="AP146" s="352">
        <f t="shared" si="89"/>
        <v>2032.3790000000001</v>
      </c>
      <c r="AQ146" s="230">
        <f t="shared" si="89"/>
        <v>7011.3829999999998</v>
      </c>
      <c r="AR146" s="352">
        <f t="shared" si="89"/>
        <v>2085.8530000000001</v>
      </c>
      <c r="AS146" s="352">
        <f t="shared" si="89"/>
        <v>1927.2240000000002</v>
      </c>
      <c r="AT146" s="352">
        <f t="shared" si="89"/>
        <v>1937.6559999999997</v>
      </c>
      <c r="AU146" s="352">
        <f t="shared" si="89"/>
        <v>1998.6869999999999</v>
      </c>
      <c r="AV146" s="230">
        <f t="shared" si="89"/>
        <v>7949.42</v>
      </c>
      <c r="AW146" s="352">
        <f t="shared" si="89"/>
        <v>1926.0940000000003</v>
      </c>
      <c r="AX146" s="352">
        <f t="shared" si="89"/>
        <v>2137.2530000000002</v>
      </c>
      <c r="AY146" s="352">
        <f t="shared" si="89"/>
        <v>2121.66</v>
      </c>
      <c r="AZ146" s="352">
        <f t="shared" si="89"/>
        <v>2200.3779999999997</v>
      </c>
      <c r="BA146" s="230">
        <f t="shared" si="89"/>
        <v>8385.3850000000002</v>
      </c>
      <c r="BB146" s="353">
        <f t="shared" si="89"/>
        <v>2282.4490000000001</v>
      </c>
      <c r="BC146" s="353">
        <f t="shared" si="89"/>
        <v>2405.1859999999992</v>
      </c>
      <c r="BD146" s="353">
        <f t="shared" si="89"/>
        <v>2444.1079999999997</v>
      </c>
      <c r="BE146" s="353">
        <f t="shared" si="89"/>
        <v>2628.31</v>
      </c>
      <c r="BF146" s="230">
        <f t="shared" si="89"/>
        <v>9702.5170000000016</v>
      </c>
      <c r="BG146" s="353">
        <f t="shared" ref="BG146:DT146" si="90">BG132+BG130</f>
        <v>2531.6350000000002</v>
      </c>
      <c r="BH146" s="353">
        <f t="shared" si="90"/>
        <v>2767.3940000000002</v>
      </c>
      <c r="BI146" s="353">
        <f t="shared" si="90"/>
        <v>2782.8340000000003</v>
      </c>
      <c r="BJ146" s="353">
        <f t="shared" si="90"/>
        <v>3119.826</v>
      </c>
      <c r="BK146" s="230">
        <f t="shared" si="90"/>
        <v>11201.689</v>
      </c>
      <c r="BL146" s="353">
        <f t="shared" si="90"/>
        <v>4998.956000000001</v>
      </c>
      <c r="BM146" s="353">
        <f>BM132+BM130</f>
        <v>6534.9430000000011</v>
      </c>
      <c r="BN146" s="353">
        <f t="shared" si="90"/>
        <v>6041.8320000000003</v>
      </c>
      <c r="BO146" s="353">
        <f>BO132+BO130</f>
        <v>7313.8721077385035</v>
      </c>
      <c r="BP146" s="230">
        <f t="shared" si="90"/>
        <v>24890.003107738503</v>
      </c>
      <c r="BQ146" s="353">
        <f>BQ132+BQ130</f>
        <v>7594</v>
      </c>
      <c r="BR146" s="353">
        <f t="shared" si="90"/>
        <v>8244</v>
      </c>
      <c r="BS146" s="353">
        <f t="shared" si="90"/>
        <v>8295</v>
      </c>
      <c r="BT146" s="353">
        <f t="shared" si="90"/>
        <v>8506</v>
      </c>
      <c r="BU146" s="230">
        <f t="shared" si="90"/>
        <v>32639</v>
      </c>
      <c r="BV146" s="353">
        <f t="shared" si="90"/>
        <v>7794</v>
      </c>
      <c r="BW146" s="353">
        <f t="shared" si="90"/>
        <v>7776</v>
      </c>
      <c r="BX146" s="353">
        <f t="shared" si="90"/>
        <v>7500</v>
      </c>
      <c r="BY146" s="353">
        <f t="shared" si="90"/>
        <v>7320</v>
      </c>
      <c r="BZ146" s="230">
        <f t="shared" si="90"/>
        <v>30390</v>
      </c>
      <c r="CA146" s="353">
        <f>CA132+CA130</f>
        <v>6505</v>
      </c>
      <c r="CB146" s="353">
        <f>CB132+CB130</f>
        <v>7141</v>
      </c>
      <c r="CC146" s="353">
        <f>CC132+CC130</f>
        <v>6512</v>
      </c>
      <c r="CD146" s="353">
        <f>CD132+CD130</f>
        <v>5949</v>
      </c>
      <c r="CE146" s="230">
        <f t="shared" si="90"/>
        <v>26107</v>
      </c>
      <c r="CF146" s="353">
        <f t="shared" si="90"/>
        <v>5120.5142530520052</v>
      </c>
      <c r="CG146" s="353">
        <f t="shared" si="90"/>
        <v>5231.6508547163612</v>
      </c>
      <c r="CH146" s="353">
        <f t="shared" si="90"/>
        <v>5292.3813488820879</v>
      </c>
      <c r="CI146" s="353">
        <f t="shared" si="90"/>
        <v>5394.5375941504553</v>
      </c>
      <c r="CJ146" s="230">
        <f t="shared" si="90"/>
        <v>21039.08405080091</v>
      </c>
      <c r="CK146" s="353" t="e">
        <f t="shared" si="90"/>
        <v>#DIV/0!</v>
      </c>
      <c r="CL146" s="353" t="e">
        <f t="shared" si="90"/>
        <v>#DIV/0!</v>
      </c>
      <c r="CM146" s="353" t="e">
        <f t="shared" si="90"/>
        <v>#DIV/0!</v>
      </c>
      <c r="CN146" s="353" t="e">
        <f t="shared" si="90"/>
        <v>#DIV/0!</v>
      </c>
      <c r="CO146" s="230">
        <f t="shared" si="90"/>
        <v>21341.033879780261</v>
      </c>
      <c r="CP146" s="353" t="e">
        <f t="shared" si="90"/>
        <v>#DIV/0!</v>
      </c>
      <c r="CQ146" s="353" t="e">
        <f t="shared" si="90"/>
        <v>#DIV/0!</v>
      </c>
      <c r="CR146" s="353" t="e">
        <f t="shared" si="90"/>
        <v>#DIV/0!</v>
      </c>
      <c r="CS146" s="353" t="e">
        <f t="shared" si="90"/>
        <v>#DIV/0!</v>
      </c>
      <c r="CT146" s="230">
        <f t="shared" si="90"/>
        <v>22698.665556053802</v>
      </c>
      <c r="CU146" s="353" t="e">
        <f t="shared" si="90"/>
        <v>#DIV/0!</v>
      </c>
      <c r="CV146" s="353" t="e">
        <f t="shared" si="90"/>
        <v>#DIV/0!</v>
      </c>
      <c r="CW146" s="353" t="e">
        <f t="shared" si="90"/>
        <v>#DIV/0!</v>
      </c>
      <c r="CX146" s="353" t="e">
        <f t="shared" si="90"/>
        <v>#DIV/0!</v>
      </c>
      <c r="CY146" s="230">
        <f t="shared" si="90"/>
        <v>21467.723596869662</v>
      </c>
      <c r="CZ146" s="353" t="e">
        <f t="shared" si="90"/>
        <v>#DIV/0!</v>
      </c>
      <c r="DA146" s="353" t="e">
        <f t="shared" si="90"/>
        <v>#DIV/0!</v>
      </c>
      <c r="DB146" s="353" t="e">
        <f t="shared" si="90"/>
        <v>#DIV/0!</v>
      </c>
      <c r="DC146" s="353" t="e">
        <f t="shared" si="90"/>
        <v>#DIV/0!</v>
      </c>
      <c r="DD146" s="230">
        <f t="shared" si="90"/>
        <v>22180.651481390367</v>
      </c>
      <c r="DE146" s="353" t="e">
        <f t="shared" si="90"/>
        <v>#DIV/0!</v>
      </c>
      <c r="DF146" s="353" t="e">
        <f t="shared" si="90"/>
        <v>#DIV/0!</v>
      </c>
      <c r="DG146" s="353" t="e">
        <f t="shared" si="90"/>
        <v>#DIV/0!</v>
      </c>
      <c r="DH146" s="353" t="e">
        <f t="shared" si="90"/>
        <v>#DIV/0!</v>
      </c>
      <c r="DI146" s="230">
        <f t="shared" si="90"/>
        <v>23028.884044578823</v>
      </c>
      <c r="DJ146" s="353" t="e">
        <f t="shared" si="90"/>
        <v>#DIV/0!</v>
      </c>
      <c r="DK146" s="353" t="e">
        <f t="shared" si="90"/>
        <v>#DIV/0!</v>
      </c>
      <c r="DL146" s="353" t="e">
        <f t="shared" si="90"/>
        <v>#DIV/0!</v>
      </c>
      <c r="DM146" s="353" t="e">
        <f t="shared" si="90"/>
        <v>#DIV/0!</v>
      </c>
      <c r="DN146" s="230">
        <f t="shared" si="90"/>
        <v>23910.952742949023</v>
      </c>
      <c r="DO146" s="353" t="e">
        <f t="shared" si="90"/>
        <v>#DIV/0!</v>
      </c>
      <c r="DP146" s="353" t="e">
        <f t="shared" si="90"/>
        <v>#DIV/0!</v>
      </c>
      <c r="DQ146" s="353" t="e">
        <f t="shared" si="90"/>
        <v>#DIV/0!</v>
      </c>
      <c r="DR146" s="353" t="e">
        <f t="shared" si="90"/>
        <v>#DIV/0!</v>
      </c>
      <c r="DS146" s="230">
        <f>DS132+DS130</f>
        <v>18530.995910670714</v>
      </c>
      <c r="DT146" s="353" t="e">
        <f t="shared" si="90"/>
        <v>#DIV/0!</v>
      </c>
      <c r="DU146" s="353" t="e">
        <f t="shared" ref="DU146:ER146" si="91">DU132+DU130</f>
        <v>#DIV/0!</v>
      </c>
      <c r="DV146" s="353" t="e">
        <f t="shared" si="91"/>
        <v>#DIV/0!</v>
      </c>
      <c r="DW146" s="353" t="e">
        <f t="shared" si="91"/>
        <v>#DIV/0!</v>
      </c>
      <c r="DX146" s="230">
        <f t="shared" si="91"/>
        <v>16902.592374021508</v>
      </c>
      <c r="DY146" s="353" t="e">
        <f t="shared" si="91"/>
        <v>#DIV/0!</v>
      </c>
      <c r="DZ146" s="353" t="e">
        <f t="shared" si="91"/>
        <v>#DIV/0!</v>
      </c>
      <c r="EA146" s="353" t="e">
        <f t="shared" si="91"/>
        <v>#DIV/0!</v>
      </c>
      <c r="EB146" s="353" t="e">
        <f t="shared" si="91"/>
        <v>#DIV/0!</v>
      </c>
      <c r="EC146" s="230">
        <f t="shared" si="91"/>
        <v>16756.504191770364</v>
      </c>
      <c r="ED146" s="353" t="e">
        <f t="shared" si="91"/>
        <v>#DIV/0!</v>
      </c>
      <c r="EE146" s="353" t="e">
        <f t="shared" si="91"/>
        <v>#DIV/0!</v>
      </c>
      <c r="EF146" s="353" t="e">
        <f t="shared" si="91"/>
        <v>#DIV/0!</v>
      </c>
      <c r="EG146" s="353" t="e">
        <f t="shared" si="91"/>
        <v>#DIV/0!</v>
      </c>
      <c r="EH146" s="230">
        <f t="shared" si="91"/>
        <v>16699.182904889727</v>
      </c>
      <c r="EI146" s="353" t="e">
        <f t="shared" si="91"/>
        <v>#DIV/0!</v>
      </c>
      <c r="EJ146" s="353" t="e">
        <f t="shared" si="91"/>
        <v>#DIV/0!</v>
      </c>
      <c r="EK146" s="353" t="e">
        <f t="shared" si="91"/>
        <v>#DIV/0!</v>
      </c>
      <c r="EL146" s="353" t="e">
        <f t="shared" si="91"/>
        <v>#DIV/0!</v>
      </c>
      <c r="EM146" s="230">
        <f t="shared" si="91"/>
        <v>14046.02780742199</v>
      </c>
      <c r="EN146" s="353" t="e">
        <f t="shared" si="91"/>
        <v>#DIV/0!</v>
      </c>
      <c r="EO146" s="353" t="e">
        <f t="shared" si="91"/>
        <v>#DIV/0!</v>
      </c>
      <c r="EP146" s="353" t="e">
        <f t="shared" si="91"/>
        <v>#DIV/0!</v>
      </c>
      <c r="EQ146" s="353" t="e">
        <f t="shared" si="91"/>
        <v>#DIV/0!</v>
      </c>
      <c r="ER146" s="230">
        <f t="shared" si="91"/>
        <v>13475.623368567702</v>
      </c>
    </row>
    <row r="147" spans="2:148">
      <c r="DJ147" s="298"/>
      <c r="DK147" s="298"/>
      <c r="DL147" s="298"/>
      <c r="DM147" s="298"/>
    </row>
    <row r="148" spans="2:148">
      <c r="C148" s="235"/>
      <c r="D148" s="235"/>
      <c r="E148" s="235"/>
      <c r="F148" s="235"/>
      <c r="G148" s="235"/>
      <c r="H148" s="235"/>
      <c r="I148" s="235"/>
      <c r="J148" s="235"/>
      <c r="K148" s="235"/>
      <c r="L148" s="235"/>
      <c r="M148" s="235"/>
      <c r="N148" s="235"/>
      <c r="O148" s="235"/>
      <c r="P148" s="235"/>
      <c r="Q148" s="235"/>
      <c r="R148" s="235"/>
      <c r="S148" s="235"/>
      <c r="T148" s="235"/>
      <c r="U148" s="235"/>
      <c r="V148" s="235"/>
      <c r="W148" s="235"/>
      <c r="X148" s="235"/>
      <c r="Y148" s="235"/>
      <c r="Z148" s="235"/>
      <c r="AA148" s="235"/>
      <c r="AB148" s="235"/>
      <c r="AC148" s="235"/>
      <c r="AD148" s="235"/>
      <c r="AE148" s="235"/>
      <c r="AF148" s="235"/>
      <c r="AG148" s="235"/>
      <c r="AH148" s="235"/>
      <c r="AI148" s="235"/>
      <c r="AJ148" s="235"/>
      <c r="AK148" s="235"/>
      <c r="AL148" s="235"/>
      <c r="AM148" s="235"/>
      <c r="AN148" s="235"/>
      <c r="AO148" s="235"/>
      <c r="AP148" s="235"/>
      <c r="AQ148" s="235"/>
      <c r="AR148" s="235"/>
      <c r="AS148" s="235"/>
      <c r="AT148" s="235"/>
      <c r="AU148" s="235"/>
      <c r="AV148" s="235"/>
      <c r="AW148" s="235"/>
      <c r="AX148" s="235"/>
      <c r="AY148" s="235"/>
      <c r="AZ148" s="235"/>
      <c r="BA148" s="235"/>
      <c r="BB148" s="235"/>
      <c r="BC148" s="235"/>
      <c r="BD148" s="235"/>
      <c r="BE148" s="235"/>
      <c r="BF148" s="235"/>
      <c r="BG148" s="235"/>
      <c r="BH148" s="235"/>
      <c r="BI148" s="235"/>
      <c r="BJ148" s="235"/>
      <c r="BK148" s="235"/>
      <c r="BL148" s="235"/>
      <c r="BM148" s="235"/>
      <c r="BN148" s="235"/>
      <c r="BO148" s="235"/>
      <c r="BP148" s="235"/>
      <c r="BQ148" s="235"/>
      <c r="BR148" s="235"/>
      <c r="BS148" s="235"/>
      <c r="BT148" s="235"/>
      <c r="BU148" s="235"/>
      <c r="BV148" s="235"/>
      <c r="BW148" s="235"/>
      <c r="BX148" s="235"/>
      <c r="BY148" s="235"/>
      <c r="BZ148" s="235"/>
      <c r="CA148" s="235"/>
      <c r="CB148" s="235"/>
      <c r="CC148" s="235"/>
      <c r="CD148" s="235"/>
      <c r="CE148" s="235"/>
      <c r="CF148" s="17">
        <f>(CF3+CF8+CF18+CF23+CF28+CF33+CF38+CF43+CF97)/(CA3+CA8+CA18+CA23+CA28+CA33+CA38+CA43)-1</f>
        <v>0.10233163895476771</v>
      </c>
      <c r="CG148" s="17">
        <f t="shared" ref="CG148:CJ148" si="92">(CG3+CG8+CG18+CG23+CG28+CG33+CG38+CG43+CG97)/(CB3+CB8+CB18+CB23+CB28+CB33+CB38+CB43)-1</f>
        <v>0.10336661534201141</v>
      </c>
      <c r="CH148" s="17">
        <f t="shared" si="92"/>
        <v>0.14718098749770525</v>
      </c>
      <c r="CI148" s="17">
        <f t="shared" si="92"/>
        <v>0.17927401885915062</v>
      </c>
      <c r="CJ148" s="17">
        <f t="shared" si="92"/>
        <v>0.13444230452805273</v>
      </c>
      <c r="CK148" s="235"/>
      <c r="CL148" s="235"/>
      <c r="CM148" s="235"/>
      <c r="CN148" s="235"/>
      <c r="CO148" s="235"/>
      <c r="CP148" s="235"/>
      <c r="CQ148" s="235"/>
      <c r="CR148" s="235"/>
      <c r="CS148" s="235"/>
      <c r="CT148" s="235"/>
      <c r="CU148" s="235"/>
      <c r="CV148" s="235"/>
      <c r="CW148" s="235"/>
      <c r="CX148" s="235"/>
      <c r="CY148" s="235"/>
      <c r="CZ148" s="235"/>
      <c r="DA148" s="235"/>
      <c r="DB148" s="235"/>
      <c r="DC148" s="235"/>
      <c r="DD148" s="235"/>
      <c r="DE148" s="235"/>
      <c r="DF148" s="235"/>
      <c r="DG148" s="235"/>
      <c r="DH148" s="235"/>
      <c r="DI148" s="235"/>
      <c r="DJ148" s="235"/>
      <c r="DK148" s="235"/>
      <c r="DL148" s="235"/>
      <c r="DM148" s="235"/>
      <c r="DN148" s="235"/>
      <c r="DO148" s="235"/>
      <c r="DP148" s="235"/>
      <c r="DQ148" s="235"/>
      <c r="DR148" s="235"/>
      <c r="DS148" s="235"/>
      <c r="DT148" s="235"/>
      <c r="DU148" s="235"/>
      <c r="DV148" s="235"/>
      <c r="DW148" s="235"/>
      <c r="DX148" s="235"/>
      <c r="DY148" s="235"/>
      <c r="DZ148" s="235"/>
      <c r="EA148" s="235"/>
      <c r="EB148" s="235"/>
      <c r="EC148" s="235"/>
      <c r="ED148" s="235"/>
      <c r="EE148" s="235"/>
      <c r="EF148" s="235"/>
      <c r="EG148" s="235"/>
      <c r="EH148" s="235"/>
      <c r="EI148" s="235"/>
      <c r="EJ148" s="235"/>
      <c r="EK148" s="235"/>
      <c r="EL148" s="235"/>
      <c r="EM148" s="235"/>
      <c r="EN148" s="235"/>
      <c r="EO148" s="235"/>
      <c r="EP148" s="235"/>
      <c r="EQ148" s="235"/>
      <c r="ER148" s="235"/>
    </row>
    <row r="149" spans="2:148">
      <c r="C149" s="235"/>
      <c r="D149" s="235"/>
      <c r="E149" s="235"/>
      <c r="F149" s="235"/>
      <c r="G149" s="235"/>
      <c r="H149" s="235"/>
      <c r="I149" s="235"/>
      <c r="J149" s="235"/>
      <c r="K149" s="235"/>
      <c r="L149" s="235"/>
      <c r="M149" s="235"/>
      <c r="N149" s="235"/>
      <c r="O149" s="235"/>
      <c r="P149" s="235"/>
      <c r="Q149" s="235"/>
      <c r="R149" s="235"/>
      <c r="S149" s="235"/>
      <c r="T149" s="235"/>
      <c r="U149" s="235"/>
      <c r="V149" s="235"/>
      <c r="W149" s="235"/>
      <c r="X149" s="235"/>
      <c r="Y149" s="235"/>
      <c r="Z149" s="235"/>
      <c r="AA149" s="235"/>
      <c r="AB149" s="235"/>
      <c r="AC149" s="235"/>
      <c r="AD149" s="235"/>
      <c r="AE149" s="235"/>
      <c r="AF149" s="235"/>
      <c r="AG149" s="235"/>
      <c r="AH149" s="235"/>
      <c r="AI149" s="235"/>
      <c r="AJ149" s="235"/>
      <c r="AK149" s="235"/>
      <c r="AL149" s="235"/>
      <c r="AM149" s="235"/>
      <c r="AN149" s="235"/>
      <c r="AO149" s="235"/>
      <c r="AP149" s="235"/>
      <c r="AQ149" s="235"/>
      <c r="AR149" s="235"/>
      <c r="AS149" s="235"/>
      <c r="AT149" s="235"/>
      <c r="AU149" s="235"/>
      <c r="AV149" s="235"/>
      <c r="AW149" s="235"/>
      <c r="AX149" s="235"/>
      <c r="AY149" s="235"/>
      <c r="AZ149" s="235"/>
      <c r="BA149" s="235"/>
      <c r="BB149" s="235"/>
      <c r="BC149" s="235"/>
      <c r="BD149" s="235"/>
      <c r="BE149" s="235"/>
      <c r="BF149" s="235"/>
      <c r="BG149" s="235"/>
      <c r="BH149" s="235"/>
      <c r="BI149" s="235"/>
      <c r="BJ149" s="235"/>
      <c r="BK149" s="235"/>
      <c r="BL149" s="235"/>
      <c r="BM149" s="235"/>
      <c r="BN149" s="235"/>
      <c r="BO149" s="235"/>
      <c r="BP149" s="235"/>
      <c r="BQ149" s="235"/>
      <c r="BR149" s="235"/>
      <c r="BS149" s="235"/>
      <c r="BT149" s="235"/>
      <c r="BU149" s="235"/>
      <c r="BV149" s="235"/>
      <c r="BW149" s="235"/>
      <c r="BX149" s="235"/>
      <c r="BY149" s="235"/>
      <c r="BZ149" s="235"/>
      <c r="CA149" s="235"/>
      <c r="CB149" s="235"/>
      <c r="CC149" s="235"/>
      <c r="CD149" s="235"/>
      <c r="CE149" s="235"/>
      <c r="CF149" s="235"/>
      <c r="CG149" s="235"/>
      <c r="CH149" s="235"/>
      <c r="CI149" s="235"/>
      <c r="CJ149" s="235"/>
      <c r="CK149" s="235"/>
      <c r="CL149" s="235"/>
      <c r="CM149" s="235"/>
      <c r="CN149" s="235"/>
      <c r="CO149" s="235"/>
      <c r="CP149" s="235"/>
      <c r="CQ149" s="235"/>
      <c r="CR149" s="235"/>
      <c r="CS149" s="235"/>
      <c r="CT149" s="235"/>
      <c r="CU149" s="235"/>
      <c r="CV149" s="235"/>
      <c r="CW149" s="235"/>
      <c r="CX149" s="235"/>
      <c r="CY149" s="235"/>
      <c r="CZ149" s="235"/>
      <c r="DA149" s="235"/>
      <c r="DB149" s="235"/>
      <c r="DC149" s="235"/>
      <c r="DD149" s="235"/>
      <c r="DE149" s="235"/>
      <c r="DF149" s="235"/>
      <c r="DG149" s="235"/>
      <c r="DH149" s="235"/>
      <c r="DI149" s="235"/>
      <c r="DJ149" s="235"/>
      <c r="DK149" s="235"/>
      <c r="DL149" s="235"/>
      <c r="DM149" s="235"/>
      <c r="DN149" s="235"/>
      <c r="DO149" s="235"/>
      <c r="DP149" s="235"/>
      <c r="DQ149" s="235"/>
      <c r="DR149" s="235"/>
      <c r="DS149" s="235"/>
      <c r="DT149" s="235"/>
      <c r="DU149" s="235"/>
      <c r="DV149" s="235"/>
      <c r="DW149" s="235"/>
      <c r="DX149" s="235"/>
      <c r="DY149" s="235"/>
      <c r="DZ149" s="235"/>
      <c r="EA149" s="235"/>
      <c r="EB149" s="235"/>
      <c r="EC149" s="235"/>
      <c r="ED149" s="235"/>
      <c r="EE149" s="235"/>
      <c r="EF149" s="235"/>
      <c r="EG149" s="235"/>
      <c r="EH149" s="235"/>
      <c r="EI149" s="235"/>
      <c r="EJ149" s="235"/>
      <c r="EK149" s="235"/>
      <c r="EL149" s="235"/>
      <c r="EM149" s="235"/>
      <c r="EN149" s="235"/>
      <c r="EO149" s="235"/>
      <c r="EP149" s="235"/>
      <c r="EQ149" s="235"/>
      <c r="ER149" s="235"/>
    </row>
    <row r="150" spans="2:148">
      <c r="B150" s="116" t="s">
        <v>100</v>
      </c>
    </row>
    <row r="151" spans="2:148">
      <c r="B151" s="408" t="str">
        <f>B3</f>
        <v>Atripla (efavirenz / emtricitibine / TDF)</v>
      </c>
      <c r="AB151" s="577">
        <v>0.3755</v>
      </c>
      <c r="AG151" s="17">
        <f>AB151</f>
        <v>0.3755</v>
      </c>
      <c r="AL151" s="17">
        <f>AG151</f>
        <v>0.3755</v>
      </c>
      <c r="AQ151" s="17">
        <f>AL151</f>
        <v>0.3755</v>
      </c>
      <c r="AV151" s="17">
        <f>AQ151</f>
        <v>0.3755</v>
      </c>
      <c r="BA151" s="17">
        <f>AV151</f>
        <v>0.3755</v>
      </c>
      <c r="BF151" s="17">
        <f>BA151</f>
        <v>0.3755</v>
      </c>
      <c r="BG151" s="17">
        <f>BF151</f>
        <v>0.3755</v>
      </c>
      <c r="BH151" s="17">
        <f>BG151</f>
        <v>0.3755</v>
      </c>
      <c r="BI151" s="17">
        <f>BH151</f>
        <v>0.3755</v>
      </c>
      <c r="BJ151" s="17">
        <f>BI151</f>
        <v>0.3755</v>
      </c>
      <c r="BK151" s="17">
        <f>BJ151</f>
        <v>0.3755</v>
      </c>
      <c r="BL151" s="119">
        <f>BP151</f>
        <v>0.3755</v>
      </c>
      <c r="BM151" s="119">
        <f t="shared" ref="BM151:BO155" si="93">BL151</f>
        <v>0.3755</v>
      </c>
      <c r="BN151" s="119">
        <f t="shared" si="93"/>
        <v>0.3755</v>
      </c>
      <c r="BO151" s="119">
        <f t="shared" si="93"/>
        <v>0.3755</v>
      </c>
      <c r="BP151" s="72">
        <f>BK151</f>
        <v>0.3755</v>
      </c>
      <c r="BQ151" s="119">
        <f>BU151</f>
        <v>0.32550000000000001</v>
      </c>
      <c r="BR151" s="119">
        <f>BQ151</f>
        <v>0.32550000000000001</v>
      </c>
      <c r="BS151" s="119">
        <f>BR151</f>
        <v>0.32550000000000001</v>
      </c>
      <c r="BT151" s="119">
        <f>BS151</f>
        <v>0.32550000000000001</v>
      </c>
      <c r="BU151" s="579">
        <f>BP151-5%</f>
        <v>0.32550000000000001</v>
      </c>
      <c r="BV151" s="77">
        <f>BZ151</f>
        <v>0.2555</v>
      </c>
      <c r="BW151" s="77">
        <f>BZ151</f>
        <v>0.2555</v>
      </c>
      <c r="BX151" s="77">
        <f>BZ151</f>
        <v>0.2555</v>
      </c>
      <c r="BY151" s="77">
        <f>BZ151</f>
        <v>0.2555</v>
      </c>
      <c r="BZ151" s="119">
        <f>BU151-7%</f>
        <v>0.2555</v>
      </c>
      <c r="CA151" s="77">
        <f>CE151</f>
        <v>0.1855</v>
      </c>
      <c r="CB151" s="77">
        <f>CA151</f>
        <v>0.1855</v>
      </c>
      <c r="CC151" s="694">
        <f t="shared" ref="CC151:CD151" si="94">CB151</f>
        <v>0.1855</v>
      </c>
      <c r="CD151" s="694">
        <f t="shared" si="94"/>
        <v>0.1855</v>
      </c>
      <c r="CE151" s="119">
        <f>BZ151-7%</f>
        <v>0.1855</v>
      </c>
      <c r="CF151" s="694">
        <f>CJ151</f>
        <v>0.13500000000000001</v>
      </c>
      <c r="CG151" s="694">
        <f>CJ151</f>
        <v>0.13500000000000001</v>
      </c>
      <c r="CH151" s="694">
        <f>CJ151</f>
        <v>0.13500000000000001</v>
      </c>
      <c r="CI151" s="694">
        <f>CJ151</f>
        <v>0.13500000000000001</v>
      </c>
      <c r="CJ151" s="580">
        <v>0.13500000000000001</v>
      </c>
      <c r="CO151" s="580">
        <v>0.125</v>
      </c>
      <c r="CP151" s="119"/>
      <c r="CQ151" s="119"/>
      <c r="CR151" s="119"/>
      <c r="CS151" s="119"/>
      <c r="CT151" s="119">
        <f>CO151</f>
        <v>0.125</v>
      </c>
      <c r="CU151" s="119"/>
      <c r="CV151" s="119"/>
      <c r="CW151" s="119"/>
      <c r="CX151" s="119"/>
      <c r="CY151" s="119">
        <f>CT151</f>
        <v>0.125</v>
      </c>
      <c r="CZ151" s="119"/>
      <c r="DA151" s="119"/>
      <c r="DB151" s="119"/>
      <c r="DC151" s="119"/>
      <c r="DD151" s="119">
        <f>CY151</f>
        <v>0.125</v>
      </c>
      <c r="DE151" s="119"/>
      <c r="DF151" s="119"/>
      <c r="DG151" s="119"/>
      <c r="DH151" s="119"/>
      <c r="DI151" s="119">
        <f>DD151</f>
        <v>0.125</v>
      </c>
      <c r="DJ151" s="119"/>
      <c r="DK151" s="119"/>
      <c r="DL151" s="119"/>
      <c r="DM151" s="119"/>
      <c r="DN151" s="119">
        <f>DI151</f>
        <v>0.125</v>
      </c>
      <c r="DO151" s="119"/>
      <c r="DP151" s="119"/>
      <c r="DQ151" s="119"/>
      <c r="DR151" s="119"/>
      <c r="DS151" s="119">
        <f>DN151</f>
        <v>0.125</v>
      </c>
      <c r="DT151" s="119"/>
      <c r="DU151" s="119"/>
      <c r="DV151" s="119"/>
      <c r="DW151" s="119"/>
      <c r="DX151" s="119">
        <f>DS151</f>
        <v>0.125</v>
      </c>
      <c r="DY151" s="119"/>
      <c r="DZ151" s="119"/>
      <c r="EA151" s="119"/>
      <c r="EB151" s="119"/>
      <c r="EC151" s="119">
        <f>DX151</f>
        <v>0.125</v>
      </c>
      <c r="ED151" s="119"/>
      <c r="EE151" s="119"/>
      <c r="EF151" s="119"/>
      <c r="EG151" s="119"/>
      <c r="EH151" s="119">
        <f>EC151</f>
        <v>0.125</v>
      </c>
      <c r="EI151" s="119"/>
      <c r="EJ151" s="119"/>
      <c r="EK151" s="119"/>
      <c r="EL151" s="119"/>
      <c r="EM151" s="119">
        <f>EH151</f>
        <v>0.125</v>
      </c>
      <c r="EN151" s="119"/>
      <c r="EO151" s="119"/>
      <c r="EP151" s="119"/>
      <c r="EQ151" s="119"/>
      <c r="ER151" s="119">
        <f>EM151</f>
        <v>0.125</v>
      </c>
    </row>
    <row r="152" spans="2:148">
      <c r="B152" s="408" t="str">
        <f>B8</f>
        <v>Truvada (emtricitabine / TDF)</v>
      </c>
      <c r="R152" s="577">
        <v>0.28499999999999998</v>
      </c>
      <c r="W152" s="577">
        <v>0.185</v>
      </c>
      <c r="AB152" s="577">
        <v>0.16300000000000001</v>
      </c>
      <c r="AC152" s="385"/>
      <c r="AD152" s="385"/>
      <c r="AE152" s="385"/>
      <c r="AF152" s="385"/>
      <c r="AG152" s="577">
        <v>0.16084999999999999</v>
      </c>
      <c r="AL152" s="577">
        <v>0.16059999999999999</v>
      </c>
      <c r="AQ152" s="17">
        <f>AL152</f>
        <v>0.16059999999999999</v>
      </c>
      <c r="AV152" s="17">
        <f>AQ152</f>
        <v>0.16059999999999999</v>
      </c>
      <c r="BA152" s="577">
        <v>0.18037</v>
      </c>
      <c r="BF152" s="577">
        <v>0.17835000000000001</v>
      </c>
      <c r="BG152" s="577">
        <v>0.1585</v>
      </c>
      <c r="BH152" s="17">
        <f t="shared" ref="BH152:BJ170" si="95">BG152</f>
        <v>0.1585</v>
      </c>
      <c r="BI152" s="17">
        <f t="shared" si="95"/>
        <v>0.1585</v>
      </c>
      <c r="BJ152" s="17">
        <f t="shared" si="95"/>
        <v>0.1585</v>
      </c>
      <c r="BK152" s="577">
        <v>0.155</v>
      </c>
      <c r="BL152" s="119">
        <f>BP152</f>
        <v>0.155</v>
      </c>
      <c r="BM152" s="119">
        <f t="shared" si="93"/>
        <v>0.155</v>
      </c>
      <c r="BN152" s="119">
        <f t="shared" si="93"/>
        <v>0.155</v>
      </c>
      <c r="BO152" s="119">
        <f t="shared" si="93"/>
        <v>0.155</v>
      </c>
      <c r="BP152" s="17">
        <f>BK152</f>
        <v>0.155</v>
      </c>
      <c r="BQ152" s="119">
        <f>BU152</f>
        <v>0.155</v>
      </c>
      <c r="BR152" s="119">
        <f t="shared" ref="BR152:BU153" si="96">BM152</f>
        <v>0.155</v>
      </c>
      <c r="BS152" s="119">
        <f t="shared" si="96"/>
        <v>0.155</v>
      </c>
      <c r="BT152" s="119">
        <f t="shared" si="96"/>
        <v>0.155</v>
      </c>
      <c r="BU152" s="17">
        <f t="shared" si="96"/>
        <v>0.155</v>
      </c>
      <c r="BV152" s="77">
        <f t="shared" ref="BV152:BV171" si="97">BZ152</f>
        <v>0.155</v>
      </c>
      <c r="BW152" s="77">
        <f t="shared" ref="BW152:BW171" si="98">BZ152</f>
        <v>0.155</v>
      </c>
      <c r="BX152" s="77">
        <f t="shared" ref="BX152:BX171" si="99">BZ152</f>
        <v>0.155</v>
      </c>
      <c r="BY152" s="77">
        <f t="shared" ref="BY152:BY171" si="100">BZ152</f>
        <v>0.155</v>
      </c>
      <c r="BZ152" s="17">
        <f>BU152</f>
        <v>0.155</v>
      </c>
      <c r="CA152" s="694">
        <f t="shared" ref="CA152:CA171" si="101">CE152</f>
        <v>0.155</v>
      </c>
      <c r="CB152" s="694">
        <f t="shared" ref="CB152:CD152" si="102">CA152</f>
        <v>0.155</v>
      </c>
      <c r="CC152" s="694">
        <f t="shared" si="102"/>
        <v>0.155</v>
      </c>
      <c r="CD152" s="694">
        <f t="shared" si="102"/>
        <v>0.155</v>
      </c>
      <c r="CE152" s="17">
        <f>BZ152</f>
        <v>0.155</v>
      </c>
      <c r="CF152" s="694">
        <f t="shared" ref="CF152:CF155" si="103">CJ152</f>
        <v>0.1</v>
      </c>
      <c r="CG152" s="694">
        <f t="shared" ref="CG152:CG155" si="104">CJ152</f>
        <v>0.1</v>
      </c>
      <c r="CH152" s="694">
        <f t="shared" ref="CH152:CH155" si="105">CJ152</f>
        <v>0.1</v>
      </c>
      <c r="CI152" s="694">
        <f t="shared" ref="CI152:CI155" si="106">CJ152</f>
        <v>0.1</v>
      </c>
      <c r="CJ152" s="17">
        <v>0.1</v>
      </c>
      <c r="CO152" s="17">
        <f t="shared" ref="CO152:CO162" si="107">CJ152</f>
        <v>0.1</v>
      </c>
      <c r="CT152" s="17">
        <f t="shared" ref="CT152:CT162" si="108">CO152</f>
        <v>0.1</v>
      </c>
      <c r="CY152" s="17">
        <f t="shared" ref="CY152:CY172" si="109">CT152</f>
        <v>0.1</v>
      </c>
      <c r="DD152" s="17">
        <f t="shared" ref="DD152:DD172" si="110">CY152</f>
        <v>0.1</v>
      </c>
      <c r="DI152" s="17">
        <f t="shared" ref="DI152:DI172" si="111">DD152</f>
        <v>0.1</v>
      </c>
      <c r="DN152" s="17">
        <f t="shared" ref="DN152:DN172" si="112">DI152</f>
        <v>0.1</v>
      </c>
      <c r="DS152" s="17">
        <f t="shared" ref="DS152:DS172" si="113">DN152</f>
        <v>0.1</v>
      </c>
      <c r="DX152" s="17">
        <f t="shared" ref="DX152:DX172" si="114">DS152</f>
        <v>0.1</v>
      </c>
      <c r="EC152" s="17">
        <f t="shared" ref="EC152:EC172" si="115">DX152</f>
        <v>0.1</v>
      </c>
      <c r="EH152" s="17">
        <f t="shared" ref="EH152:EH172" si="116">EC152</f>
        <v>0.1</v>
      </c>
      <c r="EM152" s="17">
        <f t="shared" ref="EM152:EM172" si="117">EH152</f>
        <v>0.1</v>
      </c>
      <c r="ER152" s="17">
        <f t="shared" ref="ER152:ER172" si="118">EM152</f>
        <v>0.1</v>
      </c>
    </row>
    <row r="153" spans="2:148">
      <c r="B153" s="408" t="str">
        <f>B13</f>
        <v>Viread (TDF)</v>
      </c>
      <c r="C153" s="577">
        <v>0.1</v>
      </c>
      <c r="H153" s="17">
        <v>9.7500000000000003E-2</v>
      </c>
      <c r="M153" s="17">
        <f>H153</f>
        <v>9.7500000000000003E-2</v>
      </c>
      <c r="R153" s="17">
        <f>M153</f>
        <v>9.7500000000000003E-2</v>
      </c>
      <c r="W153" s="17">
        <f>R153</f>
        <v>9.7500000000000003E-2</v>
      </c>
      <c r="AB153" s="17">
        <f>W153</f>
        <v>9.7500000000000003E-2</v>
      </c>
      <c r="AG153" s="17">
        <f>AB153</f>
        <v>9.7500000000000003E-2</v>
      </c>
      <c r="AL153" s="17">
        <f>AG153</f>
        <v>9.7500000000000003E-2</v>
      </c>
      <c r="AQ153" s="17">
        <f>AL153</f>
        <v>9.7500000000000003E-2</v>
      </c>
      <c r="AV153" s="17">
        <f>AQ153</f>
        <v>9.7500000000000003E-2</v>
      </c>
      <c r="BA153" s="17">
        <f>AV153</f>
        <v>9.7500000000000003E-2</v>
      </c>
      <c r="BF153" s="17">
        <f>BA153</f>
        <v>9.7500000000000003E-2</v>
      </c>
      <c r="BG153" s="17">
        <f>BF153</f>
        <v>9.7500000000000003E-2</v>
      </c>
      <c r="BH153" s="17">
        <f t="shared" si="95"/>
        <v>9.7500000000000003E-2</v>
      </c>
      <c r="BI153" s="17">
        <f t="shared" si="95"/>
        <v>9.7500000000000003E-2</v>
      </c>
      <c r="BJ153" s="17">
        <f t="shared" si="95"/>
        <v>9.7500000000000003E-2</v>
      </c>
      <c r="BK153" s="17">
        <f>BJ153</f>
        <v>9.7500000000000003E-2</v>
      </c>
      <c r="BL153" s="119">
        <f>BP153</f>
        <v>9.7500000000000003E-2</v>
      </c>
      <c r="BM153" s="119">
        <f t="shared" si="93"/>
        <v>9.7500000000000003E-2</v>
      </c>
      <c r="BN153" s="119">
        <f t="shared" si="93"/>
        <v>9.7500000000000003E-2</v>
      </c>
      <c r="BO153" s="119">
        <f t="shared" si="93"/>
        <v>9.7500000000000003E-2</v>
      </c>
      <c r="BP153" s="17">
        <f>BK153</f>
        <v>9.7500000000000003E-2</v>
      </c>
      <c r="BQ153" s="119">
        <f>BU153</f>
        <v>9.7500000000000003E-2</v>
      </c>
      <c r="BR153" s="119">
        <f t="shared" si="96"/>
        <v>9.7500000000000003E-2</v>
      </c>
      <c r="BS153" s="119">
        <f t="shared" si="96"/>
        <v>9.7500000000000003E-2</v>
      </c>
      <c r="BT153" s="119">
        <f t="shared" si="96"/>
        <v>9.7500000000000003E-2</v>
      </c>
      <c r="BU153" s="17">
        <f t="shared" si="96"/>
        <v>9.7500000000000003E-2</v>
      </c>
      <c r="BV153" s="77">
        <f t="shared" si="97"/>
        <v>9.7500000000000003E-2</v>
      </c>
      <c r="BW153" s="77">
        <f t="shared" si="98"/>
        <v>9.7500000000000003E-2</v>
      </c>
      <c r="BX153" s="77">
        <f t="shared" si="99"/>
        <v>9.7500000000000003E-2</v>
      </c>
      <c r="BY153" s="77">
        <f t="shared" si="100"/>
        <v>9.7500000000000003E-2</v>
      </c>
      <c r="BZ153" s="17">
        <f>BU153</f>
        <v>9.7500000000000003E-2</v>
      </c>
      <c r="CA153" s="694">
        <f t="shared" si="101"/>
        <v>9.7500000000000003E-2</v>
      </c>
      <c r="CB153" s="694">
        <f t="shared" ref="CB153:CD153" si="119">CA153</f>
        <v>9.7500000000000003E-2</v>
      </c>
      <c r="CC153" s="694">
        <f t="shared" si="119"/>
        <v>9.7500000000000003E-2</v>
      </c>
      <c r="CD153" s="694">
        <f t="shared" si="119"/>
        <v>9.7500000000000003E-2</v>
      </c>
      <c r="CE153" s="17">
        <f>BZ153</f>
        <v>9.7500000000000003E-2</v>
      </c>
      <c r="CF153" s="694">
        <f t="shared" si="103"/>
        <v>9.7500000000000003E-2</v>
      </c>
      <c r="CG153" s="694">
        <f t="shared" si="104"/>
        <v>9.7500000000000003E-2</v>
      </c>
      <c r="CH153" s="694">
        <f t="shared" si="105"/>
        <v>9.7500000000000003E-2</v>
      </c>
      <c r="CI153" s="694">
        <f t="shared" si="106"/>
        <v>9.7500000000000003E-2</v>
      </c>
      <c r="CJ153" s="17">
        <f>CE153</f>
        <v>9.7500000000000003E-2</v>
      </c>
      <c r="CO153" s="17">
        <f t="shared" si="107"/>
        <v>9.7500000000000003E-2</v>
      </c>
      <c r="CT153" s="17">
        <f t="shared" si="108"/>
        <v>9.7500000000000003E-2</v>
      </c>
      <c r="CY153" s="17">
        <f t="shared" si="109"/>
        <v>9.7500000000000003E-2</v>
      </c>
      <c r="DD153" s="17">
        <f t="shared" si="110"/>
        <v>9.7500000000000003E-2</v>
      </c>
      <c r="DI153" s="17">
        <f t="shared" si="111"/>
        <v>9.7500000000000003E-2</v>
      </c>
      <c r="DN153" s="17">
        <f t="shared" si="112"/>
        <v>9.7500000000000003E-2</v>
      </c>
      <c r="DS153" s="17">
        <f t="shared" si="113"/>
        <v>9.7500000000000003E-2</v>
      </c>
      <c r="DX153" s="17">
        <f t="shared" si="114"/>
        <v>9.7500000000000003E-2</v>
      </c>
      <c r="EC153" s="17">
        <f t="shared" si="115"/>
        <v>9.7500000000000003E-2</v>
      </c>
      <c r="EH153" s="17">
        <f t="shared" si="116"/>
        <v>9.7500000000000003E-2</v>
      </c>
      <c r="EM153" s="17">
        <f t="shared" si="117"/>
        <v>9.7500000000000003E-2</v>
      </c>
      <c r="ER153" s="17">
        <f t="shared" si="118"/>
        <v>9.7500000000000003E-2</v>
      </c>
    </row>
    <row r="154" spans="2:148">
      <c r="B154" s="408" t="str">
        <f>B18</f>
        <v>Complera/Eviplera (emtricitabine / rilpivirine / TDF)</v>
      </c>
      <c r="AV154" s="17"/>
      <c r="BA154" s="577">
        <v>0.37</v>
      </c>
      <c r="BF154" s="17">
        <f>BA154</f>
        <v>0.37</v>
      </c>
      <c r="BG154" s="17">
        <f>BF154</f>
        <v>0.37</v>
      </c>
      <c r="BH154" s="17">
        <f t="shared" si="95"/>
        <v>0.37</v>
      </c>
      <c r="BI154" s="17">
        <f t="shared" si="95"/>
        <v>0.37</v>
      </c>
      <c r="BJ154" s="17">
        <f t="shared" si="95"/>
        <v>0.37</v>
      </c>
      <c r="BK154" s="17">
        <f>BJ154</f>
        <v>0.37</v>
      </c>
      <c r="BL154" s="119">
        <f>BP154</f>
        <v>0.37</v>
      </c>
      <c r="BM154" s="119">
        <f t="shared" si="93"/>
        <v>0.37</v>
      </c>
      <c r="BN154" s="119">
        <f t="shared" si="93"/>
        <v>0.37</v>
      </c>
      <c r="BO154" s="119">
        <f t="shared" si="93"/>
        <v>0.37</v>
      </c>
      <c r="BP154" s="17">
        <f>BK154</f>
        <v>0.37</v>
      </c>
      <c r="BQ154" s="119">
        <f>BU154</f>
        <v>0.37</v>
      </c>
      <c r="BR154" s="119">
        <f t="shared" ref="BR154:BT155" si="120">BQ154</f>
        <v>0.37</v>
      </c>
      <c r="BS154" s="119">
        <f t="shared" si="120"/>
        <v>0.37</v>
      </c>
      <c r="BT154" s="119">
        <f t="shared" si="120"/>
        <v>0.37</v>
      </c>
      <c r="BU154" s="17">
        <f>BP154</f>
        <v>0.37</v>
      </c>
      <c r="BV154" s="77">
        <f t="shared" si="97"/>
        <v>0.37</v>
      </c>
      <c r="BW154" s="77">
        <f t="shared" si="98"/>
        <v>0.37</v>
      </c>
      <c r="BX154" s="77">
        <f t="shared" si="99"/>
        <v>0.37</v>
      </c>
      <c r="BY154" s="77">
        <f t="shared" si="100"/>
        <v>0.37</v>
      </c>
      <c r="BZ154" s="17">
        <f>BU154</f>
        <v>0.37</v>
      </c>
      <c r="CA154" s="694">
        <f t="shared" si="101"/>
        <v>0.37</v>
      </c>
      <c r="CB154" s="694">
        <f t="shared" ref="CB154:CD154" si="121">CA154</f>
        <v>0.37</v>
      </c>
      <c r="CC154" s="694">
        <f t="shared" si="121"/>
        <v>0.37</v>
      </c>
      <c r="CD154" s="694">
        <f t="shared" si="121"/>
        <v>0.37</v>
      </c>
      <c r="CE154" s="17">
        <f>BZ154</f>
        <v>0.37</v>
      </c>
      <c r="CF154" s="694">
        <f t="shared" si="103"/>
        <v>0.35</v>
      </c>
      <c r="CG154" s="694">
        <f t="shared" si="104"/>
        <v>0.35</v>
      </c>
      <c r="CH154" s="694">
        <f t="shared" si="105"/>
        <v>0.35</v>
      </c>
      <c r="CI154" s="694">
        <f t="shared" si="106"/>
        <v>0.35</v>
      </c>
      <c r="CJ154" s="17">
        <v>0.35</v>
      </c>
      <c r="CO154" s="17">
        <f t="shared" si="107"/>
        <v>0.35</v>
      </c>
      <c r="CT154" s="17">
        <f t="shared" si="108"/>
        <v>0.35</v>
      </c>
      <c r="CY154" s="17">
        <f>CT154</f>
        <v>0.35</v>
      </c>
      <c r="DD154" s="17">
        <f>CY154</f>
        <v>0.35</v>
      </c>
      <c r="DI154" s="17">
        <f>DD154</f>
        <v>0.35</v>
      </c>
      <c r="DN154" s="17">
        <f>DI154</f>
        <v>0.35</v>
      </c>
      <c r="DS154" s="17">
        <f>DN154</f>
        <v>0.35</v>
      </c>
      <c r="DX154" s="17">
        <f>DS154</f>
        <v>0.35</v>
      </c>
      <c r="EC154" s="17">
        <f>DX154</f>
        <v>0.35</v>
      </c>
      <c r="EH154" s="17">
        <f>EC154</f>
        <v>0.35</v>
      </c>
      <c r="EM154" s="17">
        <f>EH154</f>
        <v>0.35</v>
      </c>
      <c r="ER154" s="17">
        <f>EM154</f>
        <v>0.35</v>
      </c>
    </row>
    <row r="155" spans="2:148">
      <c r="B155" s="408" t="str">
        <f>B23</f>
        <v>Stribild (elvitegravir / emtricitabine / TDF)</v>
      </c>
      <c r="AV155" s="17"/>
      <c r="BF155" s="577">
        <v>0.33</v>
      </c>
      <c r="BG155" s="577">
        <v>0.26500000000000001</v>
      </c>
      <c r="BH155" s="17">
        <f t="shared" si="95"/>
        <v>0.26500000000000001</v>
      </c>
      <c r="BI155" s="17">
        <f t="shared" si="95"/>
        <v>0.26500000000000001</v>
      </c>
      <c r="BJ155" s="17">
        <f t="shared" si="95"/>
        <v>0.26500000000000001</v>
      </c>
      <c r="BK155" s="577">
        <v>0.26500000000000001</v>
      </c>
      <c r="BL155" s="119">
        <f>BP155</f>
        <v>0.26500000000000001</v>
      </c>
      <c r="BM155" s="119">
        <f t="shared" si="93"/>
        <v>0.26500000000000001</v>
      </c>
      <c r="BN155" s="119">
        <f t="shared" si="93"/>
        <v>0.26500000000000001</v>
      </c>
      <c r="BO155" s="119">
        <f t="shared" si="93"/>
        <v>0.26500000000000001</v>
      </c>
      <c r="BP155" s="17">
        <f>BK155</f>
        <v>0.26500000000000001</v>
      </c>
      <c r="BQ155" s="119">
        <f>BU155</f>
        <v>0.26500000000000001</v>
      </c>
      <c r="BR155" s="119">
        <f t="shared" si="120"/>
        <v>0.26500000000000001</v>
      </c>
      <c r="BS155" s="119">
        <f t="shared" si="120"/>
        <v>0.26500000000000001</v>
      </c>
      <c r="BT155" s="119">
        <f t="shared" si="120"/>
        <v>0.26500000000000001</v>
      </c>
      <c r="BU155" s="17">
        <f>BP155</f>
        <v>0.26500000000000001</v>
      </c>
      <c r="BV155" s="77">
        <f t="shared" si="97"/>
        <v>0.26500000000000001</v>
      </c>
      <c r="BW155" s="77">
        <f t="shared" si="98"/>
        <v>0.26500000000000001</v>
      </c>
      <c r="BX155" s="77">
        <f t="shared" si="99"/>
        <v>0.26500000000000001</v>
      </c>
      <c r="BY155" s="77">
        <f t="shared" si="100"/>
        <v>0.26500000000000001</v>
      </c>
      <c r="BZ155" s="17">
        <f>BU155</f>
        <v>0.26500000000000001</v>
      </c>
      <c r="CA155" s="694">
        <f t="shared" si="101"/>
        <v>0.26500000000000001</v>
      </c>
      <c r="CB155" s="694">
        <f t="shared" ref="CB155:CD155" si="122">CA155</f>
        <v>0.26500000000000001</v>
      </c>
      <c r="CC155" s="694">
        <f t="shared" si="122"/>
        <v>0.26500000000000001</v>
      </c>
      <c r="CD155" s="694">
        <f t="shared" si="122"/>
        <v>0.26500000000000001</v>
      </c>
      <c r="CE155" s="17">
        <f>BZ155</f>
        <v>0.26500000000000001</v>
      </c>
      <c r="CF155" s="694">
        <f t="shared" si="103"/>
        <v>0.26500000000000001</v>
      </c>
      <c r="CG155" s="694">
        <f t="shared" si="104"/>
        <v>0.26500000000000001</v>
      </c>
      <c r="CH155" s="694">
        <f t="shared" si="105"/>
        <v>0.26500000000000001</v>
      </c>
      <c r="CI155" s="694">
        <f t="shared" si="106"/>
        <v>0.26500000000000001</v>
      </c>
      <c r="CJ155" s="17">
        <f>CE155</f>
        <v>0.26500000000000001</v>
      </c>
      <c r="CO155" s="17">
        <f t="shared" si="107"/>
        <v>0.26500000000000001</v>
      </c>
      <c r="CT155" s="17">
        <f t="shared" si="108"/>
        <v>0.26500000000000001</v>
      </c>
      <c r="CY155" s="17">
        <f t="shared" si="109"/>
        <v>0.26500000000000001</v>
      </c>
      <c r="DD155" s="17">
        <f t="shared" si="110"/>
        <v>0.26500000000000001</v>
      </c>
      <c r="DI155" s="17">
        <f t="shared" si="111"/>
        <v>0.26500000000000001</v>
      </c>
      <c r="DN155" s="17">
        <f t="shared" si="112"/>
        <v>0.26500000000000001</v>
      </c>
      <c r="DS155" s="17">
        <f t="shared" si="113"/>
        <v>0.26500000000000001</v>
      </c>
      <c r="DX155" s="17">
        <f t="shared" si="114"/>
        <v>0.26500000000000001</v>
      </c>
      <c r="EC155" s="17">
        <f t="shared" si="115"/>
        <v>0.26500000000000001</v>
      </c>
      <c r="EH155" s="17">
        <f t="shared" si="116"/>
        <v>0.26500000000000001</v>
      </c>
      <c r="EM155" s="17">
        <f t="shared" si="117"/>
        <v>0.26500000000000001</v>
      </c>
      <c r="ER155" s="17">
        <f t="shared" si="118"/>
        <v>0.26500000000000001</v>
      </c>
    </row>
    <row r="156" spans="2:148" s="696" customFormat="1">
      <c r="B156" s="408" t="str">
        <f>B28</f>
        <v>Genvoya (elvitegravir / emtricitabine / TAF)</v>
      </c>
      <c r="AV156" s="17"/>
      <c r="BF156" s="577"/>
      <c r="BG156" s="577"/>
      <c r="BH156" s="17"/>
      <c r="BI156" s="17"/>
      <c r="BJ156" s="17"/>
      <c r="BK156" s="577"/>
      <c r="BL156" s="119"/>
      <c r="BM156" s="119"/>
      <c r="BN156" s="119"/>
      <c r="BO156" s="119"/>
      <c r="BP156" s="17"/>
      <c r="BQ156" s="119"/>
      <c r="BR156" s="119"/>
      <c r="BS156" s="119"/>
      <c r="BT156" s="119"/>
      <c r="BU156" s="17"/>
      <c r="BV156" s="694">
        <f>BW156</f>
        <v>0.25</v>
      </c>
      <c r="BW156" s="694">
        <f>BX156</f>
        <v>0.25</v>
      </c>
      <c r="BX156" s="694">
        <f>BZ156</f>
        <v>0.25</v>
      </c>
      <c r="BY156" s="694">
        <f>BZ156</f>
        <v>0.25</v>
      </c>
      <c r="BZ156" s="577">
        <v>0.25</v>
      </c>
      <c r="CA156" s="694">
        <f t="shared" si="101"/>
        <v>0.2</v>
      </c>
      <c r="CB156" s="694">
        <f t="shared" ref="CB156:CD156" si="123">CA156</f>
        <v>0.2</v>
      </c>
      <c r="CC156" s="694">
        <f t="shared" si="123"/>
        <v>0.2</v>
      </c>
      <c r="CD156" s="694">
        <f t="shared" si="123"/>
        <v>0.2</v>
      </c>
      <c r="CE156" s="577">
        <v>0.2</v>
      </c>
      <c r="CF156" s="119">
        <f>CJ156</f>
        <v>0.17499999999999999</v>
      </c>
      <c r="CG156" s="119">
        <f t="shared" ref="CG156:CI159" si="124">CF156</f>
        <v>0.17499999999999999</v>
      </c>
      <c r="CH156" s="119">
        <f t="shared" si="124"/>
        <v>0.17499999999999999</v>
      </c>
      <c r="CI156" s="119">
        <f t="shared" si="124"/>
        <v>0.17499999999999999</v>
      </c>
      <c r="CJ156" s="17">
        <v>0.17499999999999999</v>
      </c>
      <c r="CO156" s="17">
        <f t="shared" si="107"/>
        <v>0.17499999999999999</v>
      </c>
      <c r="CP156" s="17">
        <f t="shared" ref="CP156:CS159" si="125">CK156</f>
        <v>0</v>
      </c>
      <c r="CQ156" s="17">
        <f t="shared" si="125"/>
        <v>0</v>
      </c>
      <c r="CR156" s="17">
        <f t="shared" si="125"/>
        <v>0</v>
      </c>
      <c r="CS156" s="17">
        <f t="shared" si="125"/>
        <v>0</v>
      </c>
      <c r="CT156" s="17">
        <f t="shared" si="108"/>
        <v>0.17499999999999999</v>
      </c>
      <c r="CU156" s="17">
        <f t="shared" ref="CU156:CX159" si="126">CP156</f>
        <v>0</v>
      </c>
      <c r="CV156" s="17">
        <f t="shared" si="126"/>
        <v>0</v>
      </c>
      <c r="CW156" s="17">
        <f t="shared" si="126"/>
        <v>0</v>
      </c>
      <c r="CX156" s="17">
        <f t="shared" si="126"/>
        <v>0</v>
      </c>
      <c r="CY156" s="17">
        <f t="shared" si="109"/>
        <v>0.17499999999999999</v>
      </c>
      <c r="CZ156" s="17">
        <f t="shared" ref="CZ156:DC159" si="127">CU156</f>
        <v>0</v>
      </c>
      <c r="DA156" s="17">
        <f t="shared" si="127"/>
        <v>0</v>
      </c>
      <c r="DB156" s="17">
        <f t="shared" si="127"/>
        <v>0</v>
      </c>
      <c r="DC156" s="17">
        <f t="shared" si="127"/>
        <v>0</v>
      </c>
      <c r="DD156" s="17">
        <f t="shared" si="110"/>
        <v>0.17499999999999999</v>
      </c>
      <c r="DE156" s="17">
        <f t="shared" ref="DE156:DH159" si="128">CZ156</f>
        <v>0</v>
      </c>
      <c r="DF156" s="17">
        <f t="shared" si="128"/>
        <v>0</v>
      </c>
      <c r="DG156" s="17">
        <f t="shared" si="128"/>
        <v>0</v>
      </c>
      <c r="DH156" s="17">
        <f t="shared" si="128"/>
        <v>0</v>
      </c>
      <c r="DI156" s="17">
        <f t="shared" si="111"/>
        <v>0.17499999999999999</v>
      </c>
      <c r="DJ156" s="17">
        <f t="shared" ref="DJ156:DM159" si="129">DE156</f>
        <v>0</v>
      </c>
      <c r="DK156" s="17">
        <f t="shared" si="129"/>
        <v>0</v>
      </c>
      <c r="DL156" s="17">
        <f t="shared" si="129"/>
        <v>0</v>
      </c>
      <c r="DM156" s="17">
        <f t="shared" si="129"/>
        <v>0</v>
      </c>
      <c r="DN156" s="17">
        <f t="shared" si="112"/>
        <v>0.17499999999999999</v>
      </c>
      <c r="DO156" s="17">
        <f t="shared" ref="DO156:DR159" si="130">DJ156</f>
        <v>0</v>
      </c>
      <c r="DP156" s="17">
        <f t="shared" si="130"/>
        <v>0</v>
      </c>
      <c r="DQ156" s="17">
        <f t="shared" si="130"/>
        <v>0</v>
      </c>
      <c r="DR156" s="17">
        <f t="shared" si="130"/>
        <v>0</v>
      </c>
      <c r="DS156" s="17">
        <f t="shared" si="113"/>
        <v>0.17499999999999999</v>
      </c>
      <c r="DT156" s="17">
        <f t="shared" ref="DT156:DW159" si="131">DO156</f>
        <v>0</v>
      </c>
      <c r="DU156" s="17">
        <f t="shared" si="131"/>
        <v>0</v>
      </c>
      <c r="DV156" s="17">
        <f t="shared" si="131"/>
        <v>0</v>
      </c>
      <c r="DW156" s="17">
        <f t="shared" si="131"/>
        <v>0</v>
      </c>
      <c r="DX156" s="17">
        <f t="shared" si="114"/>
        <v>0.17499999999999999</v>
      </c>
      <c r="DY156" s="17">
        <f t="shared" ref="DY156:EB159" si="132">DT156</f>
        <v>0</v>
      </c>
      <c r="DZ156" s="17">
        <f t="shared" si="132"/>
        <v>0</v>
      </c>
      <c r="EA156" s="17">
        <f t="shared" si="132"/>
        <v>0</v>
      </c>
      <c r="EB156" s="17">
        <f t="shared" si="132"/>
        <v>0</v>
      </c>
      <c r="EC156" s="17">
        <f t="shared" si="115"/>
        <v>0.17499999999999999</v>
      </c>
      <c r="ED156" s="17">
        <f t="shared" ref="ED156:EG159" si="133">DY156</f>
        <v>0</v>
      </c>
      <c r="EE156" s="17">
        <f t="shared" si="133"/>
        <v>0</v>
      </c>
      <c r="EF156" s="17">
        <f t="shared" si="133"/>
        <v>0</v>
      </c>
      <c r="EG156" s="17">
        <f t="shared" si="133"/>
        <v>0</v>
      </c>
      <c r="EH156" s="17">
        <f t="shared" si="116"/>
        <v>0.17499999999999999</v>
      </c>
      <c r="EI156" s="17">
        <f t="shared" ref="EI156:EL159" si="134">ED156</f>
        <v>0</v>
      </c>
      <c r="EJ156" s="17">
        <f t="shared" si="134"/>
        <v>0</v>
      </c>
      <c r="EK156" s="17">
        <f t="shared" si="134"/>
        <v>0</v>
      </c>
      <c r="EL156" s="17">
        <f t="shared" si="134"/>
        <v>0</v>
      </c>
      <c r="EM156" s="17">
        <f t="shared" si="117"/>
        <v>0.17499999999999999</v>
      </c>
      <c r="EN156" s="17">
        <f t="shared" ref="EN156:EQ159" si="135">EI156</f>
        <v>0</v>
      </c>
      <c r="EO156" s="17">
        <f t="shared" si="135"/>
        <v>0</v>
      </c>
      <c r="EP156" s="17">
        <f t="shared" si="135"/>
        <v>0</v>
      </c>
      <c r="EQ156" s="17">
        <f t="shared" si="135"/>
        <v>0</v>
      </c>
      <c r="ER156" s="17">
        <f t="shared" si="118"/>
        <v>0.17499999999999999</v>
      </c>
    </row>
    <row r="157" spans="2:148" s="696" customFormat="1">
      <c r="B157" s="408" t="str">
        <f>B33</f>
        <v>Odefsey (emtricitabine / rilpivirine / TAF)</v>
      </c>
      <c r="AV157" s="17"/>
      <c r="BF157" s="577"/>
      <c r="BG157" s="577"/>
      <c r="BH157" s="17"/>
      <c r="BI157" s="17"/>
      <c r="BJ157" s="17"/>
      <c r="BK157" s="577"/>
      <c r="BL157" s="119"/>
      <c r="BM157" s="119"/>
      <c r="BN157" s="119"/>
      <c r="BO157" s="119"/>
      <c r="BP157" s="17"/>
      <c r="BQ157" s="119"/>
      <c r="BR157" s="119"/>
      <c r="BS157" s="119"/>
      <c r="BT157" s="119"/>
      <c r="BU157" s="17"/>
      <c r="BV157" s="694">
        <f>BW157</f>
        <v>0.35</v>
      </c>
      <c r="BW157" s="694">
        <f>BX157</f>
        <v>0.35</v>
      </c>
      <c r="BX157" s="694">
        <f>BZ157</f>
        <v>0.35</v>
      </c>
      <c r="BY157" s="694">
        <f>BZ157</f>
        <v>0.35</v>
      </c>
      <c r="BZ157" s="577">
        <v>0.35</v>
      </c>
      <c r="CA157" s="694">
        <f t="shared" si="101"/>
        <v>0.33500000000000002</v>
      </c>
      <c r="CB157" s="694">
        <f t="shared" ref="CB157:CD157" si="136">CA157</f>
        <v>0.33500000000000002</v>
      </c>
      <c r="CC157" s="694">
        <f t="shared" si="136"/>
        <v>0.33500000000000002</v>
      </c>
      <c r="CD157" s="694">
        <f t="shared" si="136"/>
        <v>0.33500000000000002</v>
      </c>
      <c r="CE157" s="577">
        <v>0.33500000000000002</v>
      </c>
      <c r="CF157" s="119">
        <f>CJ157</f>
        <v>0.22500000000000001</v>
      </c>
      <c r="CG157" s="119">
        <f t="shared" si="124"/>
        <v>0.22500000000000001</v>
      </c>
      <c r="CH157" s="119">
        <f t="shared" si="124"/>
        <v>0.22500000000000001</v>
      </c>
      <c r="CI157" s="119">
        <f t="shared" si="124"/>
        <v>0.22500000000000001</v>
      </c>
      <c r="CJ157" s="17">
        <v>0.22500000000000001</v>
      </c>
      <c r="CO157" s="17">
        <f t="shared" si="107"/>
        <v>0.22500000000000001</v>
      </c>
      <c r="CP157" s="17">
        <f t="shared" si="125"/>
        <v>0</v>
      </c>
      <c r="CQ157" s="17">
        <f t="shared" si="125"/>
        <v>0</v>
      </c>
      <c r="CR157" s="17">
        <f t="shared" si="125"/>
        <v>0</v>
      </c>
      <c r="CS157" s="17">
        <f t="shared" si="125"/>
        <v>0</v>
      </c>
      <c r="CT157" s="17">
        <f t="shared" si="108"/>
        <v>0.22500000000000001</v>
      </c>
      <c r="CU157" s="17">
        <f t="shared" si="126"/>
        <v>0</v>
      </c>
      <c r="CV157" s="17">
        <f t="shared" si="126"/>
        <v>0</v>
      </c>
      <c r="CW157" s="17">
        <f t="shared" si="126"/>
        <v>0</v>
      </c>
      <c r="CX157" s="17">
        <f t="shared" si="126"/>
        <v>0</v>
      </c>
      <c r="CY157" s="17">
        <f t="shared" si="109"/>
        <v>0.22500000000000001</v>
      </c>
      <c r="CZ157" s="17">
        <f t="shared" si="127"/>
        <v>0</v>
      </c>
      <c r="DA157" s="17">
        <f t="shared" si="127"/>
        <v>0</v>
      </c>
      <c r="DB157" s="17">
        <f t="shared" si="127"/>
        <v>0</v>
      </c>
      <c r="DC157" s="17">
        <f t="shared" si="127"/>
        <v>0</v>
      </c>
      <c r="DD157" s="17">
        <f t="shared" si="110"/>
        <v>0.22500000000000001</v>
      </c>
      <c r="DE157" s="17">
        <f t="shared" si="128"/>
        <v>0</v>
      </c>
      <c r="DF157" s="17">
        <f t="shared" si="128"/>
        <v>0</v>
      </c>
      <c r="DG157" s="17">
        <f t="shared" si="128"/>
        <v>0</v>
      </c>
      <c r="DH157" s="17">
        <f t="shared" si="128"/>
        <v>0</v>
      </c>
      <c r="DI157" s="17">
        <f t="shared" si="111"/>
        <v>0.22500000000000001</v>
      </c>
      <c r="DJ157" s="17">
        <f t="shared" si="129"/>
        <v>0</v>
      </c>
      <c r="DK157" s="17">
        <f t="shared" si="129"/>
        <v>0</v>
      </c>
      <c r="DL157" s="17">
        <f t="shared" si="129"/>
        <v>0</v>
      </c>
      <c r="DM157" s="17">
        <f t="shared" si="129"/>
        <v>0</v>
      </c>
      <c r="DN157" s="17">
        <f t="shared" si="112"/>
        <v>0.22500000000000001</v>
      </c>
      <c r="DO157" s="17">
        <f t="shared" si="130"/>
        <v>0</v>
      </c>
      <c r="DP157" s="17">
        <f t="shared" si="130"/>
        <v>0</v>
      </c>
      <c r="DQ157" s="17">
        <f t="shared" si="130"/>
        <v>0</v>
      </c>
      <c r="DR157" s="17">
        <f t="shared" si="130"/>
        <v>0</v>
      </c>
      <c r="DS157" s="17">
        <f t="shared" si="113"/>
        <v>0.22500000000000001</v>
      </c>
      <c r="DT157" s="17">
        <f t="shared" si="131"/>
        <v>0</v>
      </c>
      <c r="DU157" s="17">
        <f t="shared" si="131"/>
        <v>0</v>
      </c>
      <c r="DV157" s="17">
        <f t="shared" si="131"/>
        <v>0</v>
      </c>
      <c r="DW157" s="17">
        <f t="shared" si="131"/>
        <v>0</v>
      </c>
      <c r="DX157" s="17">
        <f t="shared" si="114"/>
        <v>0.22500000000000001</v>
      </c>
      <c r="DY157" s="17">
        <f t="shared" si="132"/>
        <v>0</v>
      </c>
      <c r="DZ157" s="17">
        <f t="shared" si="132"/>
        <v>0</v>
      </c>
      <c r="EA157" s="17">
        <f t="shared" si="132"/>
        <v>0</v>
      </c>
      <c r="EB157" s="17">
        <f t="shared" si="132"/>
        <v>0</v>
      </c>
      <c r="EC157" s="17">
        <f t="shared" si="115"/>
        <v>0.22500000000000001</v>
      </c>
      <c r="ED157" s="17">
        <f t="shared" si="133"/>
        <v>0</v>
      </c>
      <c r="EE157" s="17">
        <f t="shared" si="133"/>
        <v>0</v>
      </c>
      <c r="EF157" s="17">
        <f t="shared" si="133"/>
        <v>0</v>
      </c>
      <c r="EG157" s="17">
        <f t="shared" si="133"/>
        <v>0</v>
      </c>
      <c r="EH157" s="17">
        <f t="shared" si="116"/>
        <v>0.22500000000000001</v>
      </c>
      <c r="EI157" s="17">
        <f t="shared" si="134"/>
        <v>0</v>
      </c>
      <c r="EJ157" s="17">
        <f t="shared" si="134"/>
        <v>0</v>
      </c>
      <c r="EK157" s="17">
        <f t="shared" si="134"/>
        <v>0</v>
      </c>
      <c r="EL157" s="17">
        <f t="shared" si="134"/>
        <v>0</v>
      </c>
      <c r="EM157" s="17">
        <f t="shared" si="117"/>
        <v>0.22500000000000001</v>
      </c>
      <c r="EN157" s="17">
        <f t="shared" si="135"/>
        <v>0</v>
      </c>
      <c r="EO157" s="17">
        <f t="shared" si="135"/>
        <v>0</v>
      </c>
      <c r="EP157" s="17">
        <f t="shared" si="135"/>
        <v>0</v>
      </c>
      <c r="EQ157" s="17">
        <f t="shared" si="135"/>
        <v>0</v>
      </c>
      <c r="ER157" s="17">
        <f t="shared" si="118"/>
        <v>0.22500000000000001</v>
      </c>
    </row>
    <row r="158" spans="2:148" s="696" customFormat="1">
      <c r="B158" s="408" t="str">
        <f>B38</f>
        <v>Descovy (emtricitabine / TAF)</v>
      </c>
      <c r="AV158" s="17"/>
      <c r="BF158" s="577"/>
      <c r="BG158" s="577"/>
      <c r="BH158" s="17"/>
      <c r="BI158" s="17"/>
      <c r="BJ158" s="17"/>
      <c r="BK158" s="577"/>
      <c r="BL158" s="119"/>
      <c r="BM158" s="119"/>
      <c r="BN158" s="119"/>
      <c r="BO158" s="119"/>
      <c r="BP158" s="17"/>
      <c r="BQ158" s="119"/>
      <c r="BR158" s="119"/>
      <c r="BS158" s="119"/>
      <c r="BT158" s="119"/>
      <c r="BU158" s="17"/>
      <c r="BV158" s="694"/>
      <c r="BW158" s="694">
        <f>BX158</f>
        <v>0.155</v>
      </c>
      <c r="BX158" s="694">
        <f>BZ158</f>
        <v>0.155</v>
      </c>
      <c r="BY158" s="694">
        <f>BZ158</f>
        <v>0.155</v>
      </c>
      <c r="BZ158" s="577">
        <f>BZ152</f>
        <v>0.155</v>
      </c>
      <c r="CA158" s="694">
        <f t="shared" si="101"/>
        <v>0.15</v>
      </c>
      <c r="CB158" s="694">
        <f t="shared" ref="CB158:CD158" si="137">CA158</f>
        <v>0.15</v>
      </c>
      <c r="CC158" s="694">
        <f t="shared" si="137"/>
        <v>0.15</v>
      </c>
      <c r="CD158" s="694">
        <f t="shared" si="137"/>
        <v>0.15</v>
      </c>
      <c r="CE158" s="577">
        <v>0.15</v>
      </c>
      <c r="CF158" s="119">
        <f>CJ158</f>
        <v>0.125</v>
      </c>
      <c r="CG158" s="119">
        <f t="shared" si="124"/>
        <v>0.125</v>
      </c>
      <c r="CH158" s="119">
        <f t="shared" si="124"/>
        <v>0.125</v>
      </c>
      <c r="CI158" s="119">
        <f t="shared" si="124"/>
        <v>0.125</v>
      </c>
      <c r="CJ158" s="17">
        <v>0.125</v>
      </c>
      <c r="CO158" s="17">
        <f t="shared" si="107"/>
        <v>0.125</v>
      </c>
      <c r="CP158" s="17">
        <f t="shared" si="125"/>
        <v>0</v>
      </c>
      <c r="CQ158" s="17">
        <f t="shared" si="125"/>
        <v>0</v>
      </c>
      <c r="CR158" s="17">
        <f t="shared" si="125"/>
        <v>0</v>
      </c>
      <c r="CS158" s="17">
        <f t="shared" si="125"/>
        <v>0</v>
      </c>
      <c r="CT158" s="17">
        <f t="shared" si="108"/>
        <v>0.125</v>
      </c>
      <c r="CU158" s="17">
        <f t="shared" si="126"/>
        <v>0</v>
      </c>
      <c r="CV158" s="17">
        <f t="shared" si="126"/>
        <v>0</v>
      </c>
      <c r="CW158" s="17">
        <f t="shared" si="126"/>
        <v>0</v>
      </c>
      <c r="CX158" s="17">
        <f t="shared" si="126"/>
        <v>0</v>
      </c>
      <c r="CY158" s="17">
        <f t="shared" si="109"/>
        <v>0.125</v>
      </c>
      <c r="CZ158" s="17">
        <f t="shared" si="127"/>
        <v>0</v>
      </c>
      <c r="DA158" s="17">
        <f t="shared" si="127"/>
        <v>0</v>
      </c>
      <c r="DB158" s="17">
        <f t="shared" si="127"/>
        <v>0</v>
      </c>
      <c r="DC158" s="17">
        <f t="shared" si="127"/>
        <v>0</v>
      </c>
      <c r="DD158" s="17">
        <f t="shared" si="110"/>
        <v>0.125</v>
      </c>
      <c r="DE158" s="17">
        <f t="shared" si="128"/>
        <v>0</v>
      </c>
      <c r="DF158" s="17">
        <f t="shared" si="128"/>
        <v>0</v>
      </c>
      <c r="DG158" s="17">
        <f t="shared" si="128"/>
        <v>0</v>
      </c>
      <c r="DH158" s="17">
        <f t="shared" si="128"/>
        <v>0</v>
      </c>
      <c r="DI158" s="17">
        <f t="shared" si="111"/>
        <v>0.125</v>
      </c>
      <c r="DJ158" s="17">
        <f t="shared" si="129"/>
        <v>0</v>
      </c>
      <c r="DK158" s="17">
        <f t="shared" si="129"/>
        <v>0</v>
      </c>
      <c r="DL158" s="17">
        <f t="shared" si="129"/>
        <v>0</v>
      </c>
      <c r="DM158" s="17">
        <f t="shared" si="129"/>
        <v>0</v>
      </c>
      <c r="DN158" s="17">
        <f t="shared" si="112"/>
        <v>0.125</v>
      </c>
      <c r="DO158" s="17">
        <f t="shared" si="130"/>
        <v>0</v>
      </c>
      <c r="DP158" s="17">
        <f t="shared" si="130"/>
        <v>0</v>
      </c>
      <c r="DQ158" s="17">
        <f t="shared" si="130"/>
        <v>0</v>
      </c>
      <c r="DR158" s="17">
        <f t="shared" si="130"/>
        <v>0</v>
      </c>
      <c r="DS158" s="17">
        <f t="shared" si="113"/>
        <v>0.125</v>
      </c>
      <c r="DT158" s="17">
        <f t="shared" si="131"/>
        <v>0</v>
      </c>
      <c r="DU158" s="17">
        <f t="shared" si="131"/>
        <v>0</v>
      </c>
      <c r="DV158" s="17">
        <f t="shared" si="131"/>
        <v>0</v>
      </c>
      <c r="DW158" s="17">
        <f t="shared" si="131"/>
        <v>0</v>
      </c>
      <c r="DX158" s="17">
        <f t="shared" si="114"/>
        <v>0.125</v>
      </c>
      <c r="DY158" s="17">
        <f t="shared" si="132"/>
        <v>0</v>
      </c>
      <c r="DZ158" s="17">
        <f t="shared" si="132"/>
        <v>0</v>
      </c>
      <c r="EA158" s="17">
        <f t="shared" si="132"/>
        <v>0</v>
      </c>
      <c r="EB158" s="17">
        <f t="shared" si="132"/>
        <v>0</v>
      </c>
      <c r="EC158" s="17">
        <f t="shared" si="115"/>
        <v>0.125</v>
      </c>
      <c r="ED158" s="17">
        <f t="shared" si="133"/>
        <v>0</v>
      </c>
      <c r="EE158" s="17">
        <f t="shared" si="133"/>
        <v>0</v>
      </c>
      <c r="EF158" s="17">
        <f t="shared" si="133"/>
        <v>0</v>
      </c>
      <c r="EG158" s="17">
        <f t="shared" si="133"/>
        <v>0</v>
      </c>
      <c r="EH158" s="17">
        <f t="shared" si="116"/>
        <v>0.125</v>
      </c>
      <c r="EI158" s="17">
        <f t="shared" si="134"/>
        <v>0</v>
      </c>
      <c r="EJ158" s="17">
        <f t="shared" si="134"/>
        <v>0</v>
      </c>
      <c r="EK158" s="17">
        <f t="shared" si="134"/>
        <v>0</v>
      </c>
      <c r="EL158" s="17">
        <f t="shared" si="134"/>
        <v>0</v>
      </c>
      <c r="EM158" s="17">
        <f t="shared" si="117"/>
        <v>0.125</v>
      </c>
      <c r="EN158" s="17">
        <f t="shared" si="135"/>
        <v>0</v>
      </c>
      <c r="EO158" s="17">
        <f t="shared" si="135"/>
        <v>0</v>
      </c>
      <c r="EP158" s="17">
        <f t="shared" si="135"/>
        <v>0</v>
      </c>
      <c r="EQ158" s="17">
        <f t="shared" si="135"/>
        <v>0</v>
      </c>
      <c r="ER158" s="17">
        <f t="shared" si="118"/>
        <v>0.125</v>
      </c>
    </row>
    <row r="159" spans="2:148" s="696" customFormat="1">
      <c r="B159" s="408" t="str">
        <f>B43</f>
        <v>GS-9883 / emtricitabine / TAF</v>
      </c>
      <c r="AV159" s="17"/>
      <c r="BF159" s="577"/>
      <c r="BG159" s="577"/>
      <c r="BH159" s="17"/>
      <c r="BI159" s="17"/>
      <c r="BJ159" s="17"/>
      <c r="BK159" s="577"/>
      <c r="BL159" s="119"/>
      <c r="BM159" s="119"/>
      <c r="BN159" s="119"/>
      <c r="BO159" s="119"/>
      <c r="BP159" s="17"/>
      <c r="BQ159" s="119"/>
      <c r="BR159" s="119"/>
      <c r="BS159" s="119"/>
      <c r="BT159" s="119"/>
      <c r="BU159" s="17"/>
      <c r="BV159" s="694"/>
      <c r="BW159" s="694">
        <f>BX159</f>
        <v>0.155</v>
      </c>
      <c r="BX159" s="694">
        <f>BZ159</f>
        <v>0.155</v>
      </c>
      <c r="BY159" s="694">
        <f>BZ159</f>
        <v>0.155</v>
      </c>
      <c r="BZ159" s="577">
        <f>BZ152</f>
        <v>0.155</v>
      </c>
      <c r="CA159" s="694">
        <f t="shared" si="101"/>
        <v>0.15</v>
      </c>
      <c r="CB159" s="694">
        <f t="shared" ref="CB159:CD159" si="138">CA159</f>
        <v>0.15</v>
      </c>
      <c r="CC159" s="694">
        <f t="shared" si="138"/>
        <v>0.15</v>
      </c>
      <c r="CD159" s="694">
        <f t="shared" si="138"/>
        <v>0.15</v>
      </c>
      <c r="CE159" s="577">
        <v>0.15</v>
      </c>
      <c r="CF159" s="119">
        <f>CJ159</f>
        <v>0.125</v>
      </c>
      <c r="CG159" s="119">
        <f t="shared" si="124"/>
        <v>0.125</v>
      </c>
      <c r="CH159" s="119">
        <f t="shared" si="124"/>
        <v>0.125</v>
      </c>
      <c r="CI159" s="119">
        <f t="shared" si="124"/>
        <v>0.125</v>
      </c>
      <c r="CJ159" s="17">
        <v>0.125</v>
      </c>
      <c r="CO159" s="17">
        <f t="shared" si="107"/>
        <v>0.125</v>
      </c>
      <c r="CP159" s="17">
        <f t="shared" si="125"/>
        <v>0</v>
      </c>
      <c r="CQ159" s="17">
        <f t="shared" si="125"/>
        <v>0</v>
      </c>
      <c r="CR159" s="17">
        <f t="shared" si="125"/>
        <v>0</v>
      </c>
      <c r="CS159" s="17">
        <f t="shared" si="125"/>
        <v>0</v>
      </c>
      <c r="CT159" s="17">
        <f t="shared" si="108"/>
        <v>0.125</v>
      </c>
      <c r="CU159" s="17">
        <f t="shared" si="126"/>
        <v>0</v>
      </c>
      <c r="CV159" s="17">
        <f t="shared" si="126"/>
        <v>0</v>
      </c>
      <c r="CW159" s="17">
        <f t="shared" si="126"/>
        <v>0</v>
      </c>
      <c r="CX159" s="17">
        <f t="shared" si="126"/>
        <v>0</v>
      </c>
      <c r="CY159" s="17">
        <f t="shared" si="109"/>
        <v>0.125</v>
      </c>
      <c r="CZ159" s="17">
        <f t="shared" si="127"/>
        <v>0</v>
      </c>
      <c r="DA159" s="17">
        <f t="shared" si="127"/>
        <v>0</v>
      </c>
      <c r="DB159" s="17">
        <f t="shared" si="127"/>
        <v>0</v>
      </c>
      <c r="DC159" s="17">
        <f t="shared" si="127"/>
        <v>0</v>
      </c>
      <c r="DD159" s="17">
        <f t="shared" si="110"/>
        <v>0.125</v>
      </c>
      <c r="DE159" s="17">
        <f t="shared" si="128"/>
        <v>0</v>
      </c>
      <c r="DF159" s="17">
        <f t="shared" si="128"/>
        <v>0</v>
      </c>
      <c r="DG159" s="17">
        <f t="shared" si="128"/>
        <v>0</v>
      </c>
      <c r="DH159" s="17">
        <f t="shared" si="128"/>
        <v>0</v>
      </c>
      <c r="DI159" s="17">
        <f t="shared" si="111"/>
        <v>0.125</v>
      </c>
      <c r="DJ159" s="17">
        <f t="shared" si="129"/>
        <v>0</v>
      </c>
      <c r="DK159" s="17">
        <f t="shared" si="129"/>
        <v>0</v>
      </c>
      <c r="DL159" s="17">
        <f t="shared" si="129"/>
        <v>0</v>
      </c>
      <c r="DM159" s="17">
        <f t="shared" si="129"/>
        <v>0</v>
      </c>
      <c r="DN159" s="17">
        <f t="shared" si="112"/>
        <v>0.125</v>
      </c>
      <c r="DO159" s="17">
        <f t="shared" si="130"/>
        <v>0</v>
      </c>
      <c r="DP159" s="17">
        <f t="shared" si="130"/>
        <v>0</v>
      </c>
      <c r="DQ159" s="17">
        <f t="shared" si="130"/>
        <v>0</v>
      </c>
      <c r="DR159" s="17">
        <f t="shared" si="130"/>
        <v>0</v>
      </c>
      <c r="DS159" s="17">
        <f t="shared" si="113"/>
        <v>0.125</v>
      </c>
      <c r="DT159" s="17">
        <f t="shared" si="131"/>
        <v>0</v>
      </c>
      <c r="DU159" s="17">
        <f t="shared" si="131"/>
        <v>0</v>
      </c>
      <c r="DV159" s="17">
        <f t="shared" si="131"/>
        <v>0</v>
      </c>
      <c r="DW159" s="17">
        <f t="shared" si="131"/>
        <v>0</v>
      </c>
      <c r="DX159" s="17">
        <f t="shared" si="114"/>
        <v>0.125</v>
      </c>
      <c r="DY159" s="17">
        <f t="shared" si="132"/>
        <v>0</v>
      </c>
      <c r="DZ159" s="17">
        <f t="shared" si="132"/>
        <v>0</v>
      </c>
      <c r="EA159" s="17">
        <f t="shared" si="132"/>
        <v>0</v>
      </c>
      <c r="EB159" s="17">
        <f t="shared" si="132"/>
        <v>0</v>
      </c>
      <c r="EC159" s="17">
        <f t="shared" si="115"/>
        <v>0.125</v>
      </c>
      <c r="ED159" s="17">
        <f t="shared" si="133"/>
        <v>0</v>
      </c>
      <c r="EE159" s="17">
        <f t="shared" si="133"/>
        <v>0</v>
      </c>
      <c r="EF159" s="17">
        <f t="shared" si="133"/>
        <v>0</v>
      </c>
      <c r="EG159" s="17">
        <f t="shared" si="133"/>
        <v>0</v>
      </c>
      <c r="EH159" s="17">
        <f t="shared" si="116"/>
        <v>0.125</v>
      </c>
      <c r="EI159" s="17">
        <f t="shared" si="134"/>
        <v>0</v>
      </c>
      <c r="EJ159" s="17">
        <f t="shared" si="134"/>
        <v>0</v>
      </c>
      <c r="EK159" s="17">
        <f t="shared" si="134"/>
        <v>0</v>
      </c>
      <c r="EL159" s="17">
        <f t="shared" si="134"/>
        <v>0</v>
      </c>
      <c r="EM159" s="17">
        <f t="shared" si="117"/>
        <v>0.125</v>
      </c>
      <c r="EN159" s="17">
        <f t="shared" si="135"/>
        <v>0</v>
      </c>
      <c r="EO159" s="17">
        <f t="shared" si="135"/>
        <v>0</v>
      </c>
      <c r="EP159" s="17">
        <f t="shared" si="135"/>
        <v>0</v>
      </c>
      <c r="EQ159" s="17">
        <f t="shared" si="135"/>
        <v>0</v>
      </c>
      <c r="ER159" s="17">
        <f t="shared" si="118"/>
        <v>0.125</v>
      </c>
    </row>
    <row r="160" spans="2:148">
      <c r="B160" s="408" t="str">
        <f>B48</f>
        <v>Harvoni (sofosbuvir / ledipasvir)</v>
      </c>
      <c r="AV160" s="17"/>
      <c r="BF160" s="577"/>
      <c r="BG160" s="577"/>
      <c r="BH160" s="17"/>
      <c r="BI160" s="17"/>
      <c r="BJ160" s="17"/>
      <c r="BK160" s="577"/>
      <c r="BL160" s="119"/>
      <c r="BM160" s="119"/>
      <c r="BN160" s="119">
        <f>BN162</f>
        <v>0.01</v>
      </c>
      <c r="BO160" s="119">
        <f>BO162</f>
        <v>0.01</v>
      </c>
      <c r="BP160" s="17">
        <f>BP162</f>
        <v>0.01</v>
      </c>
      <c r="BQ160" s="119">
        <f>BU160</f>
        <v>0.01</v>
      </c>
      <c r="BR160" s="119">
        <f t="shared" ref="BR160:BT162" si="139">BQ160</f>
        <v>0.01</v>
      </c>
      <c r="BS160" s="119">
        <f t="shared" si="139"/>
        <v>0.01</v>
      </c>
      <c r="BT160" s="119">
        <f t="shared" si="139"/>
        <v>0.01</v>
      </c>
      <c r="BU160" s="119">
        <f>BU162</f>
        <v>0.01</v>
      </c>
      <c r="BV160" s="77">
        <f t="shared" si="97"/>
        <v>8.9999999999999993E-3</v>
      </c>
      <c r="BW160" s="77">
        <f t="shared" si="98"/>
        <v>8.9999999999999993E-3</v>
      </c>
      <c r="BX160" s="77">
        <f t="shared" si="99"/>
        <v>8.9999999999999993E-3</v>
      </c>
      <c r="BY160" s="77">
        <f t="shared" si="100"/>
        <v>8.9999999999999993E-3</v>
      </c>
      <c r="BZ160" s="119">
        <v>8.9999999999999993E-3</v>
      </c>
      <c r="CA160" s="694">
        <f t="shared" si="101"/>
        <v>8.9999999999999993E-3</v>
      </c>
      <c r="CB160" s="694">
        <f t="shared" ref="CB160:CD160" si="140">CA160</f>
        <v>8.9999999999999993E-3</v>
      </c>
      <c r="CC160" s="694">
        <f t="shared" si="140"/>
        <v>8.9999999999999993E-3</v>
      </c>
      <c r="CD160" s="694">
        <f t="shared" si="140"/>
        <v>8.9999999999999993E-3</v>
      </c>
      <c r="CE160" s="119">
        <f t="shared" ref="CE160:CE162" si="141">BZ160</f>
        <v>8.9999999999999993E-3</v>
      </c>
      <c r="CF160" s="694">
        <f t="shared" ref="CF160:CF165" si="142">CJ160</f>
        <v>8.9999999999999993E-3</v>
      </c>
      <c r="CG160" s="694">
        <f t="shared" ref="CG160:CG165" si="143">CJ160</f>
        <v>8.9999999999999993E-3</v>
      </c>
      <c r="CH160" s="694">
        <f t="shared" ref="CH160:CH165" si="144">CJ160</f>
        <v>8.9999999999999993E-3</v>
      </c>
      <c r="CI160" s="694">
        <f t="shared" ref="CI160:CI165" si="145">CJ160</f>
        <v>8.9999999999999993E-3</v>
      </c>
      <c r="CJ160" s="119">
        <f t="shared" ref="CJ160:CJ162" si="146">CE160</f>
        <v>8.9999999999999993E-3</v>
      </c>
      <c r="CO160" s="17">
        <f t="shared" si="107"/>
        <v>8.9999999999999993E-3</v>
      </c>
      <c r="CT160" s="17">
        <f>CO160</f>
        <v>8.9999999999999993E-3</v>
      </c>
      <c r="CY160" s="17">
        <f>CT160</f>
        <v>8.9999999999999993E-3</v>
      </c>
      <c r="DD160" s="17">
        <f>CY160</f>
        <v>8.9999999999999993E-3</v>
      </c>
      <c r="DI160" s="17">
        <f>DD160</f>
        <v>8.9999999999999993E-3</v>
      </c>
      <c r="DN160" s="17">
        <f>DI160</f>
        <v>8.9999999999999993E-3</v>
      </c>
      <c r="DS160" s="17">
        <f>DN160</f>
        <v>8.9999999999999993E-3</v>
      </c>
      <c r="DX160" s="17">
        <f>DS160</f>
        <v>8.9999999999999993E-3</v>
      </c>
      <c r="EC160" s="17">
        <f>DX160</f>
        <v>8.9999999999999993E-3</v>
      </c>
      <c r="EH160" s="17">
        <f>EC160</f>
        <v>8.9999999999999993E-3</v>
      </c>
      <c r="EM160" s="17">
        <f>EH160</f>
        <v>8.9999999999999993E-3</v>
      </c>
      <c r="ER160" s="17">
        <f>EM160</f>
        <v>8.9999999999999993E-3</v>
      </c>
    </row>
    <row r="161" spans="2:148" s="696" customFormat="1">
      <c r="B161" s="408" t="str">
        <f>B53</f>
        <v>Epclusa (sofosbuvir / velpatasvir)</v>
      </c>
      <c r="AV161" s="17"/>
      <c r="BF161" s="577"/>
      <c r="BG161" s="577"/>
      <c r="BH161" s="17"/>
      <c r="BI161" s="17"/>
      <c r="BJ161" s="17"/>
      <c r="BK161" s="577"/>
      <c r="BL161" s="119"/>
      <c r="BM161" s="119"/>
      <c r="BN161" s="119"/>
      <c r="BO161" s="119"/>
      <c r="BP161" s="17"/>
      <c r="BQ161" s="119"/>
      <c r="BR161" s="119"/>
      <c r="BS161" s="119"/>
      <c r="BT161" s="119"/>
      <c r="BU161" s="119"/>
      <c r="BV161" s="694">
        <f>BV160</f>
        <v>8.9999999999999993E-3</v>
      </c>
      <c r="BW161" s="694">
        <f>BZ161</f>
        <v>8.9999999999999993E-3</v>
      </c>
      <c r="BX161" s="694">
        <f>BZ161</f>
        <v>8.9999999999999993E-3</v>
      </c>
      <c r="BY161" s="694">
        <f>BZ161</f>
        <v>8.9999999999999993E-3</v>
      </c>
      <c r="BZ161" s="119">
        <f>BZ160</f>
        <v>8.9999999999999993E-3</v>
      </c>
      <c r="CA161" s="694">
        <f t="shared" si="101"/>
        <v>8.9999999999999993E-3</v>
      </c>
      <c r="CB161" s="694">
        <f t="shared" ref="CB161:CD161" si="147">CA161</f>
        <v>8.9999999999999993E-3</v>
      </c>
      <c r="CC161" s="694">
        <f t="shared" si="147"/>
        <v>8.9999999999999993E-3</v>
      </c>
      <c r="CD161" s="694">
        <f t="shared" si="147"/>
        <v>8.9999999999999993E-3</v>
      </c>
      <c r="CE161" s="119">
        <f t="shared" si="141"/>
        <v>8.9999999999999993E-3</v>
      </c>
      <c r="CF161" s="694">
        <f t="shared" si="142"/>
        <v>8.9999999999999993E-3</v>
      </c>
      <c r="CG161" s="694">
        <f t="shared" si="143"/>
        <v>8.9999999999999993E-3</v>
      </c>
      <c r="CH161" s="694">
        <f t="shared" si="144"/>
        <v>8.9999999999999993E-3</v>
      </c>
      <c r="CI161" s="694">
        <f t="shared" si="145"/>
        <v>8.9999999999999993E-3</v>
      </c>
      <c r="CJ161" s="119">
        <f t="shared" si="146"/>
        <v>8.9999999999999993E-3</v>
      </c>
      <c r="CO161" s="17">
        <f t="shared" si="107"/>
        <v>8.9999999999999993E-3</v>
      </c>
      <c r="CT161" s="17">
        <f>CO161</f>
        <v>8.9999999999999993E-3</v>
      </c>
      <c r="CY161" s="17">
        <f>CT161</f>
        <v>8.9999999999999993E-3</v>
      </c>
      <c r="DD161" s="17">
        <f>CY161</f>
        <v>8.9999999999999993E-3</v>
      </c>
      <c r="DI161" s="17">
        <f>DD161</f>
        <v>8.9999999999999993E-3</v>
      </c>
      <c r="DN161" s="17">
        <f>DI161</f>
        <v>8.9999999999999993E-3</v>
      </c>
      <c r="DS161" s="17">
        <f>DN161</f>
        <v>8.9999999999999993E-3</v>
      </c>
      <c r="DX161" s="17">
        <f>DS161</f>
        <v>8.9999999999999993E-3</v>
      </c>
      <c r="EC161" s="17">
        <f>DX161</f>
        <v>8.9999999999999993E-3</v>
      </c>
      <c r="EH161" s="17">
        <f>EC161</f>
        <v>8.9999999999999993E-3</v>
      </c>
      <c r="EM161" s="17">
        <f>EH161</f>
        <v>8.9999999999999993E-3</v>
      </c>
      <c r="ER161" s="17">
        <f>EM161</f>
        <v>8.9999999999999993E-3</v>
      </c>
    </row>
    <row r="162" spans="2:148">
      <c r="B162" s="408" t="str">
        <f>B58</f>
        <v>Sovaldi (sofosbuvir)</v>
      </c>
      <c r="AL162" s="17"/>
      <c r="AV162" s="17"/>
      <c r="BF162" s="17"/>
      <c r="BG162" s="17"/>
      <c r="BH162" s="17"/>
      <c r="BI162" s="17"/>
      <c r="BJ162" s="577">
        <v>0.1125</v>
      </c>
      <c r="BK162" s="17">
        <f>BJ162</f>
        <v>0.1125</v>
      </c>
      <c r="BL162" s="119">
        <v>0.01</v>
      </c>
      <c r="BM162" s="119">
        <v>0.01</v>
      </c>
      <c r="BN162" s="580">
        <v>0.01</v>
      </c>
      <c r="BO162" s="580">
        <v>0.01</v>
      </c>
      <c r="BP162" s="119">
        <f>AVERAGE(BL162:BO162)</f>
        <v>0.01</v>
      </c>
      <c r="BQ162" s="119">
        <f t="shared" ref="BQ162:BQ171" si="148">BU162</f>
        <v>0.01</v>
      </c>
      <c r="BR162" s="119">
        <f t="shared" si="139"/>
        <v>0.01</v>
      </c>
      <c r="BS162" s="119">
        <f t="shared" si="139"/>
        <v>0.01</v>
      </c>
      <c r="BT162" s="119">
        <f t="shared" si="139"/>
        <v>0.01</v>
      </c>
      <c r="BU162" s="580">
        <v>0.01</v>
      </c>
      <c r="BV162" s="77">
        <f t="shared" si="97"/>
        <v>8.9999999999999993E-3</v>
      </c>
      <c r="BW162" s="77">
        <f t="shared" si="98"/>
        <v>8.9999999999999993E-3</v>
      </c>
      <c r="BX162" s="77">
        <f t="shared" si="99"/>
        <v>8.9999999999999993E-3</v>
      </c>
      <c r="BY162" s="77">
        <f t="shared" si="100"/>
        <v>8.9999999999999993E-3</v>
      </c>
      <c r="BZ162" s="119">
        <f>BZ161</f>
        <v>8.9999999999999993E-3</v>
      </c>
      <c r="CA162" s="694">
        <f t="shared" si="101"/>
        <v>8.9999999999999993E-3</v>
      </c>
      <c r="CB162" s="694">
        <f t="shared" ref="CB162:CD162" si="149">CA162</f>
        <v>8.9999999999999993E-3</v>
      </c>
      <c r="CC162" s="694">
        <f t="shared" si="149"/>
        <v>8.9999999999999993E-3</v>
      </c>
      <c r="CD162" s="694">
        <f t="shared" si="149"/>
        <v>8.9999999999999993E-3</v>
      </c>
      <c r="CE162" s="119">
        <f t="shared" si="141"/>
        <v>8.9999999999999993E-3</v>
      </c>
      <c r="CF162" s="694">
        <f t="shared" si="142"/>
        <v>8.9999999999999993E-3</v>
      </c>
      <c r="CG162" s="694">
        <f t="shared" si="143"/>
        <v>8.9999999999999993E-3</v>
      </c>
      <c r="CH162" s="694">
        <f t="shared" si="144"/>
        <v>8.9999999999999993E-3</v>
      </c>
      <c r="CI162" s="694">
        <f t="shared" si="145"/>
        <v>8.9999999999999993E-3</v>
      </c>
      <c r="CJ162" s="119">
        <f t="shared" si="146"/>
        <v>8.9999999999999993E-3</v>
      </c>
      <c r="CO162" s="17">
        <f t="shared" si="107"/>
        <v>8.9999999999999993E-3</v>
      </c>
      <c r="CT162" s="17">
        <f t="shared" si="108"/>
        <v>8.9999999999999993E-3</v>
      </c>
      <c r="CY162" s="17">
        <f t="shared" si="109"/>
        <v>8.9999999999999993E-3</v>
      </c>
      <c r="DD162" s="17">
        <f t="shared" si="110"/>
        <v>8.9999999999999993E-3</v>
      </c>
      <c r="DI162" s="17">
        <f t="shared" si="111"/>
        <v>8.9999999999999993E-3</v>
      </c>
      <c r="DN162" s="17">
        <f t="shared" si="112"/>
        <v>8.9999999999999993E-3</v>
      </c>
      <c r="DS162" s="17">
        <f t="shared" si="113"/>
        <v>8.9999999999999993E-3</v>
      </c>
      <c r="DX162" s="17">
        <f t="shared" si="114"/>
        <v>8.9999999999999993E-3</v>
      </c>
      <c r="EC162" s="17">
        <f t="shared" si="115"/>
        <v>8.9999999999999993E-3</v>
      </c>
      <c r="EH162" s="17">
        <f t="shared" si="116"/>
        <v>8.9999999999999993E-3</v>
      </c>
      <c r="EM162" s="17">
        <f t="shared" si="117"/>
        <v>8.9999999999999993E-3</v>
      </c>
      <c r="ER162" s="17">
        <f t="shared" si="118"/>
        <v>8.9999999999999993E-3</v>
      </c>
    </row>
    <row r="163" spans="2:148" s="696" customFormat="1">
      <c r="B163" s="408" t="s">
        <v>966</v>
      </c>
      <c r="AL163" s="17"/>
      <c r="AV163" s="17"/>
      <c r="BF163" s="17"/>
      <c r="BG163" s="17"/>
      <c r="BH163" s="17"/>
      <c r="BI163" s="17"/>
      <c r="BJ163" s="577"/>
      <c r="BK163" s="17"/>
      <c r="BL163" s="119"/>
      <c r="BM163" s="119"/>
      <c r="BN163" s="580"/>
      <c r="BO163" s="580"/>
      <c r="BP163" s="119"/>
      <c r="BQ163" s="119"/>
      <c r="BR163" s="119"/>
      <c r="BS163" s="119"/>
      <c r="BT163" s="119"/>
      <c r="BU163" s="580"/>
      <c r="BV163" s="694"/>
      <c r="BW163" s="694"/>
      <c r="BX163" s="694"/>
      <c r="BY163" s="694"/>
      <c r="BZ163" s="119"/>
      <c r="CA163" s="694"/>
      <c r="CB163" s="694"/>
      <c r="CC163" s="694"/>
      <c r="CD163" s="694">
        <f>CE163</f>
        <v>0.35</v>
      </c>
      <c r="CE163" s="119">
        <v>0.35</v>
      </c>
      <c r="CF163" s="694">
        <f t="shared" si="142"/>
        <v>0.31</v>
      </c>
      <c r="CG163" s="694">
        <f t="shared" si="143"/>
        <v>0.31</v>
      </c>
      <c r="CH163" s="694">
        <f t="shared" si="144"/>
        <v>0.31</v>
      </c>
      <c r="CI163" s="694">
        <f t="shared" si="145"/>
        <v>0.31</v>
      </c>
      <c r="CJ163" s="119">
        <v>0.31</v>
      </c>
      <c r="CO163" s="17">
        <v>0.27</v>
      </c>
      <c r="CT163" s="17">
        <v>0.23</v>
      </c>
      <c r="CY163" s="17">
        <v>0.2</v>
      </c>
      <c r="DD163" s="17">
        <v>0.2</v>
      </c>
      <c r="DI163" s="17">
        <v>0.2</v>
      </c>
      <c r="DN163" s="17">
        <v>0.2</v>
      </c>
      <c r="DS163" s="17">
        <v>0.2</v>
      </c>
      <c r="DX163" s="17">
        <v>0.2</v>
      </c>
      <c r="EC163" s="17">
        <v>0.2</v>
      </c>
      <c r="EH163" s="17">
        <v>0.2</v>
      </c>
      <c r="EM163" s="17">
        <v>0.2</v>
      </c>
      <c r="ER163" s="17">
        <v>0.2</v>
      </c>
    </row>
    <row r="164" spans="2:148" s="696" customFormat="1">
      <c r="B164" s="408" t="s">
        <v>1016</v>
      </c>
      <c r="AL164" s="17"/>
      <c r="AV164" s="17"/>
      <c r="BF164" s="17"/>
      <c r="BG164" s="17"/>
      <c r="BH164" s="17"/>
      <c r="BI164" s="17"/>
      <c r="BJ164" s="577"/>
      <c r="BK164" s="17"/>
      <c r="BL164" s="119"/>
      <c r="BM164" s="119"/>
      <c r="BN164" s="580"/>
      <c r="BO164" s="580"/>
      <c r="BP164" s="119"/>
      <c r="BQ164" s="119"/>
      <c r="BR164" s="119"/>
      <c r="BS164" s="119"/>
      <c r="BT164" s="119"/>
      <c r="BU164" s="580"/>
      <c r="BV164" s="694"/>
      <c r="BW164" s="694"/>
      <c r="BX164" s="694"/>
      <c r="BY164" s="694"/>
      <c r="BZ164" s="119"/>
      <c r="CA164" s="694"/>
      <c r="CB164" s="694"/>
      <c r="CC164" s="694"/>
      <c r="CD164" s="694"/>
      <c r="CE164" s="119">
        <v>0.35</v>
      </c>
      <c r="CF164" s="694">
        <f t="shared" si="142"/>
        <v>0.31</v>
      </c>
      <c r="CG164" s="694">
        <f t="shared" si="143"/>
        <v>0.31</v>
      </c>
      <c r="CH164" s="694">
        <f t="shared" si="144"/>
        <v>0.31</v>
      </c>
      <c r="CI164" s="694">
        <f t="shared" si="145"/>
        <v>0.31</v>
      </c>
      <c r="CJ164" s="119">
        <v>0.31</v>
      </c>
      <c r="CO164" s="17">
        <v>0.27</v>
      </c>
      <c r="CT164" s="17">
        <v>0.23</v>
      </c>
      <c r="CY164" s="17">
        <v>0.2</v>
      </c>
      <c r="DD164" s="17">
        <v>0.2</v>
      </c>
      <c r="DI164" s="17">
        <v>0.2</v>
      </c>
      <c r="DN164" s="17">
        <v>0.2</v>
      </c>
      <c r="DS164" s="17">
        <v>0.2</v>
      </c>
      <c r="DX164" s="17">
        <v>0.2</v>
      </c>
      <c r="EC164" s="17">
        <v>0.2</v>
      </c>
      <c r="EH164" s="17">
        <v>0.2</v>
      </c>
      <c r="EM164" s="17">
        <v>0.2</v>
      </c>
      <c r="ER164" s="17">
        <v>0.2</v>
      </c>
    </row>
    <row r="165" spans="2:148" s="696" customFormat="1">
      <c r="B165" s="408" t="s">
        <v>1017</v>
      </c>
      <c r="AL165" s="17"/>
      <c r="AV165" s="17"/>
      <c r="BF165" s="17"/>
      <c r="BG165" s="17"/>
      <c r="BH165" s="17"/>
      <c r="BI165" s="17"/>
      <c r="BJ165" s="577"/>
      <c r="BK165" s="17"/>
      <c r="BL165" s="119"/>
      <c r="BM165" s="119"/>
      <c r="BN165" s="580"/>
      <c r="BO165" s="580"/>
      <c r="BP165" s="119"/>
      <c r="BQ165" s="119"/>
      <c r="BR165" s="119"/>
      <c r="BS165" s="119"/>
      <c r="BT165" s="119"/>
      <c r="BU165" s="580"/>
      <c r="BV165" s="694"/>
      <c r="BW165" s="694"/>
      <c r="BX165" s="694"/>
      <c r="BY165" s="694"/>
      <c r="BZ165" s="119"/>
      <c r="CA165" s="694"/>
      <c r="CB165" s="694"/>
      <c r="CC165" s="694"/>
      <c r="CD165" s="694"/>
      <c r="CE165" s="119">
        <v>0.35</v>
      </c>
      <c r="CF165" s="694">
        <f t="shared" si="142"/>
        <v>0.31</v>
      </c>
      <c r="CG165" s="694">
        <f t="shared" si="143"/>
        <v>0.31</v>
      </c>
      <c r="CH165" s="694">
        <f t="shared" si="144"/>
        <v>0.31</v>
      </c>
      <c r="CI165" s="694">
        <f t="shared" si="145"/>
        <v>0.31</v>
      </c>
      <c r="CJ165" s="119">
        <v>0.31</v>
      </c>
      <c r="CO165" s="17">
        <v>0.27</v>
      </c>
      <c r="CT165" s="17">
        <v>0.23</v>
      </c>
      <c r="CY165" s="17">
        <v>0.2</v>
      </c>
      <c r="DD165" s="17">
        <v>0.2</v>
      </c>
      <c r="DI165" s="17">
        <v>0.2</v>
      </c>
      <c r="DN165" s="17">
        <v>0.2</v>
      </c>
      <c r="DS165" s="17">
        <v>0.2</v>
      </c>
      <c r="DX165" s="17">
        <v>0.2</v>
      </c>
      <c r="EC165" s="17">
        <v>0.2</v>
      </c>
      <c r="EH165" s="17">
        <v>0.2</v>
      </c>
      <c r="EM165" s="17">
        <v>0.2</v>
      </c>
      <c r="ER165" s="17">
        <v>0.2</v>
      </c>
    </row>
    <row r="166" spans="2:148" s="696" customFormat="1">
      <c r="B166" s="408" t="s">
        <v>1090</v>
      </c>
      <c r="AL166" s="17"/>
      <c r="AV166" s="17"/>
      <c r="BF166" s="17"/>
      <c r="BG166" s="17"/>
      <c r="BH166" s="17"/>
      <c r="BI166" s="17"/>
      <c r="BJ166" s="577"/>
      <c r="BK166" s="17"/>
      <c r="BL166" s="119"/>
      <c r="BM166" s="119"/>
      <c r="BN166" s="580"/>
      <c r="BO166" s="580"/>
      <c r="BP166" s="119"/>
      <c r="BQ166" s="119"/>
      <c r="BR166" s="119"/>
      <c r="BS166" s="119"/>
      <c r="BT166" s="119"/>
      <c r="BU166" s="580"/>
      <c r="BV166" s="694"/>
      <c r="BW166" s="694"/>
      <c r="BX166" s="694"/>
      <c r="BY166" s="694"/>
      <c r="BZ166" s="119"/>
      <c r="CA166" s="694"/>
      <c r="CB166" s="694"/>
      <c r="CC166" s="694"/>
      <c r="CD166" s="694"/>
      <c r="CE166" s="119"/>
      <c r="CF166" s="694"/>
      <c r="CG166" s="694"/>
      <c r="CH166" s="694"/>
      <c r="CI166" s="694"/>
      <c r="CJ166" s="17">
        <v>0.1</v>
      </c>
      <c r="CO166" s="17">
        <f>CJ166</f>
        <v>0.1</v>
      </c>
      <c r="CP166" s="17">
        <f t="shared" ref="CP166:ER166" si="150">CK166</f>
        <v>0</v>
      </c>
      <c r="CQ166" s="17">
        <f t="shared" si="150"/>
        <v>0</v>
      </c>
      <c r="CR166" s="17">
        <f t="shared" si="150"/>
        <v>0</v>
      </c>
      <c r="CS166" s="17">
        <f t="shared" si="150"/>
        <v>0</v>
      </c>
      <c r="CT166" s="17">
        <f t="shared" si="150"/>
        <v>0.1</v>
      </c>
      <c r="CU166" s="17">
        <f t="shared" si="150"/>
        <v>0</v>
      </c>
      <c r="CV166" s="17">
        <f t="shared" si="150"/>
        <v>0</v>
      </c>
      <c r="CW166" s="17">
        <f t="shared" si="150"/>
        <v>0</v>
      </c>
      <c r="CX166" s="17">
        <f t="shared" si="150"/>
        <v>0</v>
      </c>
      <c r="CY166" s="17">
        <f t="shared" si="150"/>
        <v>0.1</v>
      </c>
      <c r="CZ166" s="17">
        <f t="shared" si="150"/>
        <v>0</v>
      </c>
      <c r="DA166" s="17">
        <f t="shared" si="150"/>
        <v>0</v>
      </c>
      <c r="DB166" s="17">
        <f t="shared" si="150"/>
        <v>0</v>
      </c>
      <c r="DC166" s="17">
        <f t="shared" si="150"/>
        <v>0</v>
      </c>
      <c r="DD166" s="17">
        <f t="shared" si="150"/>
        <v>0.1</v>
      </c>
      <c r="DE166" s="17">
        <f t="shared" si="150"/>
        <v>0</v>
      </c>
      <c r="DF166" s="17">
        <f t="shared" si="150"/>
        <v>0</v>
      </c>
      <c r="DG166" s="17">
        <f t="shared" si="150"/>
        <v>0</v>
      </c>
      <c r="DH166" s="17">
        <f t="shared" si="150"/>
        <v>0</v>
      </c>
      <c r="DI166" s="17">
        <f t="shared" si="150"/>
        <v>0.1</v>
      </c>
      <c r="DJ166" s="17">
        <f t="shared" si="150"/>
        <v>0</v>
      </c>
      <c r="DK166" s="17">
        <f t="shared" si="150"/>
        <v>0</v>
      </c>
      <c r="DL166" s="17">
        <f t="shared" si="150"/>
        <v>0</v>
      </c>
      <c r="DM166" s="17">
        <f t="shared" si="150"/>
        <v>0</v>
      </c>
      <c r="DN166" s="17">
        <f t="shared" si="150"/>
        <v>0.1</v>
      </c>
      <c r="DO166" s="17">
        <f t="shared" si="150"/>
        <v>0</v>
      </c>
      <c r="DP166" s="17">
        <f t="shared" si="150"/>
        <v>0</v>
      </c>
      <c r="DQ166" s="17">
        <f t="shared" si="150"/>
        <v>0</v>
      </c>
      <c r="DR166" s="17">
        <f t="shared" si="150"/>
        <v>0</v>
      </c>
      <c r="DS166" s="17">
        <f t="shared" si="150"/>
        <v>0.1</v>
      </c>
      <c r="DT166" s="17">
        <f t="shared" si="150"/>
        <v>0</v>
      </c>
      <c r="DU166" s="17">
        <f t="shared" si="150"/>
        <v>0</v>
      </c>
      <c r="DV166" s="17">
        <f t="shared" si="150"/>
        <v>0</v>
      </c>
      <c r="DW166" s="17">
        <f t="shared" si="150"/>
        <v>0</v>
      </c>
      <c r="DX166" s="17">
        <f t="shared" si="150"/>
        <v>0.1</v>
      </c>
      <c r="DY166" s="17">
        <f t="shared" si="150"/>
        <v>0</v>
      </c>
      <c r="DZ166" s="17">
        <f t="shared" si="150"/>
        <v>0</v>
      </c>
      <c r="EA166" s="17">
        <f t="shared" si="150"/>
        <v>0</v>
      </c>
      <c r="EB166" s="17">
        <f t="shared" si="150"/>
        <v>0</v>
      </c>
      <c r="EC166" s="17">
        <f t="shared" si="150"/>
        <v>0.1</v>
      </c>
      <c r="ED166" s="17">
        <f t="shared" si="150"/>
        <v>0</v>
      </c>
      <c r="EE166" s="17">
        <f t="shared" si="150"/>
        <v>0</v>
      </c>
      <c r="EF166" s="17">
        <f t="shared" si="150"/>
        <v>0</v>
      </c>
      <c r="EG166" s="17">
        <f t="shared" si="150"/>
        <v>0</v>
      </c>
      <c r="EH166" s="17">
        <f t="shared" si="150"/>
        <v>0.1</v>
      </c>
      <c r="EI166" s="17">
        <f t="shared" si="150"/>
        <v>0</v>
      </c>
      <c r="EJ166" s="17">
        <f t="shared" si="150"/>
        <v>0</v>
      </c>
      <c r="EK166" s="17">
        <f t="shared" si="150"/>
        <v>0</v>
      </c>
      <c r="EL166" s="17">
        <f t="shared" si="150"/>
        <v>0</v>
      </c>
      <c r="EM166" s="17">
        <f t="shared" si="150"/>
        <v>0.1</v>
      </c>
      <c r="EN166" s="17">
        <f t="shared" si="150"/>
        <v>0</v>
      </c>
      <c r="EO166" s="17">
        <f t="shared" si="150"/>
        <v>0</v>
      </c>
      <c r="EP166" s="17">
        <f t="shared" si="150"/>
        <v>0</v>
      </c>
      <c r="EQ166" s="17">
        <f t="shared" si="150"/>
        <v>0</v>
      </c>
      <c r="ER166" s="17">
        <f t="shared" si="150"/>
        <v>0.1</v>
      </c>
    </row>
    <row r="167" spans="2:148">
      <c r="B167" s="408" t="str">
        <f>B112</f>
        <v>Letairis (US Only - Patent Expiration 2018)</v>
      </c>
      <c r="AG167" s="577">
        <v>0.15</v>
      </c>
      <c r="AL167" s="17">
        <f>AG167</f>
        <v>0.15</v>
      </c>
      <c r="AQ167" s="17">
        <f>AL167</f>
        <v>0.15</v>
      </c>
      <c r="AV167" s="17">
        <f>AQ167</f>
        <v>0.15</v>
      </c>
      <c r="BA167" s="17">
        <f>AV167</f>
        <v>0.15</v>
      </c>
      <c r="BF167" s="17">
        <f>BA167</f>
        <v>0.15</v>
      </c>
      <c r="BG167" s="17">
        <f>BF167</f>
        <v>0.15</v>
      </c>
      <c r="BH167" s="17">
        <f t="shared" si="95"/>
        <v>0.15</v>
      </c>
      <c r="BI167" s="17">
        <f t="shared" si="95"/>
        <v>0.15</v>
      </c>
      <c r="BJ167" s="17">
        <f t="shared" si="95"/>
        <v>0.15</v>
      </c>
      <c r="BK167" s="17">
        <f>BJ167</f>
        <v>0.15</v>
      </c>
      <c r="BL167" s="119">
        <f>BP167</f>
        <v>0.15</v>
      </c>
      <c r="BM167" s="119">
        <f>BL167</f>
        <v>0.15</v>
      </c>
      <c r="BN167" s="119">
        <f>BM167</f>
        <v>0.15</v>
      </c>
      <c r="BO167" s="119">
        <f>BN167</f>
        <v>0.15</v>
      </c>
      <c r="BP167" s="17">
        <f>BK167</f>
        <v>0.15</v>
      </c>
      <c r="BQ167" s="119">
        <f t="shared" si="148"/>
        <v>0.15</v>
      </c>
      <c r="BR167" s="119">
        <f t="shared" ref="BR167:BT171" si="151">BQ167</f>
        <v>0.15</v>
      </c>
      <c r="BS167" s="119">
        <f t="shared" si="151"/>
        <v>0.15</v>
      </c>
      <c r="BT167" s="119">
        <f t="shared" si="151"/>
        <v>0.15</v>
      </c>
      <c r="BU167" s="17">
        <f>BP167</f>
        <v>0.15</v>
      </c>
      <c r="BV167" s="77">
        <f t="shared" si="97"/>
        <v>0.15</v>
      </c>
      <c r="BW167" s="77">
        <f t="shared" si="98"/>
        <v>0.15</v>
      </c>
      <c r="BX167" s="77">
        <f t="shared" si="99"/>
        <v>0.15</v>
      </c>
      <c r="BY167" s="77">
        <f t="shared" si="100"/>
        <v>0.15</v>
      </c>
      <c r="BZ167" s="17">
        <f>BU167</f>
        <v>0.15</v>
      </c>
      <c r="CA167" s="694">
        <f t="shared" si="101"/>
        <v>0.15</v>
      </c>
      <c r="CB167" s="694">
        <f t="shared" ref="CB167:CD167" si="152">CA167</f>
        <v>0.15</v>
      </c>
      <c r="CC167" s="694">
        <f t="shared" si="152"/>
        <v>0.15</v>
      </c>
      <c r="CD167" s="694">
        <f t="shared" si="152"/>
        <v>0.15</v>
      </c>
      <c r="CE167" s="17">
        <f t="shared" ref="CE167:CE171" si="153">BZ167</f>
        <v>0.15</v>
      </c>
      <c r="CF167" s="694">
        <f t="shared" ref="CF167:CF173" si="154">CJ167</f>
        <v>0.15</v>
      </c>
      <c r="CG167" s="694">
        <f t="shared" ref="CG167:CG173" si="155">CJ167</f>
        <v>0.15</v>
      </c>
      <c r="CH167" s="694">
        <f t="shared" ref="CH167:CH173" si="156">CJ167</f>
        <v>0.15</v>
      </c>
      <c r="CI167" s="694">
        <f t="shared" ref="CI167:CI173" si="157">CJ167</f>
        <v>0.15</v>
      </c>
      <c r="CJ167" s="17">
        <f t="shared" ref="CJ167:CJ171" si="158">CE167</f>
        <v>0.15</v>
      </c>
      <c r="CO167" s="17">
        <f t="shared" ref="CO167:CO172" si="159">CJ167</f>
        <v>0.15</v>
      </c>
      <c r="CT167" s="17">
        <f t="shared" ref="CT167:CT172" si="160">CO167</f>
        <v>0.15</v>
      </c>
      <c r="CY167" s="17">
        <f t="shared" si="109"/>
        <v>0.15</v>
      </c>
      <c r="DD167" s="17">
        <f t="shared" si="110"/>
        <v>0.15</v>
      </c>
      <c r="DI167" s="17">
        <f t="shared" si="111"/>
        <v>0.15</v>
      </c>
      <c r="DN167" s="17">
        <f t="shared" si="112"/>
        <v>0.15</v>
      </c>
      <c r="DS167" s="17">
        <f t="shared" si="113"/>
        <v>0.15</v>
      </c>
      <c r="DX167" s="17">
        <f t="shared" si="114"/>
        <v>0.15</v>
      </c>
      <c r="EC167" s="17">
        <f t="shared" si="115"/>
        <v>0.15</v>
      </c>
      <c r="EH167" s="17">
        <f t="shared" si="116"/>
        <v>0.15</v>
      </c>
      <c r="EM167" s="17">
        <f t="shared" si="117"/>
        <v>0.15</v>
      </c>
      <c r="ER167" s="17">
        <f t="shared" si="118"/>
        <v>0.15</v>
      </c>
    </row>
    <row r="168" spans="2:148">
      <c r="B168" s="408" t="str">
        <f>B115</f>
        <v>Ranexa (US Only - Patent Expiration 2019)</v>
      </c>
      <c r="AQ168" s="577">
        <v>0.28000000000000003</v>
      </c>
      <c r="AV168" s="577">
        <v>0.20849999999999999</v>
      </c>
      <c r="BA168" s="17">
        <f>AV168</f>
        <v>0.20849999999999999</v>
      </c>
      <c r="BF168" s="17">
        <f>BA168</f>
        <v>0.20849999999999999</v>
      </c>
      <c r="BG168" s="17">
        <f>BF168</f>
        <v>0.20849999999999999</v>
      </c>
      <c r="BH168" s="17">
        <f t="shared" si="95"/>
        <v>0.20849999999999999</v>
      </c>
      <c r="BI168" s="17">
        <f t="shared" si="95"/>
        <v>0.20849999999999999</v>
      </c>
      <c r="BJ168" s="17">
        <f t="shared" si="95"/>
        <v>0.20849999999999999</v>
      </c>
      <c r="BK168" s="17">
        <f>BJ168</f>
        <v>0.20849999999999999</v>
      </c>
      <c r="BL168" s="119">
        <f>BP168</f>
        <v>0.20849999999999999</v>
      </c>
      <c r="BM168" s="119">
        <f t="shared" ref="BM168:BO171" si="161">BL168</f>
        <v>0.20849999999999999</v>
      </c>
      <c r="BN168" s="119">
        <f t="shared" si="161"/>
        <v>0.20849999999999999</v>
      </c>
      <c r="BO168" s="119">
        <f t="shared" si="161"/>
        <v>0.20849999999999999</v>
      </c>
      <c r="BP168" s="17">
        <f>BK168</f>
        <v>0.20849999999999999</v>
      </c>
      <c r="BQ168" s="119">
        <f t="shared" si="148"/>
        <v>0.20849999999999999</v>
      </c>
      <c r="BR168" s="119">
        <f t="shared" si="151"/>
        <v>0.20849999999999999</v>
      </c>
      <c r="BS168" s="119">
        <f t="shared" si="151"/>
        <v>0.20849999999999999</v>
      </c>
      <c r="BT168" s="119">
        <f t="shared" si="151"/>
        <v>0.20849999999999999</v>
      </c>
      <c r="BU168" s="17">
        <f>BP168</f>
        <v>0.20849999999999999</v>
      </c>
      <c r="BV168" s="77">
        <f t="shared" si="97"/>
        <v>0.20849999999999999</v>
      </c>
      <c r="BW168" s="77">
        <f t="shared" si="98"/>
        <v>0.20849999999999999</v>
      </c>
      <c r="BX168" s="77">
        <f t="shared" si="99"/>
        <v>0.20849999999999999</v>
      </c>
      <c r="BY168" s="77">
        <f t="shared" si="100"/>
        <v>0.20849999999999999</v>
      </c>
      <c r="BZ168" s="17">
        <f>BU168</f>
        <v>0.20849999999999999</v>
      </c>
      <c r="CA168" s="694">
        <f t="shared" si="101"/>
        <v>0.20849999999999999</v>
      </c>
      <c r="CB168" s="694">
        <f t="shared" ref="CB168:CD168" si="162">CA168</f>
        <v>0.20849999999999999</v>
      </c>
      <c r="CC168" s="694">
        <f t="shared" si="162"/>
        <v>0.20849999999999999</v>
      </c>
      <c r="CD168" s="694">
        <f t="shared" si="162"/>
        <v>0.20849999999999999</v>
      </c>
      <c r="CE168" s="17">
        <f t="shared" si="153"/>
        <v>0.20849999999999999</v>
      </c>
      <c r="CF168" s="694">
        <f t="shared" si="154"/>
        <v>0.20849999999999999</v>
      </c>
      <c r="CG168" s="694">
        <f t="shared" si="155"/>
        <v>0.20849999999999999</v>
      </c>
      <c r="CH168" s="694">
        <f t="shared" si="156"/>
        <v>0.20849999999999999</v>
      </c>
      <c r="CI168" s="694">
        <f t="shared" si="157"/>
        <v>0.20849999999999999</v>
      </c>
      <c r="CJ168" s="17">
        <f t="shared" si="158"/>
        <v>0.20849999999999999</v>
      </c>
      <c r="CO168" s="17">
        <f t="shared" si="159"/>
        <v>0.20849999999999999</v>
      </c>
      <c r="CT168" s="17">
        <f t="shared" si="160"/>
        <v>0.20849999999999999</v>
      </c>
      <c r="CY168" s="17">
        <f t="shared" si="109"/>
        <v>0.20849999999999999</v>
      </c>
      <c r="DD168" s="17">
        <f t="shared" si="110"/>
        <v>0.20849999999999999</v>
      </c>
      <c r="DI168" s="17">
        <f t="shared" si="111"/>
        <v>0.20849999999999999</v>
      </c>
      <c r="DN168" s="17">
        <f t="shared" si="112"/>
        <v>0.20849999999999999</v>
      </c>
      <c r="DS168" s="17">
        <f t="shared" si="113"/>
        <v>0.20849999999999999</v>
      </c>
      <c r="DX168" s="17">
        <f t="shared" si="114"/>
        <v>0.20849999999999999</v>
      </c>
      <c r="EC168" s="17">
        <f t="shared" si="115"/>
        <v>0.20849999999999999</v>
      </c>
      <c r="EH168" s="17">
        <f t="shared" si="116"/>
        <v>0.20849999999999999</v>
      </c>
      <c r="EM168" s="17">
        <f t="shared" si="117"/>
        <v>0.20849999999999999</v>
      </c>
      <c r="ER168" s="17">
        <f t="shared" si="118"/>
        <v>0.20849999999999999</v>
      </c>
    </row>
    <row r="169" spans="2:148">
      <c r="B169" s="408" t="str">
        <f>B118</f>
        <v>AmBisome (US Patent 2016 / EU 2008)</v>
      </c>
      <c r="C169" s="577">
        <v>0.25</v>
      </c>
      <c r="H169" s="17">
        <f>C169</f>
        <v>0.25</v>
      </c>
      <c r="M169" s="17">
        <f>H169</f>
        <v>0.25</v>
      </c>
      <c r="R169" s="17">
        <f>M169</f>
        <v>0.25</v>
      </c>
      <c r="W169" s="17">
        <f>R169</f>
        <v>0.25</v>
      </c>
      <c r="AB169" s="17">
        <f>W169</f>
        <v>0.25</v>
      </c>
      <c r="AG169" s="17">
        <f>AB169</f>
        <v>0.25</v>
      </c>
      <c r="AL169" s="17">
        <f>AG169</f>
        <v>0.25</v>
      </c>
      <c r="AQ169" s="17">
        <f>AL169</f>
        <v>0.25</v>
      </c>
      <c r="AV169" s="17">
        <f>AQ169</f>
        <v>0.25</v>
      </c>
      <c r="BA169" s="17">
        <f>AV169</f>
        <v>0.25</v>
      </c>
      <c r="BF169" s="17">
        <f>BA169</f>
        <v>0.25</v>
      </c>
      <c r="BG169" s="17">
        <f>BF169</f>
        <v>0.25</v>
      </c>
      <c r="BH169" s="17">
        <f t="shared" si="95"/>
        <v>0.25</v>
      </c>
      <c r="BI169" s="17">
        <f t="shared" si="95"/>
        <v>0.25</v>
      </c>
      <c r="BJ169" s="17">
        <f t="shared" si="95"/>
        <v>0.25</v>
      </c>
      <c r="BK169" s="17">
        <f>BJ169</f>
        <v>0.25</v>
      </c>
      <c r="BL169" s="119">
        <f>BP169</f>
        <v>0.25</v>
      </c>
      <c r="BM169" s="119">
        <f t="shared" si="161"/>
        <v>0.25</v>
      </c>
      <c r="BN169" s="119">
        <f t="shared" si="161"/>
        <v>0.25</v>
      </c>
      <c r="BO169" s="119">
        <f t="shared" si="161"/>
        <v>0.25</v>
      </c>
      <c r="BP169" s="17">
        <f>BK169</f>
        <v>0.25</v>
      </c>
      <c r="BQ169" s="119">
        <f t="shared" si="148"/>
        <v>0.25</v>
      </c>
      <c r="BR169" s="119">
        <f t="shared" si="151"/>
        <v>0.25</v>
      </c>
      <c r="BS169" s="119">
        <f t="shared" si="151"/>
        <v>0.25</v>
      </c>
      <c r="BT169" s="119">
        <f t="shared" si="151"/>
        <v>0.25</v>
      </c>
      <c r="BU169" s="17">
        <f>BP169</f>
        <v>0.25</v>
      </c>
      <c r="BV169" s="77">
        <f t="shared" si="97"/>
        <v>0.25</v>
      </c>
      <c r="BW169" s="77">
        <f t="shared" si="98"/>
        <v>0.25</v>
      </c>
      <c r="BX169" s="77">
        <f t="shared" si="99"/>
        <v>0.25</v>
      </c>
      <c r="BY169" s="77">
        <f t="shared" si="100"/>
        <v>0.25</v>
      </c>
      <c r="BZ169" s="17">
        <f>BU169</f>
        <v>0.25</v>
      </c>
      <c r="CA169" s="694">
        <f t="shared" si="101"/>
        <v>0.25</v>
      </c>
      <c r="CB169" s="694">
        <f t="shared" ref="CB169:CD169" si="163">CA169</f>
        <v>0.25</v>
      </c>
      <c r="CC169" s="694">
        <f t="shared" si="163"/>
        <v>0.25</v>
      </c>
      <c r="CD169" s="694">
        <f t="shared" si="163"/>
        <v>0.25</v>
      </c>
      <c r="CE169" s="17">
        <f t="shared" si="153"/>
        <v>0.25</v>
      </c>
      <c r="CF169" s="694">
        <f t="shared" si="154"/>
        <v>0.25</v>
      </c>
      <c r="CG169" s="694">
        <f t="shared" si="155"/>
        <v>0.25</v>
      </c>
      <c r="CH169" s="694">
        <f t="shared" si="156"/>
        <v>0.25</v>
      </c>
      <c r="CI169" s="694">
        <f t="shared" si="157"/>
        <v>0.25</v>
      </c>
      <c r="CJ169" s="17">
        <f t="shared" si="158"/>
        <v>0.25</v>
      </c>
      <c r="CO169" s="17">
        <f t="shared" si="159"/>
        <v>0.25</v>
      </c>
      <c r="CT169" s="17">
        <f t="shared" si="160"/>
        <v>0.25</v>
      </c>
      <c r="CY169" s="17">
        <f t="shared" si="109"/>
        <v>0.25</v>
      </c>
      <c r="DD169" s="17">
        <f t="shared" si="110"/>
        <v>0.25</v>
      </c>
      <c r="DI169" s="17">
        <f t="shared" si="111"/>
        <v>0.25</v>
      </c>
      <c r="DN169" s="17">
        <f t="shared" si="112"/>
        <v>0.25</v>
      </c>
      <c r="DS169" s="17">
        <f t="shared" si="113"/>
        <v>0.25</v>
      </c>
      <c r="DX169" s="17">
        <f t="shared" si="114"/>
        <v>0.25</v>
      </c>
      <c r="EC169" s="17">
        <f t="shared" si="115"/>
        <v>0.25</v>
      </c>
      <c r="EH169" s="17">
        <f t="shared" si="116"/>
        <v>0.25</v>
      </c>
      <c r="EM169" s="17">
        <f t="shared" si="117"/>
        <v>0.25</v>
      </c>
      <c r="ER169" s="17">
        <f t="shared" si="118"/>
        <v>0.25</v>
      </c>
    </row>
    <row r="170" spans="2:148">
      <c r="B170" s="408" t="str">
        <f>B125</f>
        <v>Cayston (US &amp; EU Patents 2021)</v>
      </c>
      <c r="AV170" s="577">
        <v>0.2</v>
      </c>
      <c r="BA170" s="17">
        <f>AV170</f>
        <v>0.2</v>
      </c>
      <c r="BF170" s="17">
        <f>BA170</f>
        <v>0.2</v>
      </c>
      <c r="BG170" s="17">
        <f>BF170</f>
        <v>0.2</v>
      </c>
      <c r="BH170" s="17">
        <f t="shared" si="95"/>
        <v>0.2</v>
      </c>
      <c r="BI170" s="17">
        <f t="shared" si="95"/>
        <v>0.2</v>
      </c>
      <c r="BJ170" s="17">
        <f t="shared" si="95"/>
        <v>0.2</v>
      </c>
      <c r="BK170" s="17">
        <f>BJ170</f>
        <v>0.2</v>
      </c>
      <c r="BL170" s="119">
        <f>BP170</f>
        <v>0.2</v>
      </c>
      <c r="BM170" s="119">
        <f t="shared" si="161"/>
        <v>0.2</v>
      </c>
      <c r="BN170" s="119">
        <f t="shared" si="161"/>
        <v>0.2</v>
      </c>
      <c r="BO170" s="119">
        <f t="shared" si="161"/>
        <v>0.2</v>
      </c>
      <c r="BP170" s="17">
        <f>BK170</f>
        <v>0.2</v>
      </c>
      <c r="BQ170" s="119">
        <f t="shared" si="148"/>
        <v>0.2</v>
      </c>
      <c r="BR170" s="119">
        <f t="shared" si="151"/>
        <v>0.2</v>
      </c>
      <c r="BS170" s="119">
        <f t="shared" si="151"/>
        <v>0.2</v>
      </c>
      <c r="BT170" s="119">
        <f t="shared" si="151"/>
        <v>0.2</v>
      </c>
      <c r="BU170" s="17">
        <f>BP170</f>
        <v>0.2</v>
      </c>
      <c r="BV170" s="77">
        <f t="shared" si="97"/>
        <v>0.2</v>
      </c>
      <c r="BW170" s="77">
        <f t="shared" si="98"/>
        <v>0.2</v>
      </c>
      <c r="BX170" s="77">
        <f t="shared" si="99"/>
        <v>0.2</v>
      </c>
      <c r="BY170" s="77">
        <f t="shared" si="100"/>
        <v>0.2</v>
      </c>
      <c r="BZ170" s="17">
        <f>BU170</f>
        <v>0.2</v>
      </c>
      <c r="CA170" s="694">
        <f t="shared" si="101"/>
        <v>0.2</v>
      </c>
      <c r="CB170" s="694">
        <f t="shared" ref="CB170:CD170" si="164">CA170</f>
        <v>0.2</v>
      </c>
      <c r="CC170" s="694">
        <f t="shared" si="164"/>
        <v>0.2</v>
      </c>
      <c r="CD170" s="694">
        <f t="shared" si="164"/>
        <v>0.2</v>
      </c>
      <c r="CE170" s="17">
        <f t="shared" si="153"/>
        <v>0.2</v>
      </c>
      <c r="CF170" s="694">
        <f t="shared" si="154"/>
        <v>0.2</v>
      </c>
      <c r="CG170" s="694">
        <f t="shared" si="155"/>
        <v>0.2</v>
      </c>
      <c r="CH170" s="694">
        <f t="shared" si="156"/>
        <v>0.2</v>
      </c>
      <c r="CI170" s="694">
        <f t="shared" si="157"/>
        <v>0.2</v>
      </c>
      <c r="CJ170" s="17">
        <f t="shared" si="158"/>
        <v>0.2</v>
      </c>
      <c r="CO170" s="17">
        <f t="shared" si="159"/>
        <v>0.2</v>
      </c>
      <c r="CT170" s="17">
        <f t="shared" si="160"/>
        <v>0.2</v>
      </c>
      <c r="CY170" s="17">
        <f t="shared" si="109"/>
        <v>0.2</v>
      </c>
      <c r="DD170" s="17">
        <f t="shared" si="110"/>
        <v>0.2</v>
      </c>
      <c r="DI170" s="17">
        <f t="shared" si="111"/>
        <v>0.2</v>
      </c>
      <c r="DN170" s="17">
        <f t="shared" si="112"/>
        <v>0.2</v>
      </c>
      <c r="DS170" s="17">
        <f t="shared" si="113"/>
        <v>0.2</v>
      </c>
      <c r="DX170" s="17">
        <f t="shared" si="114"/>
        <v>0.2</v>
      </c>
      <c r="EC170" s="17">
        <f t="shared" si="115"/>
        <v>0.2</v>
      </c>
      <c r="EH170" s="17">
        <f t="shared" si="116"/>
        <v>0.2</v>
      </c>
      <c r="EM170" s="17">
        <f t="shared" si="117"/>
        <v>0.2</v>
      </c>
      <c r="ER170" s="17">
        <f t="shared" si="118"/>
        <v>0.2</v>
      </c>
    </row>
    <row r="171" spans="2:148">
      <c r="B171" s="408" t="str">
        <f>B121</f>
        <v>Zydelig (2025 Expiration)</v>
      </c>
      <c r="BF171" s="17"/>
      <c r="BG171" s="235"/>
      <c r="BL171" s="119">
        <f>BP171</f>
        <v>0.125</v>
      </c>
      <c r="BM171" s="119">
        <f t="shared" si="161"/>
        <v>0.125</v>
      </c>
      <c r="BN171" s="119">
        <f t="shared" si="161"/>
        <v>0.125</v>
      </c>
      <c r="BO171" s="119">
        <f t="shared" si="161"/>
        <v>0.125</v>
      </c>
      <c r="BP171" s="17">
        <v>0.125</v>
      </c>
      <c r="BQ171" s="119">
        <f t="shared" si="148"/>
        <v>0.115</v>
      </c>
      <c r="BR171" s="119">
        <f t="shared" si="151"/>
        <v>0.115</v>
      </c>
      <c r="BS171" s="119">
        <f t="shared" si="151"/>
        <v>0.115</v>
      </c>
      <c r="BT171" s="119">
        <f t="shared" si="151"/>
        <v>0.115</v>
      </c>
      <c r="BU171" s="72">
        <f>BP171-1%</f>
        <v>0.115</v>
      </c>
      <c r="BV171" s="77">
        <f t="shared" si="97"/>
        <v>0.10500000000000001</v>
      </c>
      <c r="BW171" s="77">
        <f t="shared" si="98"/>
        <v>0.10500000000000001</v>
      </c>
      <c r="BX171" s="77">
        <f t="shared" si="99"/>
        <v>0.10500000000000001</v>
      </c>
      <c r="BY171" s="77">
        <f t="shared" si="100"/>
        <v>0.10500000000000001</v>
      </c>
      <c r="BZ171" s="17">
        <f>BU171-1%</f>
        <v>0.10500000000000001</v>
      </c>
      <c r="CA171" s="694">
        <f t="shared" si="101"/>
        <v>0.10500000000000001</v>
      </c>
      <c r="CB171" s="694">
        <f t="shared" ref="CB171:CD171" si="165">CA171</f>
        <v>0.10500000000000001</v>
      </c>
      <c r="CC171" s="694">
        <f t="shared" si="165"/>
        <v>0.10500000000000001</v>
      </c>
      <c r="CD171" s="694">
        <f t="shared" si="165"/>
        <v>0.10500000000000001</v>
      </c>
      <c r="CE171" s="17">
        <f t="shared" si="153"/>
        <v>0.10500000000000001</v>
      </c>
      <c r="CF171" s="694">
        <f t="shared" si="154"/>
        <v>0.10500000000000001</v>
      </c>
      <c r="CG171" s="694">
        <f t="shared" si="155"/>
        <v>0.10500000000000001</v>
      </c>
      <c r="CH171" s="694">
        <f t="shared" si="156"/>
        <v>0.10500000000000001</v>
      </c>
      <c r="CI171" s="694">
        <f t="shared" si="157"/>
        <v>0.10500000000000001</v>
      </c>
      <c r="CJ171" s="17">
        <f t="shared" si="158"/>
        <v>0.10500000000000001</v>
      </c>
      <c r="CO171" s="17">
        <f t="shared" si="159"/>
        <v>0.10500000000000001</v>
      </c>
      <c r="CT171" s="17">
        <f t="shared" si="160"/>
        <v>0.10500000000000001</v>
      </c>
      <c r="CY171" s="17">
        <f t="shared" si="109"/>
        <v>0.10500000000000001</v>
      </c>
      <c r="DD171" s="17">
        <f t="shared" si="110"/>
        <v>0.10500000000000001</v>
      </c>
      <c r="DI171" s="17">
        <f t="shared" si="111"/>
        <v>0.10500000000000001</v>
      </c>
      <c r="DN171" s="17">
        <f t="shared" si="112"/>
        <v>0.10500000000000001</v>
      </c>
      <c r="DS171" s="17">
        <f t="shared" si="113"/>
        <v>0.10500000000000001</v>
      </c>
      <c r="DX171" s="17">
        <f t="shared" si="114"/>
        <v>0.10500000000000001</v>
      </c>
      <c r="EC171" s="17">
        <f t="shared" si="115"/>
        <v>0.10500000000000001</v>
      </c>
      <c r="EH171" s="17">
        <f t="shared" si="116"/>
        <v>0.10500000000000001</v>
      </c>
      <c r="EM171" s="17">
        <f t="shared" si="117"/>
        <v>0.10500000000000001</v>
      </c>
      <c r="ER171" s="17">
        <f t="shared" si="118"/>
        <v>0.10500000000000001</v>
      </c>
    </row>
    <row r="172" spans="2:148">
      <c r="B172" s="408" t="str">
        <f>B128</f>
        <v>Other</v>
      </c>
      <c r="C172" s="578">
        <f>C195/C128</f>
        <v>9.8806561607225674E-2</v>
      </c>
      <c r="H172" s="578">
        <f>H195/H128</f>
        <v>0.10405707946752601</v>
      </c>
      <c r="M172" s="578" t="e">
        <f>M195/M128</f>
        <v>#REF!</v>
      </c>
      <c r="R172" s="578" t="e">
        <f>R195/R128</f>
        <v>#REF!</v>
      </c>
      <c r="W172" s="578" t="e">
        <f>W195/W128</f>
        <v>#REF!</v>
      </c>
      <c r="AB172" s="578" t="e">
        <f>AB195/AB128</f>
        <v>#REF!</v>
      </c>
      <c r="AG172" s="578" t="e">
        <f>AG195/AG128</f>
        <v>#REF!</v>
      </c>
      <c r="AL172" s="578" t="e">
        <f t="shared" ref="AL172:AQ172" si="166">AL195/AL128</f>
        <v>#REF!</v>
      </c>
      <c r="AM172" s="578">
        <f t="shared" si="166"/>
        <v>0</v>
      </c>
      <c r="AN172" s="578">
        <f t="shared" si="166"/>
        <v>0</v>
      </c>
      <c r="AO172" s="578">
        <f t="shared" si="166"/>
        <v>0</v>
      </c>
      <c r="AP172" s="578">
        <f t="shared" si="166"/>
        <v>0</v>
      </c>
      <c r="AQ172" s="578" t="e">
        <f t="shared" si="166"/>
        <v>#REF!</v>
      </c>
      <c r="AV172" s="578" t="e">
        <f>AV195/AV128</f>
        <v>#REF!</v>
      </c>
      <c r="BA172" s="578" t="e">
        <f>BA195/BA128</f>
        <v>#REF!</v>
      </c>
      <c r="BF172" s="578"/>
      <c r="BG172" s="578" t="e">
        <f t="shared" ref="BG172:BK172" si="167">BG195/BG128</f>
        <v>#REF!</v>
      </c>
      <c r="BH172" s="578" t="e">
        <f t="shared" si="167"/>
        <v>#REF!</v>
      </c>
      <c r="BI172" s="578" t="e">
        <f t="shared" si="167"/>
        <v>#REF!</v>
      </c>
      <c r="BJ172" s="578" t="e">
        <f t="shared" si="167"/>
        <v>#REF!</v>
      </c>
      <c r="BK172" s="578">
        <f t="shared" si="167"/>
        <v>3.3424419854963796</v>
      </c>
      <c r="BL172" s="578">
        <f t="shared" ref="BL172:CB172" si="168">BL195/(BL128+BL84)</f>
        <v>-3.4442573632161606</v>
      </c>
      <c r="BM172" s="578">
        <f t="shared" si="168"/>
        <v>-2.0625984882717807</v>
      </c>
      <c r="BN172" s="578">
        <f t="shared" si="168"/>
        <v>-1.4733506054864489</v>
      </c>
      <c r="BO172" s="578">
        <f t="shared" si="168"/>
        <v>-1.6370651411005763</v>
      </c>
      <c r="BP172" s="578">
        <f t="shared" si="168"/>
        <v>-2.0914523226149728</v>
      </c>
      <c r="BQ172" s="578">
        <f t="shared" si="168"/>
        <v>-2.0168863636363672</v>
      </c>
      <c r="BR172" s="578">
        <f t="shared" si="168"/>
        <v>-1.3620000000000019</v>
      </c>
      <c r="BS172" s="578">
        <f t="shared" si="168"/>
        <v>0.58433333333333293</v>
      </c>
      <c r="BT172" s="578">
        <f t="shared" si="168"/>
        <v>8.4374999999115019E-4</v>
      </c>
      <c r="BU172" s="578">
        <f t="shared" si="168"/>
        <v>-0.83166666666667111</v>
      </c>
      <c r="BV172" s="578">
        <f t="shared" si="168"/>
        <v>7.4138392857142881</v>
      </c>
      <c r="BW172" s="578">
        <f t="shared" si="168"/>
        <v>-9.0211749999999959</v>
      </c>
      <c r="BX172" s="578">
        <f t="shared" si="168"/>
        <v>-1.4288157894736888</v>
      </c>
      <c r="BY172" s="578">
        <f t="shared" si="168"/>
        <v>-2.281218749999991</v>
      </c>
      <c r="BZ172" s="578">
        <f t="shared" si="168"/>
        <v>-0.4395542168674676</v>
      </c>
      <c r="CA172" s="578">
        <f t="shared" si="168"/>
        <v>-1.4088500000000006</v>
      </c>
      <c r="CB172" s="578">
        <f t="shared" si="168"/>
        <v>1.0482083333333332</v>
      </c>
      <c r="CC172" s="578">
        <f t="shared" ref="CC172:CD172" si="169">CC195/(CC128+CC84)</f>
        <v>-0.48927678571428784</v>
      </c>
      <c r="CD172" s="578">
        <f t="shared" si="169"/>
        <v>1.2831216216216215</v>
      </c>
      <c r="CE172" s="578">
        <f>CE195/(CE128+CE84)</f>
        <v>0.32153826530612167</v>
      </c>
      <c r="CF172" s="694">
        <f t="shared" si="154"/>
        <v>0</v>
      </c>
      <c r="CG172" s="694">
        <f t="shared" si="155"/>
        <v>0</v>
      </c>
      <c r="CH172" s="694">
        <f t="shared" si="156"/>
        <v>0</v>
      </c>
      <c r="CI172" s="694">
        <f t="shared" si="157"/>
        <v>0</v>
      </c>
      <c r="CJ172" s="17">
        <v>0</v>
      </c>
      <c r="CO172" s="17">
        <f t="shared" si="159"/>
        <v>0</v>
      </c>
      <c r="CT172" s="17">
        <f t="shared" si="160"/>
        <v>0</v>
      </c>
      <c r="CY172" s="17">
        <f t="shared" si="109"/>
        <v>0</v>
      </c>
      <c r="DD172" s="17">
        <f t="shared" si="110"/>
        <v>0</v>
      </c>
      <c r="DI172" s="17">
        <f t="shared" si="111"/>
        <v>0</v>
      </c>
      <c r="DN172" s="17">
        <f t="shared" si="112"/>
        <v>0</v>
      </c>
      <c r="DS172" s="17">
        <f t="shared" si="113"/>
        <v>0</v>
      </c>
      <c r="DX172" s="17">
        <f t="shared" si="114"/>
        <v>0</v>
      </c>
      <c r="EC172" s="17">
        <f t="shared" si="115"/>
        <v>0</v>
      </c>
      <c r="EH172" s="17">
        <f t="shared" si="116"/>
        <v>0</v>
      </c>
      <c r="EM172" s="17">
        <f t="shared" si="117"/>
        <v>0</v>
      </c>
      <c r="ER172" s="17">
        <f t="shared" si="118"/>
        <v>0</v>
      </c>
    </row>
    <row r="173" spans="2:148">
      <c r="B173" s="698" t="s">
        <v>915</v>
      </c>
      <c r="C173" s="17">
        <f>C196/C130</f>
        <v>0.22916688485102374</v>
      </c>
      <c r="H173" s="17">
        <f>H196/H130</f>
        <v>0.16449033804458343</v>
      </c>
      <c r="M173" s="17">
        <f>M196/M130</f>
        <v>0.13390112406303167</v>
      </c>
      <c r="R173" s="17">
        <f>R196/R130</f>
        <v>0.13410453017770529</v>
      </c>
      <c r="W173" s="17">
        <f>W196/W130</f>
        <v>0.1438822438966694</v>
      </c>
      <c r="AB173" s="17">
        <f>AB196/AB130</f>
        <v>0.16323168985866868</v>
      </c>
      <c r="AG173" s="17">
        <f>AG196/AG130</f>
        <v>0.20296185357646165</v>
      </c>
      <c r="AL173" s="17">
        <f>AL196/AL130</f>
        <v>0.21966151641088455</v>
      </c>
      <c r="AQ173" s="17">
        <f>AQ196/AQ130</f>
        <v>0.23648917172168724</v>
      </c>
      <c r="AV173" s="17">
        <f>AV196/AV130</f>
        <v>0.24259379768741776</v>
      </c>
      <c r="BA173" s="17">
        <f>BA196/BA130</f>
        <v>0.25256200077039292</v>
      </c>
      <c r="BF173" s="17">
        <f t="shared" ref="BF173:CA173" si="170">BF196/BF130</f>
        <v>0.25546512262603804</v>
      </c>
      <c r="BG173" s="17">
        <f t="shared" si="170"/>
        <v>0.25541075081217657</v>
      </c>
      <c r="BH173" s="17">
        <f t="shared" si="170"/>
        <v>0.24866245058396069</v>
      </c>
      <c r="BI173" s="17">
        <f t="shared" si="170"/>
        <v>0.24312375053189467</v>
      </c>
      <c r="BJ173" s="17">
        <f t="shared" si="170"/>
        <v>0.25548322648273686</v>
      </c>
      <c r="BK173" s="578">
        <f t="shared" si="170"/>
        <v>0.25068967138653292</v>
      </c>
      <c r="BL173" s="578">
        <f t="shared" si="170"/>
        <v>0.12550528908591999</v>
      </c>
      <c r="BM173" s="578">
        <f t="shared" si="170"/>
        <v>0.11272744453906219</v>
      </c>
      <c r="BN173" s="578">
        <f t="shared" si="170"/>
        <v>0.13121023932141773</v>
      </c>
      <c r="BO173" s="578">
        <f t="shared" si="170"/>
        <v>0.1172826086316882</v>
      </c>
      <c r="BP173" s="578">
        <f t="shared" si="170"/>
        <v>0.12111994888660226</v>
      </c>
      <c r="BQ173" s="578">
        <f t="shared" si="170"/>
        <v>9.101958136394328E-2</v>
      </c>
      <c r="BR173" s="578">
        <f t="shared" si="170"/>
        <v>9.6972680285503321E-2</v>
      </c>
      <c r="BS173" s="578">
        <f t="shared" si="170"/>
        <v>0.10425039581049811</v>
      </c>
      <c r="BT173" s="578">
        <f t="shared" si="170"/>
        <v>0.10191461529313831</v>
      </c>
      <c r="BU173" s="578">
        <f t="shared" si="170"/>
        <v>9.8752760411806792E-2</v>
      </c>
      <c r="BV173" s="578">
        <f t="shared" si="170"/>
        <v>0.12797812784793647</v>
      </c>
      <c r="BW173" s="578">
        <f t="shared" si="170"/>
        <v>8.5348320480982884E-2</v>
      </c>
      <c r="BX173" s="578">
        <f t="shared" si="170"/>
        <v>0.12397029034436191</v>
      </c>
      <c r="BY173" s="578">
        <f t="shared" si="170"/>
        <v>0.11917960088691797</v>
      </c>
      <c r="BZ173" s="578">
        <f t="shared" si="170"/>
        <v>0.1139785664207258</v>
      </c>
      <c r="CA173" s="578">
        <f t="shared" si="170"/>
        <v>0.11651246667712091</v>
      </c>
      <c r="CB173" s="578">
        <f t="shared" ref="CB173:CE173" si="171">CB196/CB130</f>
        <v>0.12659665058189043</v>
      </c>
      <c r="CC173" s="578">
        <f t="shared" si="171"/>
        <v>0.12824117463292722</v>
      </c>
      <c r="CD173" s="578">
        <f t="shared" si="171"/>
        <v>0.16549597395922563</v>
      </c>
      <c r="CE173" s="578">
        <f t="shared" si="171"/>
        <v>0.13334892058296313</v>
      </c>
      <c r="CF173" s="694">
        <f t="shared" si="154"/>
        <v>0.14205396399098913</v>
      </c>
      <c r="CG173" s="694">
        <f t="shared" si="155"/>
        <v>0.14205396399098913</v>
      </c>
      <c r="CH173" s="694">
        <f t="shared" si="156"/>
        <v>0.14205396399098913</v>
      </c>
      <c r="CI173" s="694">
        <f t="shared" si="157"/>
        <v>0.14205396399098913</v>
      </c>
      <c r="CJ173" s="17">
        <f>CJ196/CJ130</f>
        <v>0.14205396399098913</v>
      </c>
      <c r="CO173" s="17">
        <f>CO196/CO130</f>
        <v>0.14345942236676143</v>
      </c>
      <c r="CT173" s="17">
        <f>CT196/CT130</f>
        <v>0.14544445678595272</v>
      </c>
      <c r="CY173" s="17">
        <f>CY196/CY130</f>
        <v>0.14782819055279769</v>
      </c>
      <c r="DD173" s="17">
        <f>DD196/DD130</f>
        <v>0.14412595628050764</v>
      </c>
      <c r="DI173" s="17">
        <f>DI196/DI130</f>
        <v>0.14374766960167176</v>
      </c>
      <c r="DN173" s="17">
        <f>DN196/DN130</f>
        <v>0.14313181654503432</v>
      </c>
      <c r="DS173" s="17">
        <f>DS196/DS130</f>
        <v>0.13686372757740464</v>
      </c>
      <c r="DX173" s="17">
        <f>DX196/DX130</f>
        <v>0.13526272207293841</v>
      </c>
      <c r="EC173" s="17">
        <f>EC196/EC130</f>
        <v>0.13569270735066064</v>
      </c>
      <c r="EH173" s="17">
        <f>EH196/EH130</f>
        <v>0.13602772939321528</v>
      </c>
      <c r="EM173" s="17">
        <f>EM196/EM130</f>
        <v>0.13445077360633484</v>
      </c>
      <c r="ER173" s="17">
        <f>ER196/ER130</f>
        <v>0.13988691852299023</v>
      </c>
    </row>
    <row r="174" spans="2:148">
      <c r="BG174" s="235"/>
      <c r="BZ174" s="235"/>
      <c r="CA174" s="235"/>
      <c r="CB174" s="235"/>
      <c r="CC174" s="235"/>
      <c r="CD174" s="235"/>
    </row>
    <row r="175" spans="2:148">
      <c r="B175" s="408" t="str">
        <f>B151</f>
        <v>Atripla (efavirenz / emtricitibine / TDF)</v>
      </c>
      <c r="AB175" s="116">
        <f>AB151*AB3</f>
        <v>77.189657499999996</v>
      </c>
      <c r="AG175" s="116">
        <f>AG151*AG3</f>
        <v>338.975866</v>
      </c>
      <c r="AL175" s="116">
        <f>AL151*AL3</f>
        <v>590.45685249999997</v>
      </c>
      <c r="AQ175" s="116">
        <f>AQ151*AQ3</f>
        <v>894.48343150000005</v>
      </c>
      <c r="AV175" s="116">
        <f t="shared" ref="AV175:BA175" si="172">AV151*AV3</f>
        <v>1098.9304145000001</v>
      </c>
      <c r="AW175" s="116">
        <f t="shared" si="172"/>
        <v>0</v>
      </c>
      <c r="AX175" s="116">
        <f t="shared" si="172"/>
        <v>0</v>
      </c>
      <c r="AY175" s="116">
        <f t="shared" si="172"/>
        <v>0</v>
      </c>
      <c r="AZ175" s="116">
        <f t="shared" si="172"/>
        <v>0</v>
      </c>
      <c r="BA175" s="116">
        <f t="shared" si="172"/>
        <v>1210.806509</v>
      </c>
      <c r="BF175" s="116">
        <f t="shared" ref="BF175:CE175" si="173">BF151*BF3</f>
        <v>1342.2183665</v>
      </c>
      <c r="BG175" s="116">
        <f t="shared" si="173"/>
        <v>329.3409115</v>
      </c>
      <c r="BH175" s="116">
        <f t="shared" si="173"/>
        <v>352.25955400000004</v>
      </c>
      <c r="BI175" s="116">
        <f t="shared" si="173"/>
        <v>337.82570950000002</v>
      </c>
      <c r="BJ175" s="116">
        <f t="shared" si="173"/>
        <v>350.58407299999999</v>
      </c>
      <c r="BK175" s="116">
        <f t="shared" si="173"/>
        <v>1370.0102479999998</v>
      </c>
      <c r="BL175" s="116">
        <f t="shared" si="173"/>
        <v>292.73754700000001</v>
      </c>
      <c r="BM175" s="116">
        <f t="shared" si="173"/>
        <v>326.95085399999999</v>
      </c>
      <c r="BN175" s="116">
        <f t="shared" si="173"/>
        <v>335.99251849999996</v>
      </c>
      <c r="BO175" s="116">
        <f t="shared" si="173"/>
        <v>347.33749999999998</v>
      </c>
      <c r="BP175" s="116">
        <f t="shared" si="173"/>
        <v>1303.0184194999999</v>
      </c>
      <c r="BQ175" s="116">
        <f t="shared" si="173"/>
        <v>238.917</v>
      </c>
      <c r="BR175" s="116">
        <f t="shared" si="173"/>
        <v>254.541</v>
      </c>
      <c r="BS175" s="116">
        <f t="shared" si="173"/>
        <v>266.25900000000001</v>
      </c>
      <c r="BT175" s="116">
        <f t="shared" si="173"/>
        <v>260.40000000000003</v>
      </c>
      <c r="BU175" s="116">
        <f t="shared" si="173"/>
        <v>1020.1170000000001</v>
      </c>
      <c r="BV175" s="116">
        <f t="shared" si="173"/>
        <v>172.46250000000001</v>
      </c>
      <c r="BW175" s="116">
        <f t="shared" si="173"/>
        <v>171.95150000000001</v>
      </c>
      <c r="BX175" s="116">
        <f t="shared" si="173"/>
        <v>166.07500000000002</v>
      </c>
      <c r="BY175" s="116">
        <f t="shared" si="173"/>
        <v>155.08850000000001</v>
      </c>
      <c r="BZ175" s="116">
        <f t="shared" si="173"/>
        <v>665.57749999999999</v>
      </c>
      <c r="CA175" s="696">
        <f t="shared" si="173"/>
        <v>83.846000000000004</v>
      </c>
      <c r="CB175" s="696">
        <f t="shared" si="173"/>
        <v>88.112499999999997</v>
      </c>
      <c r="CC175" s="696">
        <f t="shared" si="173"/>
        <v>81.4345</v>
      </c>
      <c r="CD175" s="696">
        <f t="shared" si="173"/>
        <v>81.62</v>
      </c>
      <c r="CE175" s="116">
        <f t="shared" si="173"/>
        <v>335.01299999999998</v>
      </c>
      <c r="CF175" s="696">
        <f t="shared" ref="CF175:CI175" si="174">CF151*CF3</f>
        <v>42.06436229508197</v>
      </c>
      <c r="CG175" s="696">
        <f t="shared" si="174"/>
        <v>39.173569672131151</v>
      </c>
      <c r="CH175" s="696">
        <f t="shared" si="174"/>
        <v>34.415881967213117</v>
      </c>
      <c r="CI175" s="696">
        <f t="shared" si="174"/>
        <v>33.426648855352298</v>
      </c>
      <c r="CJ175" s="116">
        <f>CJ151*CJ3</f>
        <v>149.08046278977852</v>
      </c>
      <c r="CO175" s="116">
        <f>CO151*CO3</f>
        <v>90.104839220920752</v>
      </c>
      <c r="CT175" s="116">
        <f>CT151*CT3</f>
        <v>61.513696437732946</v>
      </c>
      <c r="CY175" s="116">
        <f>CY151*CY3</f>
        <v>6.3378440586657003</v>
      </c>
      <c r="DD175" s="116">
        <f>DD151*DD3</f>
        <v>0.66419414767195983</v>
      </c>
      <c r="DI175" s="116">
        <f>DI151*DI3</f>
        <v>7.2503575003925791E-2</v>
      </c>
      <c r="DN175" s="116">
        <f>DN151*DN3</f>
        <v>8.6555253705668505E-3</v>
      </c>
      <c r="DS175" s="116">
        <f>DS151*DS3</f>
        <v>1.2165171338845483E-3</v>
      </c>
      <c r="DX175" s="116">
        <f>DX151*DX3</f>
        <v>2.1277062951773401E-4</v>
      </c>
      <c r="EC175" s="116">
        <f>EC151*EC3</f>
        <v>4.5416379979865024E-5</v>
      </c>
      <c r="EH175" s="116">
        <f>EH151*EH3</f>
        <v>1.1017440188487296E-5</v>
      </c>
      <c r="EM175" s="116">
        <f>EM151*EM3</f>
        <v>2.8557227798899764E-6</v>
      </c>
      <c r="ER175" s="116">
        <f>ER151*ER3</f>
        <v>7.6466539844915999E-7</v>
      </c>
    </row>
    <row r="176" spans="2:148">
      <c r="B176" s="408" t="str">
        <f>B152</f>
        <v>Truvada (emtricitabine / TDF)</v>
      </c>
      <c r="R176" s="116">
        <f>R152*R8</f>
        <v>19.341239999999999</v>
      </c>
      <c r="W176" s="116">
        <f>W152*W8</f>
        <v>105.048365</v>
      </c>
      <c r="AB176" s="116">
        <f>AB152*AB8</f>
        <v>194.669433</v>
      </c>
      <c r="AG176" s="116">
        <f>AG152*AG8</f>
        <v>255.62748465000004</v>
      </c>
      <c r="AL176" s="116">
        <f>AL152*AL8</f>
        <v>338.33393219999999</v>
      </c>
      <c r="AQ176" s="116">
        <f>AQ152*AQ8</f>
        <v>399.84292920000001</v>
      </c>
      <c r="AV176" s="116">
        <f t="shared" ref="AV176:BA176" si="175">AV152*AV8</f>
        <v>425.57522480000006</v>
      </c>
      <c r="AW176" s="116">
        <f t="shared" si="175"/>
        <v>0</v>
      </c>
      <c r="AX176" s="116">
        <f t="shared" si="175"/>
        <v>0</v>
      </c>
      <c r="AY176" s="116">
        <f t="shared" si="175"/>
        <v>0</v>
      </c>
      <c r="AZ176" s="116">
        <f t="shared" si="175"/>
        <v>0</v>
      </c>
      <c r="BA176" s="116">
        <f t="shared" si="175"/>
        <v>518.58918217000007</v>
      </c>
      <c r="BF176" s="116">
        <f t="shared" ref="BF176:CE176" si="176">BF152*BF8</f>
        <v>567.35096850000002</v>
      </c>
      <c r="BG176" s="116">
        <f t="shared" si="176"/>
        <v>110.98835699999999</v>
      </c>
      <c r="BH176" s="116">
        <f t="shared" si="176"/>
        <v>128.0329715</v>
      </c>
      <c r="BI176" s="116">
        <f t="shared" si="176"/>
        <v>128.963842</v>
      </c>
      <c r="BJ176" s="116">
        <f t="shared" si="176"/>
        <v>129.03453299999998</v>
      </c>
      <c r="BK176" s="116">
        <f t="shared" si="176"/>
        <v>486.04450500000002</v>
      </c>
      <c r="BL176" s="116">
        <f t="shared" si="176"/>
        <v>117.75349999999999</v>
      </c>
      <c r="BM176" s="116">
        <f t="shared" si="176"/>
        <v>125.02454999999998</v>
      </c>
      <c r="BN176" s="116">
        <f t="shared" si="176"/>
        <v>135.69537</v>
      </c>
      <c r="BO176" s="116">
        <f t="shared" si="176"/>
        <v>139.035</v>
      </c>
      <c r="BP176" s="116">
        <f t="shared" si="176"/>
        <v>517.63242000000002</v>
      </c>
      <c r="BQ176" s="116">
        <f t="shared" si="176"/>
        <v>119.505</v>
      </c>
      <c r="BR176" s="116">
        <f t="shared" si="176"/>
        <v>131.595</v>
      </c>
      <c r="BS176" s="116">
        <f t="shared" si="176"/>
        <v>139.965</v>
      </c>
      <c r="BT176" s="116">
        <f t="shared" si="176"/>
        <v>145.08000000000001</v>
      </c>
      <c r="BU176" s="116">
        <f t="shared" si="176"/>
        <v>536.14499999999998</v>
      </c>
      <c r="BV176" s="116">
        <f t="shared" si="176"/>
        <v>139.19</v>
      </c>
      <c r="BW176" s="116">
        <f t="shared" si="176"/>
        <v>146.01</v>
      </c>
      <c r="BX176" s="116">
        <f t="shared" si="176"/>
        <v>132.99</v>
      </c>
      <c r="BY176" s="116">
        <f t="shared" si="176"/>
        <v>134.54</v>
      </c>
      <c r="BZ176" s="116">
        <f t="shared" si="176"/>
        <v>552.73</v>
      </c>
      <c r="CA176" s="696">
        <f t="shared" si="176"/>
        <v>110.67</v>
      </c>
      <c r="CB176" s="696">
        <f t="shared" si="176"/>
        <v>125.86</v>
      </c>
      <c r="CC176" s="696">
        <f t="shared" si="176"/>
        <v>125.705</v>
      </c>
      <c r="CD176" s="696">
        <f t="shared" si="176"/>
        <v>123.535</v>
      </c>
      <c r="CE176" s="116">
        <f t="shared" si="176"/>
        <v>485.77</v>
      </c>
      <c r="CF176" s="696">
        <f t="shared" ref="CF176:CI176" si="177">CF152*CF8</f>
        <v>68.469269523390352</v>
      </c>
      <c r="CG176" s="696">
        <f t="shared" si="177"/>
        <v>70.373299344828965</v>
      </c>
      <c r="CH176" s="696">
        <f t="shared" si="177"/>
        <v>71.457905952770915</v>
      </c>
      <c r="CI176" s="696">
        <f t="shared" si="177"/>
        <v>65.96684890435813</v>
      </c>
      <c r="CJ176" s="116">
        <f>CJ152*CJ8</f>
        <v>276.26732372534838</v>
      </c>
      <c r="CO176" s="116">
        <f>CO152*CO8</f>
        <v>259.91150457541471</v>
      </c>
      <c r="CT176" s="116">
        <f>CT152*CT8</f>
        <v>230.62496279991257</v>
      </c>
      <c r="CY176" s="116">
        <f>CY152*CY8</f>
        <v>24.203348185796159</v>
      </c>
      <c r="DD176" s="116">
        <f>DD152*DD8</f>
        <v>0.90042815602228965</v>
      </c>
      <c r="DI176" s="116">
        <f>DI152*DI8</f>
        <v>0.41085124994076055</v>
      </c>
      <c r="DN176" s="116">
        <f>DN152*DN8</f>
        <v>0.20099222306423581</v>
      </c>
      <c r="DS176" s="116">
        <f>DS152*DS8</f>
        <v>9.9916159158319001E-2</v>
      </c>
      <c r="DX176" s="116">
        <f>DX152*DX8</f>
        <v>4.986053582443048E-2</v>
      </c>
      <c r="EC176" s="116">
        <f>EC152*EC8</f>
        <v>2.4908844182351158E-2</v>
      </c>
      <c r="EH176" s="116">
        <f>EH152*EH8</f>
        <v>1.2448813623543916E-2</v>
      </c>
      <c r="EM176" s="116">
        <f>EM152*EM8</f>
        <v>6.2228141346192803E-3</v>
      </c>
      <c r="ER176" s="116">
        <f>ER152*ER8</f>
        <v>3.1109404055828689E-3</v>
      </c>
    </row>
    <row r="177" spans="2:148">
      <c r="B177" s="408" t="str">
        <f>B153</f>
        <v>Viread (TDF)</v>
      </c>
      <c r="C177" s="116">
        <f>C153*C13</f>
        <v>1.5586000000000002</v>
      </c>
      <c r="H177" s="116">
        <f>H153*H13</f>
        <v>22.016962500000002</v>
      </c>
      <c r="M177" s="116">
        <f>M153*M13</f>
        <v>55.231605000000009</v>
      </c>
      <c r="R177" s="116">
        <f>R153*R13</f>
        <v>76.334212499999992</v>
      </c>
      <c r="W177" s="116">
        <f>W153*W13</f>
        <v>75.9313425</v>
      </c>
      <c r="AB177" s="116">
        <f>AB153*AB13</f>
        <v>67.212112500000003</v>
      </c>
      <c r="AG177" s="116">
        <f>AG153*AG13</f>
        <v>59.783977499999992</v>
      </c>
      <c r="AL177" s="116">
        <f>AL153*AL13</f>
        <v>60.565732499999989</v>
      </c>
      <c r="AQ177" s="116">
        <f>AQ153*AQ13</f>
        <v>65.082225000000008</v>
      </c>
      <c r="AV177" s="116">
        <f t="shared" ref="AV177:BA177" si="178">AV153*AV13</f>
        <v>71.3934</v>
      </c>
      <c r="AW177" s="116">
        <f t="shared" si="178"/>
        <v>0</v>
      </c>
      <c r="AX177" s="116">
        <f t="shared" si="178"/>
        <v>0</v>
      </c>
      <c r="AY177" s="116">
        <f t="shared" si="178"/>
        <v>0</v>
      </c>
      <c r="AZ177" s="116">
        <f t="shared" si="178"/>
        <v>0</v>
      </c>
      <c r="BA177" s="116">
        <f t="shared" si="178"/>
        <v>71.942032499999996</v>
      </c>
      <c r="BF177" s="116">
        <f t="shared" ref="BF177:CE177" si="179">BF153*BF13</f>
        <v>82.747957499999998</v>
      </c>
      <c r="BG177" s="116">
        <f t="shared" si="179"/>
        <v>20.507370000000002</v>
      </c>
      <c r="BH177" s="116">
        <f t="shared" si="179"/>
        <v>24.393329999999999</v>
      </c>
      <c r="BI177" s="116">
        <f t="shared" si="179"/>
        <v>22.576612500000003</v>
      </c>
      <c r="BJ177" s="116">
        <f t="shared" si="179"/>
        <v>26.022165000000001</v>
      </c>
      <c r="BK177" s="116">
        <f t="shared" si="179"/>
        <v>93.499477500000012</v>
      </c>
      <c r="BL177" s="116">
        <f t="shared" si="179"/>
        <v>20.535937499999999</v>
      </c>
      <c r="BM177" s="116">
        <f t="shared" si="179"/>
        <v>25.421564999999998</v>
      </c>
      <c r="BN177" s="116">
        <f t="shared" si="179"/>
        <v>26.8746075</v>
      </c>
      <c r="BO177" s="116">
        <f t="shared" si="179"/>
        <v>30.322500000000002</v>
      </c>
      <c r="BP177" s="116">
        <f t="shared" si="179"/>
        <v>103.15461000000002</v>
      </c>
      <c r="BQ177" s="116">
        <f t="shared" si="179"/>
        <v>22.815000000000001</v>
      </c>
      <c r="BR177" s="116">
        <f t="shared" si="179"/>
        <v>26.422499999999999</v>
      </c>
      <c r="BS177" s="116">
        <f t="shared" si="179"/>
        <v>28.9575</v>
      </c>
      <c r="BT177" s="116">
        <f t="shared" si="179"/>
        <v>29.835000000000001</v>
      </c>
      <c r="BU177" s="116">
        <f t="shared" si="179"/>
        <v>108.03</v>
      </c>
      <c r="BV177" s="116">
        <f t="shared" si="179"/>
        <v>26.52</v>
      </c>
      <c r="BW177" s="116">
        <f t="shared" si="179"/>
        <v>27.982500000000002</v>
      </c>
      <c r="BX177" s="116">
        <f t="shared" si="179"/>
        <v>29.5425</v>
      </c>
      <c r="BY177" s="116">
        <f t="shared" si="179"/>
        <v>31.59</v>
      </c>
      <c r="BZ177" s="116">
        <f t="shared" si="179"/>
        <v>115.63500000000001</v>
      </c>
      <c r="CA177" s="696">
        <f t="shared" si="179"/>
        <v>25.35</v>
      </c>
      <c r="CB177" s="696">
        <f t="shared" si="179"/>
        <v>29.25</v>
      </c>
      <c r="CC177" s="696">
        <f t="shared" si="179"/>
        <v>26.715</v>
      </c>
      <c r="CD177" s="696">
        <f t="shared" si="179"/>
        <v>20.67</v>
      </c>
      <c r="CE177" s="116">
        <f t="shared" si="179"/>
        <v>101.985</v>
      </c>
      <c r="CF177" s="696">
        <f t="shared" ref="CF177:CI177" si="180">CF153*CF13</f>
        <v>5.8201530612244898</v>
      </c>
      <c r="CG177" s="696">
        <f t="shared" si="180"/>
        <v>4.5765306122448983</v>
      </c>
      <c r="CH177" s="696">
        <f t="shared" si="180"/>
        <v>2.9966326530612246</v>
      </c>
      <c r="CI177" s="696">
        <f t="shared" si="180"/>
        <v>1.9271575596292843</v>
      </c>
      <c r="CJ177" s="116">
        <f>CJ153*CJ13</f>
        <v>15.320473886159895</v>
      </c>
      <c r="CO177" s="116">
        <f>CO153*CO13</f>
        <v>3.7854975368054955</v>
      </c>
      <c r="CT177" s="116">
        <f>CT153*CT13</f>
        <v>0.45565043225826857</v>
      </c>
      <c r="CY177" s="116">
        <f>CY153*CY13</f>
        <v>9.6354464519160382E-2</v>
      </c>
      <c r="DD177" s="116">
        <f>DD153*DD13</f>
        <v>4.4871800349149719E-2</v>
      </c>
      <c r="DI177" s="116">
        <f>DI153*DI13</f>
        <v>2.9134373195634788E-2</v>
      </c>
      <c r="DN177" s="116">
        <f>DN153*DN13</f>
        <v>2.0175290479081096E-2</v>
      </c>
      <c r="DS177" s="116">
        <f>DS153*DS13</f>
        <v>1.4109297086890488E-2</v>
      </c>
      <c r="DX177" s="116">
        <f>DX153*DX13</f>
        <v>9.8813429932909664E-3</v>
      </c>
      <c r="EC177" s="116">
        <f>EC153*EC13</f>
        <v>6.9217739597043828E-3</v>
      </c>
      <c r="EH177" s="116">
        <f>EH153*EH13</f>
        <v>4.848774194902576E-3</v>
      </c>
      <c r="EM177" s="116">
        <f>EM153*EM13</f>
        <v>3.3966305167560792E-3</v>
      </c>
      <c r="ER177" s="116">
        <f>ER153*ER13</f>
        <v>2.379385491209697E-3</v>
      </c>
    </row>
    <row r="178" spans="2:148">
      <c r="B178" s="408" t="str">
        <f>B154</f>
        <v>Complera/Eviplera (emtricitabine / rilpivirine / TDF)</v>
      </c>
      <c r="BA178" s="116">
        <f>BA154*BA18</f>
        <v>14.336390000000003</v>
      </c>
      <c r="BF178" s="116">
        <f t="shared" ref="BF178:CE178" si="181">BF154*BF18</f>
        <v>126.61400000000002</v>
      </c>
      <c r="BG178" s="116">
        <f t="shared" si="181"/>
        <v>54.829930000000004</v>
      </c>
      <c r="BH178" s="116">
        <f t="shared" si="181"/>
        <v>69.812709999999996</v>
      </c>
      <c r="BI178" s="116">
        <f t="shared" si="181"/>
        <v>77.972320000000011</v>
      </c>
      <c r="BJ178" s="116">
        <f t="shared" si="181"/>
        <v>96.882279999999994</v>
      </c>
      <c r="BK178" s="116">
        <f t="shared" si="181"/>
        <v>299.49723999999998</v>
      </c>
      <c r="BL178" s="116">
        <f t="shared" si="181"/>
        <v>92.771209999999996</v>
      </c>
      <c r="BM178" s="116">
        <f t="shared" si="181"/>
        <v>110.80168</v>
      </c>
      <c r="BN178" s="116">
        <f t="shared" si="181"/>
        <v>122.19731000000002</v>
      </c>
      <c r="BO178" s="116">
        <f t="shared" si="181"/>
        <v>128.76</v>
      </c>
      <c r="BP178" s="116">
        <f t="shared" si="181"/>
        <v>454.53020000000004</v>
      </c>
      <c r="BQ178" s="116">
        <f t="shared" si="181"/>
        <v>118.4</v>
      </c>
      <c r="BR178" s="116">
        <f t="shared" si="181"/>
        <v>135.79</v>
      </c>
      <c r="BS178" s="116">
        <f t="shared" si="181"/>
        <v>133.19999999999999</v>
      </c>
      <c r="BT178" s="116">
        <f t="shared" si="181"/>
        <v>140.6</v>
      </c>
      <c r="BU178" s="116">
        <f t="shared" si="181"/>
        <v>527.99</v>
      </c>
      <c r="BV178" s="116">
        <f t="shared" si="181"/>
        <v>140.97</v>
      </c>
      <c r="BW178" s="116">
        <f t="shared" si="181"/>
        <v>136.16</v>
      </c>
      <c r="BX178" s="116">
        <f t="shared" si="181"/>
        <v>152.07</v>
      </c>
      <c r="BY178" s="116">
        <f t="shared" si="181"/>
        <v>109.89</v>
      </c>
      <c r="BZ178" s="116">
        <f t="shared" si="181"/>
        <v>539.09</v>
      </c>
      <c r="CA178" s="696">
        <f t="shared" si="181"/>
        <v>93.61</v>
      </c>
      <c r="CB178" s="696">
        <f t="shared" si="181"/>
        <v>93.98</v>
      </c>
      <c r="CC178" s="696">
        <f t="shared" si="181"/>
        <v>87.69</v>
      </c>
      <c r="CD178" s="696">
        <f t="shared" si="181"/>
        <v>82.14</v>
      </c>
      <c r="CE178" s="116">
        <f t="shared" si="181"/>
        <v>357.42</v>
      </c>
      <c r="CF178" s="696">
        <f t="shared" ref="CF178:CI178" si="182">CF154*CF18</f>
        <v>69.45254323108766</v>
      </c>
      <c r="CG178" s="696">
        <f t="shared" si="182"/>
        <v>68.035012922195591</v>
      </c>
      <c r="CH178" s="696">
        <f t="shared" si="182"/>
        <v>65.840360690256219</v>
      </c>
      <c r="CI178" s="696">
        <f t="shared" si="182"/>
        <v>60.23241200779092</v>
      </c>
      <c r="CJ178" s="116">
        <f>CJ154*CJ18</f>
        <v>263.56032885133038</v>
      </c>
      <c r="CO178" s="116">
        <f>CO154*CO18</f>
        <v>228.59721203425681</v>
      </c>
      <c r="CT178" s="116">
        <f>CT154*CT18</f>
        <v>212.45023669088113</v>
      </c>
      <c r="CY178" s="116">
        <f>CY154*CY18</f>
        <v>204.51244695530346</v>
      </c>
      <c r="DD178" s="116">
        <f>DD154*DD18</f>
        <v>44.782298478791631</v>
      </c>
      <c r="DI178" s="116">
        <f>DI154*DI18</f>
        <v>11.747446763616612</v>
      </c>
      <c r="DN178" s="116">
        <f>DN154*DN18</f>
        <v>4.0910474986909282</v>
      </c>
      <c r="DS178" s="116">
        <f>DS154*DS18</f>
        <v>0.4415786393523724</v>
      </c>
      <c r="DX178" s="116">
        <f>DX154*DX18</f>
        <v>5.1542552062178726E-2</v>
      </c>
      <c r="EC178" s="116">
        <f>EC154*EC18</f>
        <v>6.9265448825110354E-3</v>
      </c>
      <c r="EH178" s="116">
        <f>EH154*EH18</f>
        <v>1.1282886277043604E-3</v>
      </c>
      <c r="EM178" s="116">
        <f>EM154*EM18</f>
        <v>2.2098860215447408E-4</v>
      </c>
      <c r="ER178" s="116">
        <f>ER154*ER18</f>
        <v>4.9063422654076737E-5</v>
      </c>
    </row>
    <row r="179" spans="2:148">
      <c r="B179" s="408" t="str">
        <f>B155</f>
        <v>Stribild (elvitegravir / emtricitabine / TDF)</v>
      </c>
      <c r="BF179" s="116">
        <f t="shared" ref="BF179:CE179" si="183">BF155*BF23</f>
        <v>18.986880000000003</v>
      </c>
      <c r="BG179" s="116">
        <f t="shared" si="183"/>
        <v>24.419219999999999</v>
      </c>
      <c r="BH179" s="116">
        <f t="shared" si="183"/>
        <v>26.339409999999997</v>
      </c>
      <c r="BI179" s="116">
        <f t="shared" si="183"/>
        <v>38.147545000000001</v>
      </c>
      <c r="BJ179" s="116">
        <f t="shared" si="183"/>
        <v>53.996665</v>
      </c>
      <c r="BK179" s="116">
        <f t="shared" si="183"/>
        <v>142.90284</v>
      </c>
      <c r="BL179" s="116">
        <f t="shared" si="183"/>
        <v>57.046815000000002</v>
      </c>
      <c r="BM179" s="116">
        <f t="shared" si="183"/>
        <v>71.422800000000009</v>
      </c>
      <c r="BN179" s="116">
        <f t="shared" si="183"/>
        <v>86.92927499999999</v>
      </c>
      <c r="BO179" s="116">
        <f t="shared" si="183"/>
        <v>102.02500000000001</v>
      </c>
      <c r="BP179" s="116">
        <f t="shared" si="183"/>
        <v>317.31789000000003</v>
      </c>
      <c r="BQ179" s="116">
        <f t="shared" si="183"/>
        <v>94.34</v>
      </c>
      <c r="BR179" s="116">
        <f t="shared" si="183"/>
        <v>118.45500000000001</v>
      </c>
      <c r="BS179" s="116">
        <f t="shared" si="183"/>
        <v>135.41500000000002</v>
      </c>
      <c r="BT179" s="116">
        <f t="shared" si="183"/>
        <v>135.41500000000002</v>
      </c>
      <c r="BU179" s="116">
        <f t="shared" si="183"/>
        <v>483.625</v>
      </c>
      <c r="BV179" s="116">
        <f t="shared" si="183"/>
        <v>126.405</v>
      </c>
      <c r="BW179" s="116">
        <f t="shared" si="183"/>
        <v>113.685</v>
      </c>
      <c r="BX179" s="116">
        <f t="shared" si="183"/>
        <v>164.565</v>
      </c>
      <c r="BY179" s="116">
        <f t="shared" si="183"/>
        <v>102.55500000000001</v>
      </c>
      <c r="BZ179" s="116">
        <f t="shared" si="183"/>
        <v>507.21000000000004</v>
      </c>
      <c r="CA179" s="696">
        <f t="shared" si="183"/>
        <v>81.885000000000005</v>
      </c>
      <c r="CB179" s="696">
        <f t="shared" si="183"/>
        <v>77.64500000000001</v>
      </c>
      <c r="CC179" s="696">
        <f t="shared" si="183"/>
        <v>60.685000000000002</v>
      </c>
      <c r="CD179" s="696">
        <f t="shared" si="183"/>
        <v>58.830000000000005</v>
      </c>
      <c r="CE179" s="116">
        <f t="shared" si="183"/>
        <v>279.04500000000002</v>
      </c>
      <c r="CF179" s="696">
        <f t="shared" ref="CF179:CI179" si="184">CF155*CF23</f>
        <v>47.772689860504471</v>
      </c>
      <c r="CG179" s="696">
        <f t="shared" si="184"/>
        <v>54.832874177745438</v>
      </c>
      <c r="CH179" s="696">
        <f t="shared" si="184"/>
        <v>41.883586319716869</v>
      </c>
      <c r="CI179" s="696">
        <f t="shared" si="184"/>
        <v>47.912695711651473</v>
      </c>
      <c r="CJ179" s="116">
        <f>CJ155*CJ23</f>
        <v>192.40184606961824</v>
      </c>
      <c r="CO179" s="116">
        <f>CO155*CO23</f>
        <v>146.00249097926138</v>
      </c>
      <c r="CT179" s="116">
        <f>CT155*CT23</f>
        <v>114.91729474123574</v>
      </c>
      <c r="CY179" s="116">
        <f>CY155*CY23</f>
        <v>92.335286795147667</v>
      </c>
      <c r="DD179" s="116">
        <f>DD155*DD23</f>
        <v>86.40230364216994</v>
      </c>
      <c r="DI179" s="116">
        <f>DI155*DI23</f>
        <v>85.849314218149232</v>
      </c>
      <c r="DN179" s="116">
        <f>DN155*DN23</f>
        <v>85.889491877805867</v>
      </c>
      <c r="DS179" s="116">
        <f>DS155*DS23</f>
        <v>85.516468532060287</v>
      </c>
      <c r="DX179" s="116">
        <f>DX155*DX23</f>
        <v>85.229451352077845</v>
      </c>
      <c r="EC179" s="116">
        <f>EC155*EC23</f>
        <v>85.023820571455431</v>
      </c>
      <c r="EH179" s="116">
        <f>EH155*EH23</f>
        <v>77.590808163272072</v>
      </c>
      <c r="EM179" s="116">
        <f>EM155*EM23</f>
        <v>9.8112950997526074</v>
      </c>
      <c r="ER179" s="116">
        <f>ER155*ER23</f>
        <v>1.0894433887242119</v>
      </c>
    </row>
    <row r="180" spans="2:148" s="696" customFormat="1">
      <c r="B180" s="408" t="s">
        <v>842</v>
      </c>
      <c r="BV180" s="696">
        <f t="shared" ref="BV180:DA180" si="185">BV156*BV28</f>
        <v>39.5</v>
      </c>
      <c r="BW180" s="696">
        <f t="shared" si="185"/>
        <v>75.5</v>
      </c>
      <c r="BX180" s="696">
        <f t="shared" si="185"/>
        <v>115.25</v>
      </c>
      <c r="BY180" s="696">
        <f t="shared" si="185"/>
        <v>140.75</v>
      </c>
      <c r="BZ180" s="696">
        <f t="shared" si="185"/>
        <v>371</v>
      </c>
      <c r="CA180" s="696">
        <f t="shared" si="185"/>
        <v>153.80000000000001</v>
      </c>
      <c r="CB180" s="696">
        <f t="shared" si="185"/>
        <v>171.4</v>
      </c>
      <c r="CC180" s="696">
        <f t="shared" si="185"/>
        <v>197.60000000000002</v>
      </c>
      <c r="CD180" s="696">
        <f t="shared" si="185"/>
        <v>212</v>
      </c>
      <c r="CE180" s="696">
        <f t="shared" si="185"/>
        <v>734.80000000000007</v>
      </c>
      <c r="CF180" s="696">
        <f t="shared" ref="CF180:CI180" si="186">CF156*CF28</f>
        <v>196.50315152180755</v>
      </c>
      <c r="CG180" s="696">
        <f t="shared" si="186"/>
        <v>206.27456411382815</v>
      </c>
      <c r="CH180" s="696">
        <f t="shared" si="186"/>
        <v>214.60391143829551</v>
      </c>
      <c r="CI180" s="696">
        <f t="shared" si="186"/>
        <v>222.68389769509272</v>
      </c>
      <c r="CJ180" s="696">
        <f t="shared" si="185"/>
        <v>840.0655247690238</v>
      </c>
      <c r="CK180" s="696">
        <f t="shared" si="185"/>
        <v>0</v>
      </c>
      <c r="CL180" s="696">
        <f t="shared" si="185"/>
        <v>0</v>
      </c>
      <c r="CM180" s="696">
        <f t="shared" si="185"/>
        <v>0</v>
      </c>
      <c r="CN180" s="696">
        <f t="shared" si="185"/>
        <v>0</v>
      </c>
      <c r="CO180" s="696">
        <f t="shared" si="185"/>
        <v>861.09726954375378</v>
      </c>
      <c r="CP180" s="696">
        <f t="shared" si="185"/>
        <v>0</v>
      </c>
      <c r="CQ180" s="696">
        <f t="shared" si="185"/>
        <v>0</v>
      </c>
      <c r="CR180" s="696">
        <f t="shared" si="185"/>
        <v>0</v>
      </c>
      <c r="CS180" s="696">
        <f t="shared" si="185"/>
        <v>0</v>
      </c>
      <c r="CT180" s="696">
        <f t="shared" si="185"/>
        <v>918.63638548457004</v>
      </c>
      <c r="CU180" s="696">
        <f t="shared" si="185"/>
        <v>0</v>
      </c>
      <c r="CV180" s="696">
        <f t="shared" si="185"/>
        <v>0</v>
      </c>
      <c r="CW180" s="696">
        <f t="shared" si="185"/>
        <v>0</v>
      </c>
      <c r="CX180" s="696">
        <f t="shared" si="185"/>
        <v>0</v>
      </c>
      <c r="CY180" s="696">
        <f t="shared" si="185"/>
        <v>745.52322501830133</v>
      </c>
      <c r="CZ180" s="696">
        <f t="shared" si="185"/>
        <v>0</v>
      </c>
      <c r="DA180" s="696">
        <f t="shared" si="185"/>
        <v>0</v>
      </c>
      <c r="DB180" s="696">
        <f t="shared" ref="DB180:EG180" si="187">DB156*DB28</f>
        <v>0</v>
      </c>
      <c r="DC180" s="696">
        <f t="shared" si="187"/>
        <v>0</v>
      </c>
      <c r="DD180" s="696">
        <f t="shared" si="187"/>
        <v>605.53286422409565</v>
      </c>
      <c r="DE180" s="696">
        <f t="shared" si="187"/>
        <v>0</v>
      </c>
      <c r="DF180" s="696">
        <f t="shared" si="187"/>
        <v>0</v>
      </c>
      <c r="DG180" s="696">
        <f t="shared" si="187"/>
        <v>0</v>
      </c>
      <c r="DH180" s="696">
        <f t="shared" si="187"/>
        <v>0</v>
      </c>
      <c r="DI180" s="696">
        <f t="shared" si="187"/>
        <v>539.44062789933491</v>
      </c>
      <c r="DJ180" s="696">
        <f t="shared" si="187"/>
        <v>0</v>
      </c>
      <c r="DK180" s="696">
        <f t="shared" si="187"/>
        <v>0</v>
      </c>
      <c r="DL180" s="696">
        <f t="shared" si="187"/>
        <v>0</v>
      </c>
      <c r="DM180" s="696">
        <f t="shared" si="187"/>
        <v>0</v>
      </c>
      <c r="DN180" s="696">
        <f t="shared" si="187"/>
        <v>513.08035756046922</v>
      </c>
      <c r="DO180" s="696">
        <f t="shared" si="187"/>
        <v>0</v>
      </c>
      <c r="DP180" s="696">
        <f t="shared" si="187"/>
        <v>0</v>
      </c>
      <c r="DQ180" s="696">
        <f t="shared" si="187"/>
        <v>0</v>
      </c>
      <c r="DR180" s="696">
        <f t="shared" si="187"/>
        <v>0</v>
      </c>
      <c r="DS180" s="696">
        <f t="shared" si="187"/>
        <v>488.13219267953929</v>
      </c>
      <c r="DT180" s="696">
        <f t="shared" si="187"/>
        <v>0</v>
      </c>
      <c r="DU180" s="696">
        <f t="shared" si="187"/>
        <v>0</v>
      </c>
      <c r="DV180" s="696">
        <f t="shared" si="187"/>
        <v>0</v>
      </c>
      <c r="DW180" s="696">
        <f t="shared" si="187"/>
        <v>0</v>
      </c>
      <c r="DX180" s="696">
        <f t="shared" si="187"/>
        <v>464.50920760524951</v>
      </c>
      <c r="DY180" s="696">
        <f t="shared" si="187"/>
        <v>0</v>
      </c>
      <c r="DZ180" s="696">
        <f t="shared" si="187"/>
        <v>0</v>
      </c>
      <c r="EA180" s="696">
        <f t="shared" si="187"/>
        <v>0</v>
      </c>
      <c r="EB180" s="696">
        <f t="shared" si="187"/>
        <v>0</v>
      </c>
      <c r="EC180" s="696">
        <f t="shared" si="187"/>
        <v>442.13075939229833</v>
      </c>
      <c r="ED180" s="696">
        <f t="shared" si="187"/>
        <v>0</v>
      </c>
      <c r="EE180" s="696">
        <f t="shared" si="187"/>
        <v>0</v>
      </c>
      <c r="EF180" s="696">
        <f t="shared" si="187"/>
        <v>0</v>
      </c>
      <c r="EG180" s="696">
        <f t="shared" si="187"/>
        <v>0</v>
      </c>
      <c r="EH180" s="696">
        <f t="shared" ref="EH180:ER180" si="188">EH156*EH28</f>
        <v>411.29212849323488</v>
      </c>
      <c r="EI180" s="696">
        <f t="shared" si="188"/>
        <v>0</v>
      </c>
      <c r="EJ180" s="696">
        <f t="shared" si="188"/>
        <v>0</v>
      </c>
      <c r="EK180" s="696">
        <f t="shared" si="188"/>
        <v>0</v>
      </c>
      <c r="EL180" s="696">
        <f t="shared" si="188"/>
        <v>0</v>
      </c>
      <c r="EM180" s="696">
        <f t="shared" si="188"/>
        <v>55.249912721604097</v>
      </c>
      <c r="EN180" s="696">
        <f t="shared" si="188"/>
        <v>0</v>
      </c>
      <c r="EO180" s="696">
        <f t="shared" si="188"/>
        <v>0</v>
      </c>
      <c r="EP180" s="696">
        <f t="shared" si="188"/>
        <v>0</v>
      </c>
      <c r="EQ180" s="696">
        <f t="shared" si="188"/>
        <v>0</v>
      </c>
      <c r="ER180" s="696">
        <f t="shared" si="188"/>
        <v>7.2425447762186552</v>
      </c>
    </row>
    <row r="181" spans="2:148" s="696" customFormat="1">
      <c r="B181" s="408" t="s">
        <v>898</v>
      </c>
      <c r="BV181" s="696">
        <f t="shared" ref="BV181:DA181" si="189">BV157*BV33</f>
        <v>0</v>
      </c>
      <c r="BW181" s="696">
        <f t="shared" si="189"/>
        <v>20.299999999999997</v>
      </c>
      <c r="BX181" s="696">
        <f t="shared" si="189"/>
        <v>36.75</v>
      </c>
      <c r="BY181" s="696">
        <f t="shared" si="189"/>
        <v>54.25</v>
      </c>
      <c r="BZ181" s="696">
        <f t="shared" si="189"/>
        <v>111.3</v>
      </c>
      <c r="CA181" s="696">
        <f t="shared" si="189"/>
        <v>76.045000000000002</v>
      </c>
      <c r="CB181" s="696">
        <f t="shared" si="189"/>
        <v>86.43</v>
      </c>
      <c r="CC181" s="696">
        <f t="shared" si="189"/>
        <v>99.160000000000011</v>
      </c>
      <c r="CD181" s="696">
        <f t="shared" si="189"/>
        <v>108.875</v>
      </c>
      <c r="CE181" s="696">
        <f t="shared" si="189"/>
        <v>370.51000000000005</v>
      </c>
      <c r="CF181" s="696">
        <f t="shared" ref="CF181:CI181" si="190">CF157*CF33</f>
        <v>75.703016728529576</v>
      </c>
      <c r="CG181" s="696">
        <f t="shared" si="190"/>
        <v>89.982295795721953</v>
      </c>
      <c r="CH181" s="696">
        <f t="shared" si="190"/>
        <v>103.38274377668769</v>
      </c>
      <c r="CI181" s="696">
        <f t="shared" si="190"/>
        <v>114.79198572501291</v>
      </c>
      <c r="CJ181" s="696">
        <f t="shared" si="189"/>
        <v>383.86004202595217</v>
      </c>
      <c r="CK181" s="696">
        <f t="shared" si="189"/>
        <v>0</v>
      </c>
      <c r="CL181" s="696">
        <f t="shared" si="189"/>
        <v>0</v>
      </c>
      <c r="CM181" s="696">
        <f t="shared" si="189"/>
        <v>0</v>
      </c>
      <c r="CN181" s="696">
        <f t="shared" si="189"/>
        <v>0</v>
      </c>
      <c r="CO181" s="696">
        <f t="shared" si="189"/>
        <v>500.50223614504716</v>
      </c>
      <c r="CP181" s="696">
        <f t="shared" si="189"/>
        <v>0</v>
      </c>
      <c r="CQ181" s="696">
        <f t="shared" si="189"/>
        <v>0</v>
      </c>
      <c r="CR181" s="696">
        <f t="shared" si="189"/>
        <v>0</v>
      </c>
      <c r="CS181" s="696">
        <f t="shared" si="189"/>
        <v>0</v>
      </c>
      <c r="CT181" s="696">
        <f t="shared" si="189"/>
        <v>583.89529272319908</v>
      </c>
      <c r="CU181" s="696">
        <f t="shared" si="189"/>
        <v>0</v>
      </c>
      <c r="CV181" s="696">
        <f t="shared" si="189"/>
        <v>0</v>
      </c>
      <c r="CW181" s="696">
        <f t="shared" si="189"/>
        <v>0</v>
      </c>
      <c r="CX181" s="696">
        <f t="shared" si="189"/>
        <v>0</v>
      </c>
      <c r="CY181" s="696">
        <f t="shared" si="189"/>
        <v>621.92360905305486</v>
      </c>
      <c r="CZ181" s="696">
        <f t="shared" si="189"/>
        <v>0</v>
      </c>
      <c r="DA181" s="696">
        <f t="shared" si="189"/>
        <v>0</v>
      </c>
      <c r="DB181" s="696">
        <f t="shared" ref="DB181:EG181" si="191">DB157*DB33</f>
        <v>0</v>
      </c>
      <c r="DC181" s="696">
        <f t="shared" si="191"/>
        <v>0</v>
      </c>
      <c r="DD181" s="696">
        <f t="shared" si="191"/>
        <v>664.10863290151383</v>
      </c>
      <c r="DE181" s="696">
        <f t="shared" si="191"/>
        <v>0</v>
      </c>
      <c r="DF181" s="696">
        <f t="shared" si="191"/>
        <v>0</v>
      </c>
      <c r="DG181" s="696">
        <f t="shared" si="191"/>
        <v>0</v>
      </c>
      <c r="DH181" s="696">
        <f t="shared" si="191"/>
        <v>0</v>
      </c>
      <c r="DI181" s="696">
        <f t="shared" si="191"/>
        <v>666.40045283547113</v>
      </c>
      <c r="DJ181" s="696">
        <f t="shared" si="191"/>
        <v>0</v>
      </c>
      <c r="DK181" s="696">
        <f t="shared" si="191"/>
        <v>0</v>
      </c>
      <c r="DL181" s="696">
        <f t="shared" si="191"/>
        <v>0</v>
      </c>
      <c r="DM181" s="696">
        <f t="shared" si="191"/>
        <v>0</v>
      </c>
      <c r="DN181" s="696">
        <f t="shared" si="191"/>
        <v>668.94284072660037</v>
      </c>
      <c r="DO181" s="696">
        <f t="shared" si="191"/>
        <v>0</v>
      </c>
      <c r="DP181" s="696">
        <f t="shared" si="191"/>
        <v>0</v>
      </c>
      <c r="DQ181" s="696">
        <f t="shared" si="191"/>
        <v>0</v>
      </c>
      <c r="DR181" s="696">
        <f t="shared" si="191"/>
        <v>0</v>
      </c>
      <c r="DS181" s="696">
        <f t="shared" si="191"/>
        <v>165.81042145310974</v>
      </c>
      <c r="DT181" s="696">
        <f t="shared" si="191"/>
        <v>0</v>
      </c>
      <c r="DU181" s="696">
        <f t="shared" si="191"/>
        <v>0</v>
      </c>
      <c r="DV181" s="696">
        <f t="shared" si="191"/>
        <v>0</v>
      </c>
      <c r="DW181" s="696">
        <f t="shared" si="191"/>
        <v>0</v>
      </c>
      <c r="DX181" s="696">
        <f t="shared" si="191"/>
        <v>20.974369253047449</v>
      </c>
      <c r="DY181" s="696">
        <f t="shared" si="191"/>
        <v>0</v>
      </c>
      <c r="DZ181" s="696">
        <f t="shared" si="191"/>
        <v>0</v>
      </c>
      <c r="EA181" s="696">
        <f t="shared" si="191"/>
        <v>0</v>
      </c>
      <c r="EB181" s="696">
        <f t="shared" si="191"/>
        <v>0</v>
      </c>
      <c r="EC181" s="696">
        <f t="shared" si="191"/>
        <v>4.1990767159386326</v>
      </c>
      <c r="ED181" s="696">
        <f t="shared" si="191"/>
        <v>0</v>
      </c>
      <c r="EE181" s="696">
        <f t="shared" si="191"/>
        <v>0</v>
      </c>
      <c r="EF181" s="696">
        <f t="shared" si="191"/>
        <v>0</v>
      </c>
      <c r="EG181" s="696">
        <f t="shared" si="191"/>
        <v>0</v>
      </c>
      <c r="EH181" s="696">
        <f t="shared" ref="EH181:ER181" si="192">EH157*EH33</f>
        <v>0.84338694241483625</v>
      </c>
      <c r="EI181" s="696">
        <f t="shared" si="192"/>
        <v>0</v>
      </c>
      <c r="EJ181" s="696">
        <f t="shared" si="192"/>
        <v>0</v>
      </c>
      <c r="EK181" s="696">
        <f t="shared" si="192"/>
        <v>0</v>
      </c>
      <c r="EL181" s="696">
        <f t="shared" si="192"/>
        <v>0</v>
      </c>
      <c r="EM181" s="696">
        <f t="shared" si="192"/>
        <v>0.20732817850013383</v>
      </c>
      <c r="EN181" s="696">
        <f t="shared" si="192"/>
        <v>0</v>
      </c>
      <c r="EO181" s="696">
        <f t="shared" si="192"/>
        <v>0</v>
      </c>
      <c r="EP181" s="696">
        <f t="shared" si="192"/>
        <v>0</v>
      </c>
      <c r="EQ181" s="696">
        <f t="shared" si="192"/>
        <v>0</v>
      </c>
      <c r="ER181" s="696">
        <f t="shared" si="192"/>
        <v>4.2043475608008835E-2</v>
      </c>
    </row>
    <row r="182" spans="2:148" s="696" customFormat="1">
      <c r="B182" s="408" t="s">
        <v>899</v>
      </c>
      <c r="BV182" s="696">
        <f t="shared" ref="BV182:DA182" si="193">BV158*BV38</f>
        <v>0</v>
      </c>
      <c r="BW182" s="696">
        <f t="shared" si="193"/>
        <v>9.4550000000000001</v>
      </c>
      <c r="BX182" s="696">
        <f t="shared" si="193"/>
        <v>13.64</v>
      </c>
      <c r="BY182" s="696">
        <f t="shared" si="193"/>
        <v>23.094999999999999</v>
      </c>
      <c r="BZ182" s="696">
        <f t="shared" si="193"/>
        <v>46.19</v>
      </c>
      <c r="CA182" s="696">
        <f t="shared" si="193"/>
        <v>37.65</v>
      </c>
      <c r="CB182" s="696">
        <f t="shared" si="193"/>
        <v>42.9</v>
      </c>
      <c r="CC182" s="696">
        <f t="shared" si="193"/>
        <v>47.4</v>
      </c>
      <c r="CD182" s="696">
        <f t="shared" si="193"/>
        <v>54.75</v>
      </c>
      <c r="CE182" s="696">
        <f t="shared" si="193"/>
        <v>182.7</v>
      </c>
      <c r="CF182" s="696">
        <f t="shared" ref="CF182:CI182" si="194">CF158*CF38</f>
        <v>48.764114870073158</v>
      </c>
      <c r="CG182" s="696">
        <f t="shared" si="194"/>
        <v>55.068506237247639</v>
      </c>
      <c r="CH182" s="696">
        <f t="shared" si="194"/>
        <v>60.323390502249325</v>
      </c>
      <c r="CI182" s="696">
        <f t="shared" si="194"/>
        <v>66.909661448139616</v>
      </c>
      <c r="CJ182" s="696">
        <f t="shared" si="193"/>
        <v>231.06567305770974</v>
      </c>
      <c r="CK182" s="696">
        <f t="shared" si="193"/>
        <v>0</v>
      </c>
      <c r="CL182" s="696">
        <f t="shared" si="193"/>
        <v>0</v>
      </c>
      <c r="CM182" s="696">
        <f t="shared" si="193"/>
        <v>0</v>
      </c>
      <c r="CN182" s="696">
        <f t="shared" si="193"/>
        <v>0</v>
      </c>
      <c r="CO182" s="696">
        <f t="shared" si="193"/>
        <v>311.44340430372392</v>
      </c>
      <c r="CP182" s="696">
        <f t="shared" si="193"/>
        <v>0</v>
      </c>
      <c r="CQ182" s="696">
        <f t="shared" si="193"/>
        <v>0</v>
      </c>
      <c r="CR182" s="696">
        <f t="shared" si="193"/>
        <v>0</v>
      </c>
      <c r="CS182" s="696">
        <f t="shared" si="193"/>
        <v>0</v>
      </c>
      <c r="CT182" s="696">
        <f t="shared" si="193"/>
        <v>394.8724078871175</v>
      </c>
      <c r="CU182" s="696">
        <f t="shared" si="193"/>
        <v>0</v>
      </c>
      <c r="CV182" s="696">
        <f t="shared" si="193"/>
        <v>0</v>
      </c>
      <c r="CW182" s="696">
        <f t="shared" si="193"/>
        <v>0</v>
      </c>
      <c r="CX182" s="696">
        <f t="shared" si="193"/>
        <v>0</v>
      </c>
      <c r="CY182" s="696">
        <f t="shared" si="193"/>
        <v>455.17410834746244</v>
      </c>
      <c r="CZ182" s="696">
        <f t="shared" si="193"/>
        <v>0</v>
      </c>
      <c r="DA182" s="696">
        <f t="shared" si="193"/>
        <v>0</v>
      </c>
      <c r="DB182" s="696">
        <f t="shared" ref="DB182:EG182" si="195">DB158*DB38</f>
        <v>0</v>
      </c>
      <c r="DC182" s="696">
        <f t="shared" si="195"/>
        <v>0</v>
      </c>
      <c r="DD182" s="696">
        <f t="shared" si="195"/>
        <v>496.69923410308274</v>
      </c>
      <c r="DE182" s="696">
        <f t="shared" si="195"/>
        <v>0</v>
      </c>
      <c r="DF182" s="696">
        <f t="shared" si="195"/>
        <v>0</v>
      </c>
      <c r="DG182" s="696">
        <f t="shared" si="195"/>
        <v>0</v>
      </c>
      <c r="DH182" s="696">
        <f t="shared" si="195"/>
        <v>0</v>
      </c>
      <c r="DI182" s="696">
        <f t="shared" si="195"/>
        <v>511.46643591828644</v>
      </c>
      <c r="DJ182" s="696">
        <f t="shared" si="195"/>
        <v>0</v>
      </c>
      <c r="DK182" s="696">
        <f t="shared" si="195"/>
        <v>0</v>
      </c>
      <c r="DL182" s="696">
        <f t="shared" si="195"/>
        <v>0</v>
      </c>
      <c r="DM182" s="696">
        <f t="shared" si="195"/>
        <v>0</v>
      </c>
      <c r="DN182" s="696">
        <f t="shared" si="195"/>
        <v>526.42039514399528</v>
      </c>
      <c r="DO182" s="696">
        <f t="shared" si="195"/>
        <v>0</v>
      </c>
      <c r="DP182" s="696">
        <f t="shared" si="195"/>
        <v>0</v>
      </c>
      <c r="DQ182" s="696">
        <f t="shared" si="195"/>
        <v>0</v>
      </c>
      <c r="DR182" s="696">
        <f t="shared" si="195"/>
        <v>0</v>
      </c>
      <c r="DS182" s="696">
        <f t="shared" si="195"/>
        <v>116.04518986103579</v>
      </c>
      <c r="DT182" s="696">
        <f t="shared" si="195"/>
        <v>0</v>
      </c>
      <c r="DU182" s="696">
        <f t="shared" si="195"/>
        <v>0</v>
      </c>
      <c r="DV182" s="696">
        <f t="shared" si="195"/>
        <v>0</v>
      </c>
      <c r="DW182" s="696">
        <f t="shared" si="195"/>
        <v>0</v>
      </c>
      <c r="DX182" s="696">
        <f t="shared" si="195"/>
        <v>15.590653564916678</v>
      </c>
      <c r="DY182" s="696">
        <f t="shared" si="195"/>
        <v>0</v>
      </c>
      <c r="DZ182" s="696">
        <f t="shared" si="195"/>
        <v>0</v>
      </c>
      <c r="EA182" s="696">
        <f t="shared" si="195"/>
        <v>0</v>
      </c>
      <c r="EB182" s="696">
        <f t="shared" si="195"/>
        <v>0</v>
      </c>
      <c r="EC182" s="696">
        <f t="shared" si="195"/>
        <v>3.0950131924545121</v>
      </c>
      <c r="ED182" s="696">
        <f t="shared" si="195"/>
        <v>0</v>
      </c>
      <c r="EE182" s="696">
        <f t="shared" si="195"/>
        <v>0</v>
      </c>
      <c r="EF182" s="696">
        <f t="shared" si="195"/>
        <v>0</v>
      </c>
      <c r="EG182" s="696">
        <f t="shared" si="195"/>
        <v>0</v>
      </c>
      <c r="EH182" s="696">
        <f t="shared" ref="EH182:ER182" si="196">EH158*EH38</f>
        <v>0.62182134627475794</v>
      </c>
      <c r="EI182" s="696">
        <f t="shared" si="196"/>
        <v>0</v>
      </c>
      <c r="EJ182" s="696">
        <f t="shared" si="196"/>
        <v>0</v>
      </c>
      <c r="EK182" s="696">
        <f t="shared" si="196"/>
        <v>0</v>
      </c>
      <c r="EL182" s="696">
        <f t="shared" si="196"/>
        <v>0</v>
      </c>
      <c r="EM182" s="696">
        <f t="shared" si="196"/>
        <v>0.12665180245026653</v>
      </c>
      <c r="EN182" s="696">
        <f t="shared" si="196"/>
        <v>0</v>
      </c>
      <c r="EO182" s="696">
        <f t="shared" si="196"/>
        <v>0</v>
      </c>
      <c r="EP182" s="696">
        <f t="shared" si="196"/>
        <v>0</v>
      </c>
      <c r="EQ182" s="696">
        <f t="shared" si="196"/>
        <v>0</v>
      </c>
      <c r="ER182" s="696">
        <f t="shared" si="196"/>
        <v>2.5877623729876675E-2</v>
      </c>
    </row>
    <row r="183" spans="2:148" s="696" customFormat="1">
      <c r="B183" s="408" t="s">
        <v>865</v>
      </c>
      <c r="BV183" s="696">
        <f t="shared" ref="BV183:DA183" si="197">BV159*BV43</f>
        <v>0</v>
      </c>
      <c r="BW183" s="696">
        <f t="shared" si="197"/>
        <v>0</v>
      </c>
      <c r="BX183" s="696">
        <f t="shared" si="197"/>
        <v>0</v>
      </c>
      <c r="BY183" s="696">
        <f t="shared" si="197"/>
        <v>0</v>
      </c>
      <c r="BZ183" s="696">
        <f t="shared" si="197"/>
        <v>0</v>
      </c>
      <c r="CA183" s="696">
        <f t="shared" si="197"/>
        <v>0</v>
      </c>
      <c r="CB183" s="696">
        <f t="shared" si="197"/>
        <v>0</v>
      </c>
      <c r="CC183" s="696">
        <f t="shared" si="197"/>
        <v>0</v>
      </c>
      <c r="CD183" s="696">
        <f t="shared" si="197"/>
        <v>0</v>
      </c>
      <c r="CE183" s="696">
        <f t="shared" si="197"/>
        <v>0</v>
      </c>
      <c r="CF183" s="696">
        <f t="shared" ref="CF183:CI183" si="198">CF159*CF43</f>
        <v>3.75</v>
      </c>
      <c r="CG183" s="696">
        <f t="shared" si="198"/>
        <v>13.125</v>
      </c>
      <c r="CH183" s="696">
        <f t="shared" si="198"/>
        <v>31.25</v>
      </c>
      <c r="CI183" s="696">
        <f t="shared" si="198"/>
        <v>48.599082973814149</v>
      </c>
      <c r="CJ183" s="696">
        <f t="shared" si="197"/>
        <v>96.724082973814149</v>
      </c>
      <c r="CK183" s="696" t="e">
        <f t="shared" si="197"/>
        <v>#DIV/0!</v>
      </c>
      <c r="CL183" s="696" t="e">
        <f t="shared" si="197"/>
        <v>#DIV/0!</v>
      </c>
      <c r="CM183" s="696" t="e">
        <f t="shared" si="197"/>
        <v>#DIV/0!</v>
      </c>
      <c r="CN183" s="696" t="e">
        <f t="shared" si="197"/>
        <v>#DIV/0!</v>
      </c>
      <c r="CO183" s="696">
        <f t="shared" si="197"/>
        <v>178.95299209838609</v>
      </c>
      <c r="CP183" s="696" t="e">
        <f t="shared" si="197"/>
        <v>#DIV/0!</v>
      </c>
      <c r="CQ183" s="696" t="e">
        <f t="shared" si="197"/>
        <v>#DIV/0!</v>
      </c>
      <c r="CR183" s="696" t="e">
        <f t="shared" si="197"/>
        <v>#DIV/0!</v>
      </c>
      <c r="CS183" s="696" t="e">
        <f t="shared" si="197"/>
        <v>#DIV/0!</v>
      </c>
      <c r="CT183" s="696">
        <f t="shared" si="197"/>
        <v>271.27678945554999</v>
      </c>
      <c r="CU183" s="696" t="e">
        <f t="shared" si="197"/>
        <v>#DIV/0!</v>
      </c>
      <c r="CV183" s="696" t="e">
        <f t="shared" si="197"/>
        <v>#DIV/0!</v>
      </c>
      <c r="CW183" s="696" t="e">
        <f t="shared" si="197"/>
        <v>#DIV/0!</v>
      </c>
      <c r="CX183" s="696" t="e">
        <f t="shared" si="197"/>
        <v>#DIV/0!</v>
      </c>
      <c r="CY183" s="696">
        <f t="shared" si="197"/>
        <v>390.59190367922224</v>
      </c>
      <c r="CZ183" s="696" t="e">
        <f t="shared" si="197"/>
        <v>#DIV/0!</v>
      </c>
      <c r="DA183" s="696" t="e">
        <f t="shared" si="197"/>
        <v>#DIV/0!</v>
      </c>
      <c r="DB183" s="696" t="e">
        <f t="shared" ref="DB183:EG183" si="199">DB159*DB43</f>
        <v>#DIV/0!</v>
      </c>
      <c r="DC183" s="696" t="e">
        <f t="shared" si="199"/>
        <v>#DIV/0!</v>
      </c>
      <c r="DD183" s="696">
        <f t="shared" si="199"/>
        <v>505.23929334592827</v>
      </c>
      <c r="DE183" s="696" t="e">
        <f t="shared" si="199"/>
        <v>#DIV/0!</v>
      </c>
      <c r="DF183" s="696" t="e">
        <f t="shared" si="199"/>
        <v>#DIV/0!</v>
      </c>
      <c r="DG183" s="696" t="e">
        <f t="shared" si="199"/>
        <v>#DIV/0!</v>
      </c>
      <c r="DH183" s="696" t="e">
        <f t="shared" si="199"/>
        <v>#DIV/0!</v>
      </c>
      <c r="DI183" s="696">
        <f t="shared" si="199"/>
        <v>551.56722628216983</v>
      </c>
      <c r="DJ183" s="696" t="e">
        <f t="shared" si="199"/>
        <v>#DIV/0!</v>
      </c>
      <c r="DK183" s="696" t="e">
        <f t="shared" si="199"/>
        <v>#DIV/0!</v>
      </c>
      <c r="DL183" s="696" t="e">
        <f t="shared" si="199"/>
        <v>#DIV/0!</v>
      </c>
      <c r="DM183" s="696" t="e">
        <f t="shared" si="199"/>
        <v>#DIV/0!</v>
      </c>
      <c r="DN183" s="696">
        <f t="shared" si="199"/>
        <v>589.98480101720497</v>
      </c>
      <c r="DO183" s="696" t="e">
        <f t="shared" si="199"/>
        <v>#DIV/0!</v>
      </c>
      <c r="DP183" s="696" t="e">
        <f t="shared" si="199"/>
        <v>#DIV/0!</v>
      </c>
      <c r="DQ183" s="696" t="e">
        <f t="shared" si="199"/>
        <v>#DIV/0!</v>
      </c>
      <c r="DR183" s="696" t="e">
        <f t="shared" si="199"/>
        <v>#DIV/0!</v>
      </c>
      <c r="DS183" s="696">
        <f t="shared" si="199"/>
        <v>606.78075565476297</v>
      </c>
      <c r="DT183" s="696" t="e">
        <f t="shared" si="199"/>
        <v>#DIV/0!</v>
      </c>
      <c r="DU183" s="696" t="e">
        <f t="shared" si="199"/>
        <v>#DIV/0!</v>
      </c>
      <c r="DV183" s="696" t="e">
        <f t="shared" si="199"/>
        <v>#DIV/0!</v>
      </c>
      <c r="DW183" s="696" t="e">
        <f t="shared" si="199"/>
        <v>#DIV/0!</v>
      </c>
      <c r="DX183" s="696">
        <f t="shared" si="199"/>
        <v>616.19987282937575</v>
      </c>
      <c r="DY183" s="696" t="e">
        <f t="shared" si="199"/>
        <v>#DIV/0!</v>
      </c>
      <c r="DZ183" s="696" t="e">
        <f t="shared" si="199"/>
        <v>#DIV/0!</v>
      </c>
      <c r="EA183" s="696" t="e">
        <f t="shared" si="199"/>
        <v>#DIV/0!</v>
      </c>
      <c r="EB183" s="696" t="e">
        <f t="shared" si="199"/>
        <v>#DIV/0!</v>
      </c>
      <c r="EC183" s="696">
        <f t="shared" si="199"/>
        <v>625.93866819262485</v>
      </c>
      <c r="ED183" s="696" t="e">
        <f t="shared" si="199"/>
        <v>#DIV/0!</v>
      </c>
      <c r="EE183" s="696" t="e">
        <f t="shared" si="199"/>
        <v>#DIV/0!</v>
      </c>
      <c r="EF183" s="696" t="e">
        <f t="shared" si="199"/>
        <v>#DIV/0!</v>
      </c>
      <c r="EG183" s="696" t="e">
        <f t="shared" si="199"/>
        <v>#DIV/0!</v>
      </c>
      <c r="EH183" s="696">
        <f t="shared" ref="EH183:ER183" si="200">EH159*EH43</f>
        <v>636.01070889895686</v>
      </c>
      <c r="EI183" s="696" t="e">
        <f t="shared" si="200"/>
        <v>#DIV/0!</v>
      </c>
      <c r="EJ183" s="696" t="e">
        <f t="shared" si="200"/>
        <v>#DIV/0!</v>
      </c>
      <c r="EK183" s="696" t="e">
        <f t="shared" si="200"/>
        <v>#DIV/0!</v>
      </c>
      <c r="EL183" s="696" t="e">
        <f t="shared" si="200"/>
        <v>#DIV/0!</v>
      </c>
      <c r="EM183" s="696">
        <f t="shared" si="200"/>
        <v>652.63851754270434</v>
      </c>
      <c r="EN183" s="696" t="e">
        <f t="shared" si="200"/>
        <v>#DIV/0!</v>
      </c>
      <c r="EO183" s="696" t="e">
        <f t="shared" si="200"/>
        <v>#DIV/0!</v>
      </c>
      <c r="EP183" s="696" t="e">
        <f t="shared" si="200"/>
        <v>#DIV/0!</v>
      </c>
      <c r="EQ183" s="696" t="e">
        <f t="shared" si="200"/>
        <v>#DIV/0!</v>
      </c>
      <c r="ER183" s="696">
        <f t="shared" si="200"/>
        <v>669.75681096994197</v>
      </c>
    </row>
    <row r="184" spans="2:148">
      <c r="B184" s="408" t="s">
        <v>808</v>
      </c>
      <c r="BN184" s="116">
        <f t="shared" ref="BN184:CE184" si="201">BN160*BN48</f>
        <v>0.19966</v>
      </c>
      <c r="BO184" s="116">
        <f t="shared" si="201"/>
        <v>21.07</v>
      </c>
      <c r="BP184" s="116">
        <f t="shared" si="201"/>
        <v>21.274050000000003</v>
      </c>
      <c r="BQ184" s="116">
        <f t="shared" si="201"/>
        <v>35.79</v>
      </c>
      <c r="BR184" s="116">
        <f t="shared" si="201"/>
        <v>36.08</v>
      </c>
      <c r="BS184" s="116">
        <f t="shared" si="201"/>
        <v>33.32</v>
      </c>
      <c r="BT184" s="116">
        <f t="shared" si="201"/>
        <v>33.450000000000003</v>
      </c>
      <c r="BU184" s="116">
        <f t="shared" si="201"/>
        <v>138.64000000000001</v>
      </c>
      <c r="BV184" s="116">
        <f t="shared" si="201"/>
        <v>27.152999999999999</v>
      </c>
      <c r="BW184" s="116">
        <f t="shared" si="201"/>
        <v>23.075999999999997</v>
      </c>
      <c r="BX184" s="116">
        <f t="shared" si="201"/>
        <v>16.739999999999998</v>
      </c>
      <c r="BY184" s="116">
        <f t="shared" si="201"/>
        <v>14.759999999999998</v>
      </c>
      <c r="BZ184" s="116">
        <f t="shared" si="201"/>
        <v>81.728999999999999</v>
      </c>
      <c r="CA184" s="696">
        <f t="shared" si="201"/>
        <v>12.338999999999999</v>
      </c>
      <c r="CB184" s="696">
        <f t="shared" si="201"/>
        <v>12.437999999999999</v>
      </c>
      <c r="CC184" s="696">
        <f t="shared" si="201"/>
        <v>8.7569999999999997</v>
      </c>
      <c r="CD184" s="696">
        <f t="shared" si="201"/>
        <v>5.7959999999999994</v>
      </c>
      <c r="CE184" s="116">
        <f t="shared" si="201"/>
        <v>39.33</v>
      </c>
      <c r="CF184" s="696">
        <f t="shared" ref="CF184:CI184" si="202">CF160*CF48</f>
        <v>4.3468645797410925</v>
      </c>
      <c r="CG184" s="696">
        <f t="shared" si="202"/>
        <v>3.6584319277054633</v>
      </c>
      <c r="CH184" s="696">
        <f t="shared" si="202"/>
        <v>3.2430216042695963</v>
      </c>
      <c r="CI184" s="696">
        <f t="shared" si="202"/>
        <v>2.7471012373282186</v>
      </c>
      <c r="CJ184" s="116">
        <f>CJ160*CJ48</f>
        <v>13.99541934904437</v>
      </c>
      <c r="CO184" s="116">
        <f>CO160*CO48</f>
        <v>11.830619646532558</v>
      </c>
      <c r="CT184" s="116">
        <f>CT160*CT48</f>
        <v>10.491791827260478</v>
      </c>
      <c r="CY184" s="116">
        <f>CY160*CY48</f>
        <v>9.7238248188603205</v>
      </c>
      <c r="DD184" s="116">
        <f>DD160*DD48</f>
        <v>8.9373706812145013</v>
      </c>
      <c r="DI184" s="116">
        <f>DI160*DI48</f>
        <v>8.3048343139712877</v>
      </c>
      <c r="DN184" s="116">
        <f>DN160*DN48</f>
        <v>7.6538952037532608</v>
      </c>
      <c r="DS184" s="116">
        <f>DS160*DS48</f>
        <v>7.1293647620131662</v>
      </c>
      <c r="DX184" s="116">
        <f>DX160*DX48</f>
        <v>6.5873937342472288</v>
      </c>
      <c r="EC184" s="116">
        <f>EC160*EC48</f>
        <v>6.1495659528132363</v>
      </c>
      <c r="EH184" s="116">
        <f>EH160*EH48</f>
        <v>5.6957371207660517</v>
      </c>
      <c r="EM184" s="116">
        <f>EM160*EM48</f>
        <v>2.2973754729043629</v>
      </c>
      <c r="ER184" s="116">
        <f>ER160*ER48</f>
        <v>0.16635752442685461</v>
      </c>
    </row>
    <row r="185" spans="2:148" s="696" customFormat="1">
      <c r="B185" s="408" t="str">
        <f>B161</f>
        <v>Epclusa (sofosbuvir / velpatasvir)</v>
      </c>
      <c r="BW185" s="696">
        <f t="shared" ref="BW185:DB185" si="203">BW161*BW53</f>
        <v>0.57599999999999996</v>
      </c>
      <c r="BX185" s="696">
        <f t="shared" si="203"/>
        <v>5.76</v>
      </c>
      <c r="BY185" s="696">
        <f t="shared" si="203"/>
        <v>9.4319999999999986</v>
      </c>
      <c r="BZ185" s="696">
        <f t="shared" si="203"/>
        <v>15.767999999999999</v>
      </c>
      <c r="CA185" s="696">
        <f t="shared" si="203"/>
        <v>8.0279999999999987</v>
      </c>
      <c r="CB185" s="696">
        <f t="shared" si="203"/>
        <v>10.539</v>
      </c>
      <c r="CC185" s="696">
        <f t="shared" si="203"/>
        <v>7.9379999999999997</v>
      </c>
      <c r="CD185" s="696">
        <f t="shared" si="203"/>
        <v>5.085</v>
      </c>
      <c r="CE185" s="696">
        <f t="shared" si="203"/>
        <v>31.589999999999996</v>
      </c>
      <c r="CF185" s="696">
        <f t="shared" ref="CF185:CI185" si="204">CF161*CF53</f>
        <v>3.6899999999999995</v>
      </c>
      <c r="CG185" s="696">
        <f t="shared" si="204"/>
        <v>3.3393965273787449</v>
      </c>
      <c r="CH185" s="696">
        <f t="shared" si="204"/>
        <v>3.1117650183183838</v>
      </c>
      <c r="CI185" s="696">
        <f t="shared" si="204"/>
        <v>2.9710375864156937</v>
      </c>
      <c r="CJ185" s="696">
        <f t="shared" si="203"/>
        <v>13.112199132112821</v>
      </c>
      <c r="CK185" s="696">
        <f t="shared" si="203"/>
        <v>0</v>
      </c>
      <c r="CL185" s="696">
        <f t="shared" si="203"/>
        <v>0</v>
      </c>
      <c r="CM185" s="696">
        <f t="shared" si="203"/>
        <v>0</v>
      </c>
      <c r="CN185" s="696">
        <f t="shared" si="203"/>
        <v>0</v>
      </c>
      <c r="CO185" s="696">
        <f t="shared" si="203"/>
        <v>11.115711438446171</v>
      </c>
      <c r="CP185" s="696">
        <f t="shared" si="203"/>
        <v>0</v>
      </c>
      <c r="CQ185" s="696">
        <f t="shared" si="203"/>
        <v>0</v>
      </c>
      <c r="CR185" s="696">
        <f t="shared" si="203"/>
        <v>0</v>
      </c>
      <c r="CS185" s="696">
        <f t="shared" si="203"/>
        <v>0</v>
      </c>
      <c r="CT185" s="696">
        <f t="shared" si="203"/>
        <v>9.9004926150743806</v>
      </c>
      <c r="CU185" s="696">
        <f t="shared" si="203"/>
        <v>0</v>
      </c>
      <c r="CV185" s="696">
        <f t="shared" si="203"/>
        <v>0</v>
      </c>
      <c r="CW185" s="696">
        <f t="shared" si="203"/>
        <v>0</v>
      </c>
      <c r="CX185" s="696">
        <f t="shared" si="203"/>
        <v>0</v>
      </c>
      <c r="CY185" s="696">
        <f t="shared" si="203"/>
        <v>9.0648644432177683</v>
      </c>
      <c r="CZ185" s="696">
        <f t="shared" si="203"/>
        <v>0</v>
      </c>
      <c r="DA185" s="696">
        <f t="shared" si="203"/>
        <v>0</v>
      </c>
      <c r="DB185" s="696">
        <f t="shared" si="203"/>
        <v>0</v>
      </c>
      <c r="DC185" s="696">
        <f t="shared" ref="DC185:EH185" si="205">DC161*DC53</f>
        <v>0</v>
      </c>
      <c r="DD185" s="696">
        <f t="shared" si="205"/>
        <v>8.2946624219011866</v>
      </c>
      <c r="DE185" s="696">
        <f t="shared" si="205"/>
        <v>0</v>
      </c>
      <c r="DF185" s="696">
        <f t="shared" si="205"/>
        <v>0</v>
      </c>
      <c r="DG185" s="696">
        <f t="shared" si="205"/>
        <v>0</v>
      </c>
      <c r="DH185" s="696">
        <f t="shared" si="205"/>
        <v>0</v>
      </c>
      <c r="DI185" s="696">
        <f t="shared" si="205"/>
        <v>7.6188598502594695</v>
      </c>
      <c r="DJ185" s="696">
        <f t="shared" si="205"/>
        <v>0</v>
      </c>
      <c r="DK185" s="696">
        <f t="shared" si="205"/>
        <v>0</v>
      </c>
      <c r="DL185" s="696">
        <f t="shared" si="205"/>
        <v>0</v>
      </c>
      <c r="DM185" s="696">
        <f t="shared" si="205"/>
        <v>0</v>
      </c>
      <c r="DN185" s="696">
        <f t="shared" si="205"/>
        <v>6.9935360107263422</v>
      </c>
      <c r="DO185" s="696">
        <f t="shared" si="205"/>
        <v>0</v>
      </c>
      <c r="DP185" s="696">
        <f t="shared" si="205"/>
        <v>0</v>
      </c>
      <c r="DQ185" s="696">
        <f t="shared" si="205"/>
        <v>0</v>
      </c>
      <c r="DR185" s="696">
        <f t="shared" si="205"/>
        <v>0</v>
      </c>
      <c r="DS185" s="696">
        <f t="shared" si="205"/>
        <v>6.4435770659366041</v>
      </c>
      <c r="DT185" s="696">
        <f t="shared" si="205"/>
        <v>0</v>
      </c>
      <c r="DU185" s="696">
        <f t="shared" si="205"/>
        <v>0</v>
      </c>
      <c r="DV185" s="696">
        <f t="shared" si="205"/>
        <v>0</v>
      </c>
      <c r="DW185" s="696">
        <f t="shared" si="205"/>
        <v>0</v>
      </c>
      <c r="DX185" s="696">
        <f t="shared" si="205"/>
        <v>5.9327549333798899</v>
      </c>
      <c r="DY185" s="696">
        <f t="shared" si="205"/>
        <v>0</v>
      </c>
      <c r="DZ185" s="696">
        <f t="shared" si="205"/>
        <v>0</v>
      </c>
      <c r="EA185" s="696">
        <f t="shared" si="205"/>
        <v>0</v>
      </c>
      <c r="EB185" s="696">
        <f t="shared" si="205"/>
        <v>0</v>
      </c>
      <c r="EC185" s="696">
        <f t="shared" si="205"/>
        <v>5.4823678733300394</v>
      </c>
      <c r="ED185" s="696">
        <f t="shared" si="205"/>
        <v>0</v>
      </c>
      <c r="EE185" s="696">
        <f t="shared" si="205"/>
        <v>0</v>
      </c>
      <c r="EF185" s="696">
        <f t="shared" si="205"/>
        <v>0</v>
      </c>
      <c r="EG185" s="696">
        <f t="shared" si="205"/>
        <v>0</v>
      </c>
      <c r="EH185" s="696">
        <f t="shared" si="205"/>
        <v>5.0624817827654942</v>
      </c>
      <c r="EI185" s="696">
        <f t="shared" ref="EI185:ER185" si="206">EI161*EI53</f>
        <v>0</v>
      </c>
      <c r="EJ185" s="696">
        <f t="shared" si="206"/>
        <v>0</v>
      </c>
      <c r="EK185" s="696">
        <f t="shared" si="206"/>
        <v>0</v>
      </c>
      <c r="EL185" s="696">
        <f t="shared" si="206"/>
        <v>0</v>
      </c>
      <c r="EM185" s="696">
        <f t="shared" si="206"/>
        <v>2.4131653441574596</v>
      </c>
      <c r="EN185" s="696">
        <f t="shared" si="206"/>
        <v>0</v>
      </c>
      <c r="EO185" s="696">
        <f t="shared" si="206"/>
        <v>0</v>
      </c>
      <c r="EP185" s="696">
        <f t="shared" si="206"/>
        <v>0</v>
      </c>
      <c r="EQ185" s="696">
        <f t="shared" si="206"/>
        <v>0</v>
      </c>
      <c r="ER185" s="696">
        <f t="shared" si="206"/>
        <v>0.16795914728997174</v>
      </c>
    </row>
    <row r="186" spans="2:148">
      <c r="B186" s="408" t="str">
        <f>B162</f>
        <v>Sovaldi (sofosbuvir)</v>
      </c>
      <c r="BJ186" s="116">
        <f t="shared" ref="BJ186:CE186" si="207">BJ162*BJ58</f>
        <v>15.6864375</v>
      </c>
      <c r="BK186" s="116">
        <f t="shared" si="207"/>
        <v>15.6864375</v>
      </c>
      <c r="BL186" s="116">
        <f t="shared" si="207"/>
        <v>22.743490000000001</v>
      </c>
      <c r="BM186" s="116">
        <f t="shared" si="207"/>
        <v>34.803260000000002</v>
      </c>
      <c r="BN186" s="116">
        <f t="shared" si="207"/>
        <v>27.960929999999998</v>
      </c>
      <c r="BO186" s="116">
        <f t="shared" si="207"/>
        <v>17.32</v>
      </c>
      <c r="BP186" s="116">
        <f t="shared" si="207"/>
        <v>102.82768</v>
      </c>
      <c r="BQ186" s="116">
        <f t="shared" si="207"/>
        <v>9.7200000000000006</v>
      </c>
      <c r="BR186" s="116">
        <f t="shared" si="207"/>
        <v>12.91</v>
      </c>
      <c r="BS186" s="116">
        <f t="shared" si="207"/>
        <v>14.66</v>
      </c>
      <c r="BT186" s="116">
        <f t="shared" si="207"/>
        <v>15.47</v>
      </c>
      <c r="BU186" s="116">
        <f t="shared" si="207"/>
        <v>52.76</v>
      </c>
      <c r="BV186" s="116">
        <f t="shared" si="207"/>
        <v>11.492999999999999</v>
      </c>
      <c r="BW186" s="116">
        <f t="shared" si="207"/>
        <v>12.222</v>
      </c>
      <c r="BX186" s="116">
        <f t="shared" si="207"/>
        <v>7.4249999999999998</v>
      </c>
      <c r="BY186" s="116">
        <f t="shared" si="207"/>
        <v>4.8689999999999998</v>
      </c>
      <c r="BZ186" s="116">
        <f t="shared" si="207"/>
        <v>36.009</v>
      </c>
      <c r="CA186" s="696">
        <f t="shared" si="207"/>
        <v>2.8169999999999997</v>
      </c>
      <c r="CB186" s="696">
        <f t="shared" si="207"/>
        <v>2.835</v>
      </c>
      <c r="CC186" s="696">
        <f t="shared" si="207"/>
        <v>1.9709999999999999</v>
      </c>
      <c r="CD186" s="696">
        <f t="shared" si="207"/>
        <v>1.0529999999999999</v>
      </c>
      <c r="CE186" s="116">
        <f t="shared" si="207"/>
        <v>8.6760000000000002</v>
      </c>
      <c r="CF186" s="696">
        <f t="shared" ref="CF186:CI186" si="208">CF162*CF58</f>
        <v>0.26311628482008514</v>
      </c>
      <c r="CG186" s="696">
        <f t="shared" si="208"/>
        <v>0.24510775644240004</v>
      </c>
      <c r="CH186" s="696">
        <f t="shared" si="208"/>
        <v>0.24348690465994663</v>
      </c>
      <c r="CI186" s="696">
        <f t="shared" si="208"/>
        <v>0.13862861529345202</v>
      </c>
      <c r="CJ186" s="116">
        <f>CJ162*CJ58</f>
        <v>0.89033956121588387</v>
      </c>
      <c r="CO186" s="116">
        <f>CO162*CO58</f>
        <v>0.98056148776426932</v>
      </c>
      <c r="CT186" s="116">
        <f>CT162*CT58</f>
        <v>0.85203910763713808</v>
      </c>
      <c r="CY186" s="116">
        <f>CY162*CY58</f>
        <v>0.77757505537926352</v>
      </c>
      <c r="DD186" s="116">
        <f>DD162*DD58</f>
        <v>0.69199611167253106</v>
      </c>
      <c r="DI186" s="116">
        <f>DI162*DI58</f>
        <v>0.63296560145779668</v>
      </c>
      <c r="DN186" s="116">
        <f>DN162*DN58</f>
        <v>0.56418815132004019</v>
      </c>
      <c r="DS186" s="116">
        <f>DS162*DS58</f>
        <v>0.51724928726480568</v>
      </c>
      <c r="DX186" s="116">
        <f>DX162*DX58</f>
        <v>0.46181353898949518</v>
      </c>
      <c r="EC186" s="116">
        <f>EC162*EC58</f>
        <v>0.42436783430018093</v>
      </c>
      <c r="EH186" s="116">
        <f>EH162*EH58</f>
        <v>0.37955167139432289</v>
      </c>
      <c r="EM186" s="116">
        <f>EM162*EM58</f>
        <v>0.32072557668694324</v>
      </c>
      <c r="ER186" s="116">
        <f>ER162*ER58</f>
        <v>2.2305535019653475E-2</v>
      </c>
    </row>
    <row r="187" spans="2:148" s="696" customFormat="1">
      <c r="B187" s="408" t="s">
        <v>966</v>
      </c>
      <c r="CD187" s="696">
        <f>CD163*CD98</f>
        <v>2.4499999999999997</v>
      </c>
      <c r="CE187" s="696">
        <f>CE97*CE163</f>
        <v>2.4499999999999997</v>
      </c>
      <c r="CF187" s="696">
        <f>CF163*CF97</f>
        <v>7.75</v>
      </c>
      <c r="CG187" s="696">
        <f t="shared" ref="CG187:CI187" si="209">CG163*CG97</f>
        <v>15.5</v>
      </c>
      <c r="CH187" s="696">
        <f t="shared" si="209"/>
        <v>21.7</v>
      </c>
      <c r="CI187" s="696">
        <f t="shared" si="209"/>
        <v>24.547244061917326</v>
      </c>
      <c r="CJ187" s="696">
        <f>CJ97*CJ163</f>
        <v>69.497244061917328</v>
      </c>
      <c r="CO187" s="696">
        <f>CO97*CO163</f>
        <v>133.56874778889022</v>
      </c>
      <c r="CT187" s="696">
        <f>CT97*CT163</f>
        <v>231.79080167475496</v>
      </c>
      <c r="CY187" s="696">
        <f>CY97*CY163</f>
        <v>323.69061408975273</v>
      </c>
      <c r="DD187" s="696">
        <f>DD97*DD163</f>
        <v>468.02669289266078</v>
      </c>
      <c r="DI187" s="696">
        <f>DI97*DI163</f>
        <v>587.29013618614465</v>
      </c>
      <c r="DN187" s="696">
        <f>DN97*DN163</f>
        <v>638.11249313555493</v>
      </c>
      <c r="DS187" s="696">
        <f>DS97*DS163</f>
        <v>662.65293907970124</v>
      </c>
      <c r="DX187" s="696">
        <f>DX97*DX163</f>
        <v>683.27003038246801</v>
      </c>
      <c r="EC187" s="696">
        <f>EC97*EC163</f>
        <v>705.09313290202886</v>
      </c>
      <c r="EH187" s="696">
        <f>EH97*EH163</f>
        <v>727.59724439052093</v>
      </c>
      <c r="EM187" s="696">
        <f>EM97*EM163</f>
        <v>750.8217837019904</v>
      </c>
      <c r="ER187" s="696">
        <f>ER97*ER163</f>
        <v>774.80860948734357</v>
      </c>
    </row>
    <row r="188" spans="2:148" s="696" customFormat="1">
      <c r="B188" s="408" t="s">
        <v>1017</v>
      </c>
      <c r="CE188" s="696">
        <f>CE102*CE165</f>
        <v>0</v>
      </c>
      <c r="CJ188" s="696">
        <f>CJ102*CJ165</f>
        <v>0</v>
      </c>
      <c r="CO188" s="696">
        <f>CO102*CO165</f>
        <v>0</v>
      </c>
      <c r="CT188" s="696">
        <f>CT102*CT165</f>
        <v>0</v>
      </c>
      <c r="CY188" s="696">
        <f>CY102*CY165</f>
        <v>1.6087500000000002E-4</v>
      </c>
      <c r="DD188" s="696">
        <f>DD102*DD165</f>
        <v>5.6306250000000009E-4</v>
      </c>
      <c r="DI188" s="696">
        <f>DI102*DI165</f>
        <v>1.3473281250000002E-3</v>
      </c>
      <c r="DN188" s="696">
        <f>DN102*DN165</f>
        <v>2.9198812500000003E-3</v>
      </c>
      <c r="DS188" s="696">
        <f>DS102*DS165</f>
        <v>4.7689382812500002E-3</v>
      </c>
      <c r="DX188" s="696">
        <f>DX102*DX165</f>
        <v>5.849415000000001E-3</v>
      </c>
      <c r="EC188" s="696">
        <f>EC102*EC165</f>
        <v>6.2443953000000012E-3</v>
      </c>
      <c r="EH188" s="696">
        <f>EH102*EH165</f>
        <v>6.4040322060000023E-3</v>
      </c>
      <c r="EM188" s="696">
        <f>EM102*EM165</f>
        <v>6.5321128501200018E-3</v>
      </c>
      <c r="ER188" s="696">
        <f>ER102*ER165</f>
        <v>6.6627551071224023E-3</v>
      </c>
    </row>
    <row r="189" spans="2:148" s="696" customFormat="1">
      <c r="B189" s="408" t="s">
        <v>1090</v>
      </c>
      <c r="CE189" s="696">
        <f>CE107*CE166</f>
        <v>0</v>
      </c>
      <c r="CI189" s="696">
        <f>CJ189</f>
        <v>0</v>
      </c>
      <c r="CJ189" s="696">
        <f>CJ107*CJ166</f>
        <v>0</v>
      </c>
      <c r="CO189" s="696">
        <f>CO107*CO166</f>
        <v>15.004984091088623</v>
      </c>
      <c r="CT189" s="696">
        <f>CT107*CT166</f>
        <v>37.284643609017579</v>
      </c>
      <c r="CY189" s="696">
        <f>CY107*CY166</f>
        <v>73.999037117559553</v>
      </c>
      <c r="DD189" s="696">
        <f>DD107*DD166</f>
        <v>121.02393063630032</v>
      </c>
      <c r="DE189" s="696">
        <f t="shared" ref="DE189:ER189" si="210">DE107*DE166</f>
        <v>0</v>
      </c>
      <c r="DF189" s="696">
        <f t="shared" si="210"/>
        <v>0</v>
      </c>
      <c r="DG189" s="696">
        <f t="shared" si="210"/>
        <v>0</v>
      </c>
      <c r="DH189" s="696">
        <f t="shared" si="210"/>
        <v>0</v>
      </c>
      <c r="DI189" s="696">
        <f t="shared" si="210"/>
        <v>171.23156391425337</v>
      </c>
      <c r="DJ189" s="696">
        <f t="shared" si="210"/>
        <v>0</v>
      </c>
      <c r="DK189" s="696">
        <f t="shared" si="210"/>
        <v>0</v>
      </c>
      <c r="DL189" s="696">
        <f t="shared" si="210"/>
        <v>0</v>
      </c>
      <c r="DM189" s="696">
        <f t="shared" si="210"/>
        <v>0</v>
      </c>
      <c r="DN189" s="696">
        <f t="shared" si="210"/>
        <v>223.20904818632127</v>
      </c>
      <c r="DO189" s="696">
        <f t="shared" si="210"/>
        <v>0</v>
      </c>
      <c r="DP189" s="696">
        <f t="shared" si="210"/>
        <v>0</v>
      </c>
      <c r="DQ189" s="696">
        <f t="shared" si="210"/>
        <v>0</v>
      </c>
      <c r="DR189" s="696">
        <f t="shared" si="210"/>
        <v>0</v>
      </c>
      <c r="DS189" s="696">
        <f t="shared" si="210"/>
        <v>249.27140276232254</v>
      </c>
      <c r="DT189" s="696">
        <f t="shared" si="210"/>
        <v>0</v>
      </c>
      <c r="DU189" s="696">
        <f t="shared" si="210"/>
        <v>0</v>
      </c>
      <c r="DV189" s="696">
        <f t="shared" si="210"/>
        <v>0</v>
      </c>
      <c r="DW189" s="696">
        <f t="shared" si="210"/>
        <v>0</v>
      </c>
      <c r="DX189" s="696">
        <f t="shared" si="210"/>
        <v>263.30264812133572</v>
      </c>
      <c r="DY189" s="696">
        <f t="shared" si="210"/>
        <v>0</v>
      </c>
      <c r="DZ189" s="696">
        <f t="shared" si="210"/>
        <v>0</v>
      </c>
      <c r="EA189" s="696">
        <f t="shared" si="210"/>
        <v>0</v>
      </c>
      <c r="EB189" s="696">
        <f t="shared" si="210"/>
        <v>0</v>
      </c>
      <c r="EC189" s="696">
        <f t="shared" si="210"/>
        <v>282.45831341530976</v>
      </c>
      <c r="ED189" s="696">
        <f t="shared" si="210"/>
        <v>0</v>
      </c>
      <c r="EE189" s="696">
        <f t="shared" si="210"/>
        <v>0</v>
      </c>
      <c r="EF189" s="696">
        <f t="shared" si="210"/>
        <v>0</v>
      </c>
      <c r="EG189" s="696">
        <f t="shared" si="210"/>
        <v>0</v>
      </c>
      <c r="EH189" s="696">
        <f t="shared" si="210"/>
        <v>297.93873677870215</v>
      </c>
      <c r="EI189" s="696">
        <f t="shared" si="210"/>
        <v>0</v>
      </c>
      <c r="EJ189" s="696">
        <f t="shared" si="210"/>
        <v>0</v>
      </c>
      <c r="EK189" s="696">
        <f t="shared" si="210"/>
        <v>0</v>
      </c>
      <c r="EL189" s="696">
        <f t="shared" si="210"/>
        <v>0</v>
      </c>
      <c r="EM189" s="696">
        <f t="shared" si="210"/>
        <v>310.31322668133805</v>
      </c>
      <c r="EN189" s="696">
        <f t="shared" si="210"/>
        <v>0</v>
      </c>
      <c r="EO189" s="696">
        <f t="shared" si="210"/>
        <v>0</v>
      </c>
      <c r="EP189" s="696">
        <f t="shared" si="210"/>
        <v>0</v>
      </c>
      <c r="EQ189" s="696">
        <f t="shared" si="210"/>
        <v>0</v>
      </c>
      <c r="ER189" s="696">
        <f t="shared" si="210"/>
        <v>327.69455908467842</v>
      </c>
    </row>
    <row r="190" spans="2:148">
      <c r="B190" s="408" t="str">
        <f t="shared" ref="B190:B195" si="211">B167</f>
        <v>Letairis (US Only - Patent Expiration 2018)</v>
      </c>
      <c r="AG190" s="116">
        <f>AG167*AG112</f>
        <v>3.153</v>
      </c>
      <c r="AL190" s="116">
        <f>AL167*AL112</f>
        <v>16.928249999999998</v>
      </c>
      <c r="AQ190" s="116">
        <f>AQ167*AQ112</f>
        <v>27.59235</v>
      </c>
      <c r="AV190" s="116">
        <f t="shared" ref="AV190:BA190" si="212">AV167*AV112</f>
        <v>36.041849999999997</v>
      </c>
      <c r="AW190" s="116">
        <f t="shared" si="212"/>
        <v>0</v>
      </c>
      <c r="AX190" s="116">
        <f t="shared" si="212"/>
        <v>0</v>
      </c>
      <c r="AY190" s="116">
        <f t="shared" si="212"/>
        <v>0</v>
      </c>
      <c r="AZ190" s="116">
        <f t="shared" si="212"/>
        <v>0</v>
      </c>
      <c r="BA190" s="116">
        <f t="shared" si="212"/>
        <v>44.0139</v>
      </c>
      <c r="BF190" s="116">
        <f t="shared" ref="BF190:CE190" si="213">BF167*BF112</f>
        <v>61.508099999999992</v>
      </c>
      <c r="BG190" s="116">
        <f t="shared" si="213"/>
        <v>17.716049999999999</v>
      </c>
      <c r="BH190" s="116">
        <f t="shared" si="213"/>
        <v>19.23855</v>
      </c>
      <c r="BI190" s="116">
        <f t="shared" si="213"/>
        <v>20.264999999999997</v>
      </c>
      <c r="BJ190" s="116">
        <f t="shared" si="213"/>
        <v>20.779499999999999</v>
      </c>
      <c r="BK190" s="116">
        <f t="shared" si="213"/>
        <v>77.999099999999999</v>
      </c>
      <c r="BL190" s="116">
        <f t="shared" si="213"/>
        <v>18.432749999999999</v>
      </c>
      <c r="BM190" s="116">
        <f t="shared" si="213"/>
        <v>21.7074</v>
      </c>
      <c r="BN190" s="116">
        <f t="shared" si="213"/>
        <v>21.962249999999997</v>
      </c>
      <c r="BO190" s="116">
        <f t="shared" si="213"/>
        <v>27.15</v>
      </c>
      <c r="BP190" s="116">
        <f t="shared" si="213"/>
        <v>89.252399999999994</v>
      </c>
      <c r="BQ190" s="116">
        <f t="shared" si="213"/>
        <v>22.65</v>
      </c>
      <c r="BR190" s="116">
        <f t="shared" si="213"/>
        <v>26.4</v>
      </c>
      <c r="BS190" s="116">
        <f t="shared" si="213"/>
        <v>27.15</v>
      </c>
      <c r="BT190" s="116">
        <f t="shared" si="213"/>
        <v>28.799999999999997</v>
      </c>
      <c r="BU190" s="116">
        <f t="shared" si="213"/>
        <v>105</v>
      </c>
      <c r="BV190" s="116">
        <f t="shared" si="213"/>
        <v>26.25</v>
      </c>
      <c r="BW190" s="116">
        <f t="shared" si="213"/>
        <v>30.45</v>
      </c>
      <c r="BX190" s="116">
        <f t="shared" si="213"/>
        <v>32.25</v>
      </c>
      <c r="BY190" s="116">
        <f t="shared" si="213"/>
        <v>33.9</v>
      </c>
      <c r="BZ190" s="116">
        <f t="shared" si="213"/>
        <v>122.85</v>
      </c>
      <c r="CA190" s="696">
        <f t="shared" si="213"/>
        <v>31.65</v>
      </c>
      <c r="CB190" s="696">
        <f t="shared" si="213"/>
        <v>34.5</v>
      </c>
      <c r="CC190" s="696">
        <f t="shared" si="213"/>
        <v>31.95</v>
      </c>
      <c r="CD190" s="696">
        <f t="shared" si="213"/>
        <v>34.949999999999996</v>
      </c>
      <c r="CE190" s="116">
        <f t="shared" si="213"/>
        <v>133.04999999999998</v>
      </c>
      <c r="CF190" s="696">
        <f t="shared" ref="CF190:CI190" si="214">CF167*CF112</f>
        <v>33.75</v>
      </c>
      <c r="CG190" s="696">
        <f t="shared" si="214"/>
        <v>30</v>
      </c>
      <c r="CH190" s="696">
        <f t="shared" si="214"/>
        <v>12</v>
      </c>
      <c r="CI190" s="696">
        <f t="shared" si="214"/>
        <v>4.0799999999999894</v>
      </c>
      <c r="CJ190" s="116">
        <f>CJ167*CJ112</f>
        <v>79.829999999999984</v>
      </c>
      <c r="CO190" s="116">
        <f>CO167*CO112</f>
        <v>7.982999999999997</v>
      </c>
      <c r="CT190" s="116">
        <f>CT167*CT112</f>
        <v>1.5965999999999991</v>
      </c>
      <c r="CY190" s="116">
        <f>CY167*CY112</f>
        <v>0.31931999999999977</v>
      </c>
      <c r="DD190" s="116">
        <f>DD167*DD112</f>
        <v>6.3863999999999949E-2</v>
      </c>
      <c r="DI190" s="116">
        <f>DI167*DI112</f>
        <v>1.2772799999999985E-2</v>
      </c>
      <c r="DN190" s="116">
        <f>DN167*DN112</f>
        <v>2.5545599999999965E-3</v>
      </c>
      <c r="DS190" s="116">
        <f>DS167*DS112</f>
        <v>5.1091199999999911E-4</v>
      </c>
      <c r="DX190" s="116">
        <f>DX167*DX112</f>
        <v>1.021823999999998E-4</v>
      </c>
      <c r="EC190" s="116">
        <f>EC167*EC112</f>
        <v>2.0436479999999958E-5</v>
      </c>
      <c r="EH190" s="116">
        <f>EH167*EH112</f>
        <v>4.0872959999999904E-6</v>
      </c>
      <c r="EM190" s="116">
        <f>EM167*EM112</f>
        <v>8.1745919999999791E-7</v>
      </c>
      <c r="ER190" s="116">
        <f>ER167*ER112</f>
        <v>1.6349183999999954E-7</v>
      </c>
    </row>
    <row r="191" spans="2:148">
      <c r="B191" s="408" t="str">
        <f t="shared" si="211"/>
        <v>Ranexa (US Only - Patent Expiration 2019)</v>
      </c>
      <c r="AQ191" s="116">
        <f>AQ168*AQ115</f>
        <v>36.697359999999996</v>
      </c>
      <c r="AV191" s="116">
        <f t="shared" ref="AV191:BA191" si="215">AV168*AV115</f>
        <v>50.004971999999995</v>
      </c>
      <c r="AW191" s="116">
        <f t="shared" si="215"/>
        <v>0</v>
      </c>
      <c r="AX191" s="116">
        <f t="shared" si="215"/>
        <v>0</v>
      </c>
      <c r="AY191" s="116">
        <f t="shared" si="215"/>
        <v>0</v>
      </c>
      <c r="AZ191" s="116">
        <f t="shared" si="215"/>
        <v>0</v>
      </c>
      <c r="BA191" s="116">
        <f t="shared" si="215"/>
        <v>66.720833999999996</v>
      </c>
      <c r="BF191" s="116">
        <f t="shared" ref="BF191:CE191" si="216">BF168*BF115</f>
        <v>77.759866500000001</v>
      </c>
      <c r="BG191" s="116">
        <f t="shared" si="216"/>
        <v>20.075630999999998</v>
      </c>
      <c r="BH191" s="116">
        <f t="shared" si="216"/>
        <v>22.225474499999997</v>
      </c>
      <c r="BI191" s="116">
        <f t="shared" si="216"/>
        <v>24.144299999999998</v>
      </c>
      <c r="BJ191" s="116">
        <f t="shared" si="216"/>
        <v>27.089570999999996</v>
      </c>
      <c r="BK191" s="116">
        <f t="shared" si="216"/>
        <v>93.534976499999985</v>
      </c>
      <c r="BL191" s="116">
        <f t="shared" si="216"/>
        <v>23.272352999999999</v>
      </c>
      <c r="BM191" s="116">
        <f t="shared" si="216"/>
        <v>25.427826</v>
      </c>
      <c r="BN191" s="116">
        <f t="shared" si="216"/>
        <v>27.628334999999996</v>
      </c>
      <c r="BO191" s="116">
        <f t="shared" si="216"/>
        <v>30.023999999999997</v>
      </c>
      <c r="BP191" s="116">
        <f t="shared" si="216"/>
        <v>106.352514</v>
      </c>
      <c r="BQ191" s="116">
        <f t="shared" si="216"/>
        <v>24.394499999999997</v>
      </c>
      <c r="BR191" s="116">
        <f t="shared" si="216"/>
        <v>29.398499999999999</v>
      </c>
      <c r="BS191" s="116">
        <f t="shared" si="216"/>
        <v>33.5685</v>
      </c>
      <c r="BT191" s="116">
        <f t="shared" si="216"/>
        <v>35.236499999999999</v>
      </c>
      <c r="BU191" s="116">
        <f t="shared" si="216"/>
        <v>122.598</v>
      </c>
      <c r="BV191" s="116">
        <f t="shared" si="216"/>
        <v>30.023999999999997</v>
      </c>
      <c r="BW191" s="116">
        <f t="shared" si="216"/>
        <v>31.900499999999997</v>
      </c>
      <c r="BX191" s="116">
        <f t="shared" si="216"/>
        <v>35.445</v>
      </c>
      <c r="BY191" s="116">
        <f t="shared" si="216"/>
        <v>43.784999999999997</v>
      </c>
      <c r="BZ191" s="116">
        <f t="shared" si="216"/>
        <v>141.15449999999998</v>
      </c>
      <c r="CA191" s="696">
        <f t="shared" si="216"/>
        <v>31.900499999999997</v>
      </c>
      <c r="CB191" s="696">
        <f t="shared" si="216"/>
        <v>41.699999999999996</v>
      </c>
      <c r="CC191" s="696">
        <f t="shared" si="216"/>
        <v>34.193999999999996</v>
      </c>
      <c r="CD191" s="696">
        <f t="shared" si="216"/>
        <v>41.699999999999996</v>
      </c>
      <c r="CE191" s="116">
        <f t="shared" si="216"/>
        <v>149.49449999999999</v>
      </c>
      <c r="CF191" s="696">
        <f t="shared" ref="CF191:CI191" si="217">CF168*CF115</f>
        <v>39.242306249999999</v>
      </c>
      <c r="CG191" s="696">
        <f t="shared" si="217"/>
        <v>39.242306249999999</v>
      </c>
      <c r="CH191" s="696">
        <f t="shared" si="217"/>
        <v>39.242306249999999</v>
      </c>
      <c r="CI191" s="696">
        <f t="shared" si="217"/>
        <v>39.242306249999999</v>
      </c>
      <c r="CJ191" s="116">
        <f>CJ168*CJ115</f>
        <v>156.96922499999999</v>
      </c>
      <c r="CO191" s="116">
        <f>CO168*CO115</f>
        <v>94.181534999999997</v>
      </c>
      <c r="CT191" s="116">
        <f>CT168*CT115</f>
        <v>9.4181534999999972</v>
      </c>
      <c r="CY191" s="116">
        <f>CY168*CY115</f>
        <v>0.94181534999999938</v>
      </c>
      <c r="DD191" s="116">
        <f>DD168*DD115</f>
        <v>0.47090767499999969</v>
      </c>
      <c r="DI191" s="116">
        <f>DI168*DI115</f>
        <v>0.23545383749999985</v>
      </c>
      <c r="DN191" s="116">
        <f>DN168*DN115</f>
        <v>0.11772691874999992</v>
      </c>
      <c r="DS191" s="116">
        <f>DS168*DS115</f>
        <v>5.8863459374999962E-2</v>
      </c>
      <c r="DX191" s="116">
        <f>DX168*DX115</f>
        <v>2.9431729687499981E-2</v>
      </c>
      <c r="EC191" s="116">
        <f>EC168*EC115</f>
        <v>1.471586484374999E-2</v>
      </c>
      <c r="EH191" s="116">
        <f>EH168*EH115</f>
        <v>7.3579324218749952E-3</v>
      </c>
      <c r="EM191" s="116">
        <f>EM168*EM115</f>
        <v>3.6789662109374976E-3</v>
      </c>
      <c r="ER191" s="116">
        <f>ER168*ER115</f>
        <v>1.8394831054687488E-3</v>
      </c>
    </row>
    <row r="192" spans="2:148">
      <c r="B192" s="408" t="str">
        <f t="shared" si="211"/>
        <v>AmBisome (US Patent 2016 / EU 2008)</v>
      </c>
      <c r="C192" s="116">
        <f>C169*C118</f>
        <v>41.133249999999997</v>
      </c>
      <c r="H192" s="116">
        <f>H169*H118</f>
        <v>46.417250000000003</v>
      </c>
      <c r="M192" s="116">
        <f>M169*M118</f>
        <v>49.587499999999999</v>
      </c>
      <c r="R192" s="116">
        <f>R169*R118</f>
        <v>52.923499999999997</v>
      </c>
      <c r="W192" s="116">
        <f>W169*W118</f>
        <v>55.188249999999996</v>
      </c>
      <c r="AB192" s="116">
        <f>AB169*AB118</f>
        <v>55.757999999999996</v>
      </c>
      <c r="AG192" s="116">
        <f>AG169*AG118</f>
        <v>65.642750000000007</v>
      </c>
      <c r="AL192" s="116">
        <f>AL169*AL118</f>
        <v>72.412750000000003</v>
      </c>
      <c r="AQ192" s="116">
        <f>AQ169*AQ118</f>
        <v>74.649249999999995</v>
      </c>
      <c r="AV192" s="116">
        <f t="shared" ref="AV192:BA192" si="218">AV169*AV118</f>
        <v>76.463999999999999</v>
      </c>
      <c r="AW192" s="116">
        <f t="shared" si="218"/>
        <v>0</v>
      </c>
      <c r="AX192" s="116">
        <f t="shared" si="218"/>
        <v>0</v>
      </c>
      <c r="AY192" s="116">
        <f t="shared" si="218"/>
        <v>0</v>
      </c>
      <c r="AZ192" s="116">
        <f t="shared" si="218"/>
        <v>0</v>
      </c>
      <c r="BA192" s="116">
        <f t="shared" si="218"/>
        <v>82.539000000000001</v>
      </c>
      <c r="BF192" s="116">
        <f t="shared" ref="BF192:CE192" si="219">BF169*BF118</f>
        <v>86.661500000000004</v>
      </c>
      <c r="BG192" s="116">
        <f t="shared" si="219"/>
        <v>21.318750000000001</v>
      </c>
      <c r="BH192" s="116">
        <f t="shared" si="219"/>
        <v>18.78425</v>
      </c>
      <c r="BI192" s="116">
        <f t="shared" si="219"/>
        <v>24.45</v>
      </c>
      <c r="BJ192" s="116">
        <f t="shared" si="219"/>
        <v>23.400749999999999</v>
      </c>
      <c r="BK192" s="116">
        <f t="shared" si="219"/>
        <v>87.953749999999999</v>
      </c>
      <c r="BL192" s="116">
        <f t="shared" si="219"/>
        <v>23.023250000000001</v>
      </c>
      <c r="BM192" s="116">
        <f t="shared" si="219"/>
        <v>23.698499999999999</v>
      </c>
      <c r="BN192" s="116">
        <f t="shared" si="219"/>
        <v>24.527000000000001</v>
      </c>
      <c r="BO192" s="116">
        <f t="shared" si="219"/>
        <v>26</v>
      </c>
      <c r="BP192" s="116">
        <f t="shared" si="219"/>
        <v>97.248750000000001</v>
      </c>
      <c r="BQ192" s="116">
        <f t="shared" si="219"/>
        <v>21.25</v>
      </c>
      <c r="BR192" s="116">
        <f t="shared" si="219"/>
        <v>25.75</v>
      </c>
      <c r="BS192" s="116">
        <f t="shared" si="219"/>
        <v>22</v>
      </c>
      <c r="BT192" s="116">
        <f t="shared" si="219"/>
        <v>18.5</v>
      </c>
      <c r="BU192" s="116">
        <f t="shared" si="219"/>
        <v>87.5</v>
      </c>
      <c r="BV192" s="116">
        <f t="shared" si="219"/>
        <v>21.5</v>
      </c>
      <c r="BW192" s="116">
        <f t="shared" si="219"/>
        <v>21.25</v>
      </c>
      <c r="BX192" s="116">
        <f t="shared" si="219"/>
        <v>22.75</v>
      </c>
      <c r="BY192" s="116">
        <f t="shared" si="219"/>
        <v>23.5</v>
      </c>
      <c r="BZ192" s="116">
        <f t="shared" si="219"/>
        <v>89</v>
      </c>
      <c r="CA192" s="696">
        <f t="shared" si="219"/>
        <v>23</v>
      </c>
      <c r="CB192" s="696">
        <f t="shared" si="219"/>
        <v>23</v>
      </c>
      <c r="CC192" s="696">
        <f t="shared" si="219"/>
        <v>23</v>
      </c>
      <c r="CD192" s="696">
        <f t="shared" si="219"/>
        <v>22.5</v>
      </c>
      <c r="CE192" s="116">
        <f t="shared" si="219"/>
        <v>91.5</v>
      </c>
      <c r="CF192" s="696">
        <f t="shared" ref="CF192:CI192" si="220">CF169*CF118</f>
        <v>23.3325</v>
      </c>
      <c r="CG192" s="696">
        <f t="shared" si="220"/>
        <v>23.3325</v>
      </c>
      <c r="CH192" s="696">
        <f t="shared" si="220"/>
        <v>23.3325</v>
      </c>
      <c r="CI192" s="696">
        <f t="shared" si="220"/>
        <v>23.3325</v>
      </c>
      <c r="CJ192" s="116">
        <f>CJ169*CJ118</f>
        <v>93.33</v>
      </c>
      <c r="CO192" s="116">
        <f>CO169*CO118</f>
        <v>95.196600000000004</v>
      </c>
      <c r="CT192" s="116">
        <f>CT169*CT118</f>
        <v>97.100532000000001</v>
      </c>
      <c r="CY192" s="116">
        <f>CY169*CY118</f>
        <v>99.042542640000008</v>
      </c>
      <c r="DD192" s="116">
        <f>DD169*DD118</f>
        <v>89.138288376000006</v>
      </c>
      <c r="DI192" s="116">
        <f>DI169*DI118</f>
        <v>80.224459538400012</v>
      </c>
      <c r="DN192" s="116">
        <f>DN169*DN118</f>
        <v>72.202013584560007</v>
      </c>
      <c r="DS192" s="116">
        <f>DS169*DS118</f>
        <v>64.981812226104012</v>
      </c>
      <c r="DX192" s="116">
        <f>DX169*DX118</f>
        <v>58.483631003493613</v>
      </c>
      <c r="EC192" s="116">
        <f>EC169*EC118</f>
        <v>52.635267903144253</v>
      </c>
      <c r="EH192" s="116">
        <f>EH169*EH118</f>
        <v>47.371741112829831</v>
      </c>
      <c r="EM192" s="116">
        <f>EM169*EM118</f>
        <v>42.634567001546849</v>
      </c>
      <c r="ER192" s="116">
        <f>ER169*ER118</f>
        <v>38.371110301392164</v>
      </c>
    </row>
    <row r="193" spans="2:148">
      <c r="B193" s="408" t="str">
        <f t="shared" si="211"/>
        <v>Cayston (US &amp; EU Patents 2021)</v>
      </c>
      <c r="AV193" s="116">
        <f t="shared" ref="AV193:BA193" si="221">AV170*AV125</f>
        <v>9.5</v>
      </c>
      <c r="AW193" s="116">
        <f t="shared" si="221"/>
        <v>0</v>
      </c>
      <c r="AX193" s="116">
        <f t="shared" si="221"/>
        <v>0</v>
      </c>
      <c r="AY193" s="116">
        <f t="shared" si="221"/>
        <v>0</v>
      </c>
      <c r="AZ193" s="116">
        <f t="shared" si="221"/>
        <v>0</v>
      </c>
      <c r="BA193" s="116">
        <f t="shared" si="221"/>
        <v>18.160000000000004</v>
      </c>
      <c r="BF193" s="116">
        <f t="shared" ref="BF193:CE193" si="222">BF170*BF125</f>
        <v>21.382999999999999</v>
      </c>
      <c r="BG193" s="116">
        <f t="shared" si="222"/>
        <v>6.38</v>
      </c>
      <c r="BH193" s="116">
        <f t="shared" si="222"/>
        <v>6.78</v>
      </c>
      <c r="BI193" s="116">
        <f t="shared" si="222"/>
        <v>6.9200000000000008</v>
      </c>
      <c r="BJ193" s="116">
        <f t="shared" si="222"/>
        <v>7.8000000000000007</v>
      </c>
      <c r="BK193" s="116">
        <f t="shared" si="222"/>
        <v>27.880000000000003</v>
      </c>
      <c r="BL193" s="116">
        <f t="shared" si="222"/>
        <v>7.1000000000000005</v>
      </c>
      <c r="BM193" s="116">
        <f t="shared" si="222"/>
        <v>7.8654000000000002</v>
      </c>
      <c r="BN193" s="116">
        <f t="shared" si="222"/>
        <v>8.16</v>
      </c>
      <c r="BO193" s="116">
        <f t="shared" si="222"/>
        <v>10</v>
      </c>
      <c r="BP193" s="116">
        <f t="shared" si="222"/>
        <v>33.125400000000006</v>
      </c>
      <c r="BQ193" s="116">
        <f t="shared" si="222"/>
        <v>7.6000000000000005</v>
      </c>
      <c r="BR193" s="116">
        <f t="shared" si="222"/>
        <v>9</v>
      </c>
      <c r="BS193" s="116">
        <f t="shared" si="222"/>
        <v>8.6</v>
      </c>
      <c r="BT193" s="116">
        <f t="shared" si="222"/>
        <v>9.6000000000000014</v>
      </c>
      <c r="BU193" s="116">
        <f t="shared" si="222"/>
        <v>34.800000000000004</v>
      </c>
      <c r="BV193" s="116">
        <f t="shared" si="222"/>
        <v>8.8000000000000007</v>
      </c>
      <c r="BW193" s="116">
        <f t="shared" si="222"/>
        <v>8.6</v>
      </c>
      <c r="BX193" s="116">
        <f t="shared" si="222"/>
        <v>9.8000000000000007</v>
      </c>
      <c r="BY193" s="116">
        <f t="shared" si="222"/>
        <v>10.4</v>
      </c>
      <c r="BZ193" s="116">
        <f t="shared" si="222"/>
        <v>37.6</v>
      </c>
      <c r="CA193" s="696">
        <f t="shared" si="222"/>
        <v>9</v>
      </c>
      <c r="CB193" s="696">
        <f t="shared" si="222"/>
        <v>10</v>
      </c>
      <c r="CC193" s="696">
        <f t="shared" si="222"/>
        <v>10</v>
      </c>
      <c r="CD193" s="696">
        <f t="shared" si="222"/>
        <v>11</v>
      </c>
      <c r="CE193" s="116">
        <f t="shared" si="222"/>
        <v>40</v>
      </c>
      <c r="CF193" s="696">
        <f t="shared" ref="CF193:CI193" si="223">CF170*CF125</f>
        <v>9.3600000000000012</v>
      </c>
      <c r="CG193" s="696">
        <f t="shared" si="223"/>
        <v>10.4</v>
      </c>
      <c r="CH193" s="696">
        <f t="shared" si="223"/>
        <v>10.4</v>
      </c>
      <c r="CI193" s="696">
        <f t="shared" si="223"/>
        <v>11.593191489361699</v>
      </c>
      <c r="CJ193" s="116">
        <f>CJ170*CJ125</f>
        <v>41.753191489361704</v>
      </c>
      <c r="CO193" s="116">
        <f>CO170*CO125</f>
        <v>42.748161158895428</v>
      </c>
      <c r="CT193" s="116">
        <f>CT170*CT125</f>
        <v>42.911877520780557</v>
      </c>
      <c r="CY193" s="116">
        <f>CY170*CY125</f>
        <v>40.766283644741527</v>
      </c>
      <c r="DD193" s="116">
        <f>DD170*DD125</f>
        <v>20.383141822370764</v>
      </c>
      <c r="DI193" s="116">
        <f>DI170*DI125</f>
        <v>10.191570911185382</v>
      </c>
      <c r="DN193" s="116">
        <f>DN170*DN125</f>
        <v>5.0957854555926909</v>
      </c>
      <c r="DS193" s="116">
        <f>DS170*DS125</f>
        <v>2.5478927277963455</v>
      </c>
      <c r="DX193" s="116">
        <f>DX170*DX125</f>
        <v>1.2739463638981727</v>
      </c>
      <c r="EC193" s="116">
        <f>EC170*EC125</f>
        <v>0.63697318194908636</v>
      </c>
      <c r="EH193" s="116">
        <f>EH170*EH125</f>
        <v>0.31848659097454318</v>
      </c>
      <c r="EM193" s="116">
        <f>EM170*EM125</f>
        <v>0.15924329548727159</v>
      </c>
      <c r="ER193" s="116">
        <f>ER170*ER125</f>
        <v>7.9621647743635796E-2</v>
      </c>
    </row>
    <row r="194" spans="2:148">
      <c r="B194" s="408" t="str">
        <f t="shared" si="211"/>
        <v>Zydelig (2025 Expiration)</v>
      </c>
      <c r="BL194" s="116">
        <f t="shared" ref="BL194:CE194" si="224">BL171*BL121</f>
        <v>0</v>
      </c>
      <c r="BM194" s="116">
        <f t="shared" si="224"/>
        <v>0</v>
      </c>
      <c r="BN194" s="116">
        <f t="shared" si="224"/>
        <v>0.73275000000000001</v>
      </c>
      <c r="BO194" s="116">
        <f t="shared" si="224"/>
        <v>2.125</v>
      </c>
      <c r="BP194" s="116">
        <f t="shared" si="224"/>
        <v>2.8577500000000002</v>
      </c>
      <c r="BQ194" s="116">
        <f t="shared" si="224"/>
        <v>2.99</v>
      </c>
      <c r="BR194" s="116">
        <f t="shared" si="224"/>
        <v>3.45</v>
      </c>
      <c r="BS194" s="116">
        <f t="shared" si="224"/>
        <v>4.1400000000000006</v>
      </c>
      <c r="BT194" s="116">
        <f t="shared" si="224"/>
        <v>4.6000000000000005</v>
      </c>
      <c r="BU194" s="116">
        <f t="shared" si="224"/>
        <v>15.180000000000001</v>
      </c>
      <c r="BV194" s="116">
        <f t="shared" si="224"/>
        <v>5.1450000000000005</v>
      </c>
      <c r="BW194" s="116">
        <f t="shared" si="224"/>
        <v>4.3050000000000006</v>
      </c>
      <c r="BX194" s="116">
        <f t="shared" si="224"/>
        <v>4.0950000000000006</v>
      </c>
      <c r="BY194" s="116">
        <f t="shared" si="224"/>
        <v>4.0950000000000006</v>
      </c>
      <c r="BZ194" s="116">
        <f t="shared" si="224"/>
        <v>17.64</v>
      </c>
      <c r="CA194" s="696">
        <f t="shared" si="224"/>
        <v>3.6750000000000003</v>
      </c>
      <c r="CB194" s="696">
        <f t="shared" si="224"/>
        <v>3.6750000000000003</v>
      </c>
      <c r="CC194" s="696">
        <f t="shared" si="224"/>
        <v>4.2</v>
      </c>
      <c r="CD194" s="696">
        <f t="shared" si="224"/>
        <v>4.0950000000000006</v>
      </c>
      <c r="CE194" s="116">
        <f t="shared" si="224"/>
        <v>15.645000000000001</v>
      </c>
      <c r="CF194" s="696">
        <f t="shared" ref="CF194:CI194" si="225">CF171*CF121</f>
        <v>4.1068125000000011</v>
      </c>
      <c r="CG194" s="696">
        <f t="shared" si="225"/>
        <v>4.1068125000000011</v>
      </c>
      <c r="CH194" s="696">
        <f t="shared" si="225"/>
        <v>4.1068125000000011</v>
      </c>
      <c r="CI194" s="696">
        <f t="shared" si="225"/>
        <v>4.1068125000000011</v>
      </c>
      <c r="CJ194" s="116">
        <f>CJ171*CJ121</f>
        <v>16.427250000000004</v>
      </c>
      <c r="CO194" s="116">
        <f>CO171*CO121</f>
        <v>17.248612500000007</v>
      </c>
      <c r="CT194" s="116">
        <f>CT171*CT121</f>
        <v>18.111043125000005</v>
      </c>
      <c r="CY194" s="116">
        <f>CY171*CY121</f>
        <v>19.016595281250009</v>
      </c>
      <c r="DD194" s="116">
        <f>DD171*DD121</f>
        <v>19.96742504531251</v>
      </c>
      <c r="DI194" s="116">
        <f>DI171*DI121</f>
        <v>20.965796297578137</v>
      </c>
      <c r="DN194" s="116">
        <f>DN171*DN121</f>
        <v>22.014086112457047</v>
      </c>
      <c r="DS194" s="116">
        <f>DS171*DS121</f>
        <v>23.114790418079899</v>
      </c>
      <c r="DX194" s="116">
        <f>DX171*DX121</f>
        <v>6.9344371254239698</v>
      </c>
      <c r="EC194" s="116">
        <f>EC171*EC121</f>
        <v>1.3868874250847942</v>
      </c>
      <c r="EH194" s="116">
        <f>EH171*EH121</f>
        <v>0.13868874250847943</v>
      </c>
      <c r="EM194" s="116">
        <f>EM171*EM121</f>
        <v>1.3868874250847943E-2</v>
      </c>
      <c r="ER194" s="116">
        <f>ER171*ER121</f>
        <v>1.3868874250847945E-3</v>
      </c>
    </row>
    <row r="195" spans="2:148">
      <c r="B195" s="408" t="str">
        <f t="shared" si="211"/>
        <v>Other</v>
      </c>
      <c r="C195" s="115">
        <f>C196-C192-C177</f>
        <v>1.0721500000000059</v>
      </c>
      <c r="H195" s="115">
        <f>H196-H192-H177</f>
        <v>1.289787499999985</v>
      </c>
      <c r="M195" s="115" t="e">
        <f>M196-M192-M177-#REF!-#REF!</f>
        <v>#REF!</v>
      </c>
      <c r="R195" s="115" t="e">
        <f>R196-R192-R177-#REF!-#REF!-R176</f>
        <v>#REF!</v>
      </c>
      <c r="W195" s="115" t="e">
        <f>W196-W192-W177-#REF!-#REF!-W176</f>
        <v>#REF!</v>
      </c>
      <c r="AB195" s="115" t="e">
        <f>AB196-AB192-AB177-#REF!-#REF!-AB176-AB175</f>
        <v>#REF!</v>
      </c>
      <c r="AG195" s="115" t="e">
        <f>AG196-AG192-AG177-#REF!-#REF!-AG176-AG175-AG190</f>
        <v>#REF!</v>
      </c>
      <c r="AL195" s="115" t="e">
        <f>AL196-AL192-AL177-#REF!-#REF!-AL176-AL175-AL190</f>
        <v>#REF!</v>
      </c>
      <c r="AQ195" s="115" t="e">
        <f>AQ196-AQ192-AQ177-#REF!-#REF!-AQ176-AQ175-AQ190-AQ191</f>
        <v>#REF!</v>
      </c>
      <c r="AV195" s="115" t="e">
        <f>AV196-AV192-AV177-#REF!-#REF!-AV176-AV175-AV190-AV191-AV193</f>
        <v>#REF!</v>
      </c>
      <c r="AW195" s="115" t="e">
        <f>AW196-AW192-AW177-#REF!-#REF!-AW176-AW175-AW190-AW191-AW193</f>
        <v>#REF!</v>
      </c>
      <c r="AX195" s="115" t="e">
        <f>AX196-AX192-AX177-#REF!-#REF!-AX176-AX175-AX190-AX191-AX193</f>
        <v>#REF!</v>
      </c>
      <c r="AY195" s="115" t="e">
        <f>AY196-AY192-AY177-#REF!-#REF!-AY176-AY175-AY190-AY191-AY193</f>
        <v>#REF!</v>
      </c>
      <c r="AZ195" s="115" t="e">
        <f>AZ196-AZ192-AZ177-#REF!-#REF!-AZ176-AZ175-AZ190-AZ191-AZ193</f>
        <v>#REF!</v>
      </c>
      <c r="BA195" s="115" t="e">
        <f>BA196-BA192-BA177-#REF!-#REF!-BA176-BA175-BA190-BA191-BA193-BA178</f>
        <v>#REF!</v>
      </c>
      <c r="BF195" s="115"/>
      <c r="BG195" s="115" t="e">
        <f>BG196-BG192-BG177-#REF!-#REF!-BG176-BG175-BG190-BG191-BG193-BG178-BG179</f>
        <v>#REF!</v>
      </c>
      <c r="BH195" s="115" t="e">
        <f>BH196-BH192-BH177-#REF!-#REF!-BH176-BH175-BH190-BH191-BH193-BH178-BH179</f>
        <v>#REF!</v>
      </c>
      <c r="BI195" s="115" t="e">
        <f>BI196-BI192-BI177-#REF!-#REF!-BI176-BI175-BI190-BI191-BI193-BI178-BI179</f>
        <v>#REF!</v>
      </c>
      <c r="BJ195" s="115" t="e">
        <f>BJ196-BJ192-BJ177-#REF!-#REF!-BJ176-BJ175-BJ190-BJ191-BJ193-BJ178-BJ179-BJ186</f>
        <v>#REF!</v>
      </c>
      <c r="BK195" s="581">
        <f>BK196-BK192-BK177-BK176-BK175-BK190-BK191-BK193-BK178-BK179-BK186</f>
        <v>13.36642550000003</v>
      </c>
      <c r="BL195" s="581">
        <f>BL196-BL192-BL177-BL176-BL175-BL190-BL191-BL193-BL178-BL179-BL186-BL194</f>
        <v>-64.083852499999892</v>
      </c>
      <c r="BM195" s="581">
        <f>BM196-BM192-BM177-BM176-BM175-BM190-BM191-BM193-BM178-BM179-BM186-BM194</f>
        <v>-50.209834999999963</v>
      </c>
      <c r="BN195" s="581">
        <f t="shared" ref="BN195:BU195" si="226">BN196-BN192-BN177-BN176-BN175-BN190-BN191-BN193-BN178-BN179-BN186-BN194-BN184</f>
        <v>-35.770006000000002</v>
      </c>
      <c r="BO195" s="581">
        <f t="shared" si="226"/>
        <v>-34.168999999999912</v>
      </c>
      <c r="BP195" s="581">
        <f t="shared" si="226"/>
        <v>-184.25508350000018</v>
      </c>
      <c r="BQ195" s="581">
        <f t="shared" si="226"/>
        <v>-44.371500000000083</v>
      </c>
      <c r="BR195" s="581">
        <f t="shared" si="226"/>
        <v>-21.79200000000003</v>
      </c>
      <c r="BS195" s="581">
        <f t="shared" si="226"/>
        <v>8.7649999999999935</v>
      </c>
      <c r="BT195" s="581">
        <f t="shared" si="226"/>
        <v>1.3499999999858403E-2</v>
      </c>
      <c r="BU195" s="581">
        <f t="shared" si="226"/>
        <v>-57.385000000000304</v>
      </c>
      <c r="BV195" s="581">
        <f>BV196-BV192-BV177-BV176-BV175-BV190-BV191-BV193-BV178-BV179-BV186-BV194-BV184-BV180-BV181-BV182-BV183-BV185</f>
        <v>207.58750000000006</v>
      </c>
      <c r="BW195" s="581">
        <f>BW196-BW192-BW177-BW176-BW175-BW190-BW191-BW193-BW178-BW179-BW186-BW194-BW184-BW180-BW181-BW182-BW183-BW185</f>
        <v>-180.42349999999993</v>
      </c>
      <c r="BX195" s="581">
        <f>BX196-BX192-BX177-BX176-BX175-BX190-BX191-BX193-BX178-BX179-BX186-BX194-BX184-BX180-BX181-BX182-BX183-BX185</f>
        <v>-27.147500000000086</v>
      </c>
      <c r="BY195" s="581">
        <f>BY196-BY192-BY177-BY176-BY175-BY190-BY191-BY193-BY178-BY179-BY186-BY194-BY184-BY180-BY181-BY182-BY183-BY185</f>
        <v>-36.499499999999856</v>
      </c>
      <c r="BZ195" s="115">
        <f>SUM(BV195:BY195)</f>
        <v>-36.482999999999812</v>
      </c>
      <c r="CA195" s="581">
        <f>CA196-CA192-CA177-CA176-CA175-CA190-CA191-CA193-CA178-CA179-CA186-CA194-CA184-CA180-CA181-CA182-CA183-CA185-CA187-CA188-CA189</f>
        <v>-42.265500000000017</v>
      </c>
      <c r="CB195" s="581">
        <f>CB196-CB192-CB177-CB176-CB175-CB190-CB191-CB193-CB178-CB179-CB186-CB194-CB184-CB180-CB181-CB182-CB183-CB185-CB187-CB188-CB189</f>
        <v>37.735499999999995</v>
      </c>
      <c r="CC195" s="581">
        <f>CC196-CC192-CC177-CC176-CC175-CC190-CC191-CC193-CC178-CC179-CC186-CC194-CC184-CC180-CC181-CC182-CC183-CC185-CC187-CC188-CC189</f>
        <v>-27.399500000000121</v>
      </c>
      <c r="CD195" s="581">
        <f>CD196-CD192-CD177-CD176-CD175-CD190-CD191-CD193-CD178-CD179-CD186-CD194-CD184-CD180-CD181-CD182-CD183-CD185-CD187-CD188-CD189</f>
        <v>94.950999999999993</v>
      </c>
      <c r="CE195" s="695">
        <f>SUM(CA195:CD195)</f>
        <v>63.021499999999847</v>
      </c>
      <c r="CF195" s="695">
        <f t="shared" ref="CF195:DK195" si="227">CF172*(CF128+CF84)</f>
        <v>0</v>
      </c>
      <c r="CG195" s="695">
        <f t="shared" si="227"/>
        <v>0</v>
      </c>
      <c r="CH195" s="695">
        <f t="shared" si="227"/>
        <v>0</v>
      </c>
      <c r="CI195" s="695">
        <f t="shared" si="227"/>
        <v>0</v>
      </c>
      <c r="CJ195" s="695">
        <f t="shared" si="227"/>
        <v>0</v>
      </c>
      <c r="CK195" s="695">
        <f t="shared" si="227"/>
        <v>0</v>
      </c>
      <c r="CL195" s="695">
        <f t="shared" si="227"/>
        <v>0</v>
      </c>
      <c r="CM195" s="695">
        <f t="shared" si="227"/>
        <v>0</v>
      </c>
      <c r="CN195" s="695">
        <f t="shared" si="227"/>
        <v>0</v>
      </c>
      <c r="CO195" s="695">
        <f t="shared" si="227"/>
        <v>0</v>
      </c>
      <c r="CP195" s="695">
        <f t="shared" si="227"/>
        <v>0</v>
      </c>
      <c r="CQ195" s="695">
        <f t="shared" si="227"/>
        <v>0</v>
      </c>
      <c r="CR195" s="695">
        <f t="shared" si="227"/>
        <v>0</v>
      </c>
      <c r="CS195" s="695">
        <f t="shared" si="227"/>
        <v>0</v>
      </c>
      <c r="CT195" s="695">
        <f t="shared" si="227"/>
        <v>0</v>
      </c>
      <c r="CU195" s="695">
        <f t="shared" si="227"/>
        <v>0</v>
      </c>
      <c r="CV195" s="695">
        <f t="shared" si="227"/>
        <v>0</v>
      </c>
      <c r="CW195" s="695">
        <f t="shared" si="227"/>
        <v>0</v>
      </c>
      <c r="CX195" s="695">
        <f t="shared" si="227"/>
        <v>0</v>
      </c>
      <c r="CY195" s="695">
        <f t="shared" si="227"/>
        <v>0</v>
      </c>
      <c r="CZ195" s="695">
        <f t="shared" si="227"/>
        <v>0</v>
      </c>
      <c r="DA195" s="695">
        <f t="shared" si="227"/>
        <v>0</v>
      </c>
      <c r="DB195" s="695">
        <f t="shared" si="227"/>
        <v>0</v>
      </c>
      <c r="DC195" s="695">
        <f t="shared" si="227"/>
        <v>0</v>
      </c>
      <c r="DD195" s="695">
        <f t="shared" si="227"/>
        <v>0</v>
      </c>
      <c r="DE195" s="695">
        <f t="shared" si="227"/>
        <v>0</v>
      </c>
      <c r="DF195" s="695">
        <f t="shared" si="227"/>
        <v>0</v>
      </c>
      <c r="DG195" s="695">
        <f t="shared" si="227"/>
        <v>0</v>
      </c>
      <c r="DH195" s="695">
        <f t="shared" si="227"/>
        <v>0</v>
      </c>
      <c r="DI195" s="695">
        <f t="shared" si="227"/>
        <v>0</v>
      </c>
      <c r="DJ195" s="695">
        <f t="shared" si="227"/>
        <v>0</v>
      </c>
      <c r="DK195" s="695">
        <f t="shared" si="227"/>
        <v>0</v>
      </c>
      <c r="DL195" s="695">
        <f t="shared" ref="DL195:ER195" si="228">DL172*(DL128+DL84)</f>
        <v>0</v>
      </c>
      <c r="DM195" s="695">
        <f t="shared" si="228"/>
        <v>0</v>
      </c>
      <c r="DN195" s="695">
        <f t="shared" si="228"/>
        <v>0</v>
      </c>
      <c r="DO195" s="695">
        <f t="shared" si="228"/>
        <v>0</v>
      </c>
      <c r="DP195" s="695">
        <f t="shared" si="228"/>
        <v>0</v>
      </c>
      <c r="DQ195" s="695">
        <f t="shared" si="228"/>
        <v>0</v>
      </c>
      <c r="DR195" s="695">
        <f t="shared" si="228"/>
        <v>0</v>
      </c>
      <c r="DS195" s="695">
        <f t="shared" si="228"/>
        <v>0</v>
      </c>
      <c r="DT195" s="695">
        <f t="shared" si="228"/>
        <v>0</v>
      </c>
      <c r="DU195" s="695">
        <f t="shared" si="228"/>
        <v>0</v>
      </c>
      <c r="DV195" s="695">
        <f t="shared" si="228"/>
        <v>0</v>
      </c>
      <c r="DW195" s="695">
        <f t="shared" si="228"/>
        <v>0</v>
      </c>
      <c r="DX195" s="695">
        <f t="shared" si="228"/>
        <v>0</v>
      </c>
      <c r="DY195" s="695">
        <f t="shared" si="228"/>
        <v>0</v>
      </c>
      <c r="DZ195" s="695">
        <f t="shared" si="228"/>
        <v>0</v>
      </c>
      <c r="EA195" s="695">
        <f t="shared" si="228"/>
        <v>0</v>
      </c>
      <c r="EB195" s="695">
        <f t="shared" si="228"/>
        <v>0</v>
      </c>
      <c r="EC195" s="695">
        <f t="shared" si="228"/>
        <v>0</v>
      </c>
      <c r="ED195" s="695">
        <f t="shared" si="228"/>
        <v>0</v>
      </c>
      <c r="EE195" s="695">
        <f t="shared" si="228"/>
        <v>0</v>
      </c>
      <c r="EF195" s="695">
        <f t="shared" si="228"/>
        <v>0</v>
      </c>
      <c r="EG195" s="695">
        <f t="shared" si="228"/>
        <v>0</v>
      </c>
      <c r="EH195" s="695">
        <f t="shared" si="228"/>
        <v>0</v>
      </c>
      <c r="EI195" s="695">
        <f t="shared" si="228"/>
        <v>0</v>
      </c>
      <c r="EJ195" s="695">
        <f t="shared" si="228"/>
        <v>0</v>
      </c>
      <c r="EK195" s="695">
        <f t="shared" si="228"/>
        <v>0</v>
      </c>
      <c r="EL195" s="695">
        <f t="shared" si="228"/>
        <v>0</v>
      </c>
      <c r="EM195" s="695">
        <f t="shared" si="228"/>
        <v>0</v>
      </c>
      <c r="EN195" s="695">
        <f t="shared" si="228"/>
        <v>0</v>
      </c>
      <c r="EO195" s="695">
        <f t="shared" si="228"/>
        <v>0</v>
      </c>
      <c r="EP195" s="695">
        <f t="shared" si="228"/>
        <v>0</v>
      </c>
      <c r="EQ195" s="695">
        <f t="shared" si="228"/>
        <v>0</v>
      </c>
      <c r="ER195" s="695">
        <f t="shared" si="228"/>
        <v>0</v>
      </c>
    </row>
    <row r="196" spans="2:148">
      <c r="B196" s="698" t="s">
        <v>719</v>
      </c>
      <c r="C196" s="116">
        <f>IS!C9</f>
        <v>43.764000000000003</v>
      </c>
      <c r="H196" s="116">
        <f>IS!H9</f>
        <v>69.72399999999999</v>
      </c>
      <c r="M196" s="116">
        <f>IS!M9</f>
        <v>111.98699999999999</v>
      </c>
      <c r="R196" s="116">
        <f>IS!R9</f>
        <v>166.58799999999999</v>
      </c>
      <c r="W196" s="116">
        <f>IS!W9</f>
        <v>260.32600000000002</v>
      </c>
      <c r="AB196" s="116">
        <f>IS!AB9</f>
        <v>422.44899999999996</v>
      </c>
      <c r="AG196" s="116">
        <f>IS!AG9</f>
        <v>757.54700000000003</v>
      </c>
      <c r="AL196" s="116">
        <f>IS!AL9</f>
        <v>1116.934</v>
      </c>
      <c r="AQ196" s="116">
        <f>IS!AQ9</f>
        <v>1529.922</v>
      </c>
      <c r="AV196" s="116">
        <f>IS!AV9</f>
        <v>1792.749</v>
      </c>
      <c r="BA196" s="116">
        <f>IS!BA9</f>
        <v>2046.348</v>
      </c>
      <c r="BB196" s="116">
        <f>IS!BB9</f>
        <v>562.99400000000003</v>
      </c>
      <c r="BC196" s="116">
        <f>IS!BC9</f>
        <v>599.39</v>
      </c>
      <c r="BD196" s="116">
        <f>IS!BD9</f>
        <v>579.56799999999998</v>
      </c>
      <c r="BE196" s="116">
        <f>IS!BE9</f>
        <v>659.00400000000002</v>
      </c>
      <c r="BF196" s="116">
        <f>IS!BF9</f>
        <v>2400.9560000000001</v>
      </c>
      <c r="BG196" s="116">
        <f>IS!BG9</f>
        <v>611.34299999999996</v>
      </c>
      <c r="BH196" s="116">
        <f>IS!BH9</f>
        <v>660.76700000000005</v>
      </c>
      <c r="BI196" s="116">
        <f>IS!BI9</f>
        <v>658.78100000000006</v>
      </c>
      <c r="BJ196" s="116">
        <f>IS!BJ9</f>
        <v>777.48400000000004</v>
      </c>
      <c r="BK196" s="402">
        <f>IS!BK9</f>
        <v>2708.375</v>
      </c>
      <c r="BL196" s="402">
        <f>IS!BL9</f>
        <v>611.33300000000008</v>
      </c>
      <c r="BM196" s="402">
        <f>IS!BM9</f>
        <v>722.91399999999999</v>
      </c>
      <c r="BN196" s="402">
        <f>IS!BN9</f>
        <v>783.09</v>
      </c>
      <c r="BO196" s="402">
        <f>IS!BO9</f>
        <v>847</v>
      </c>
      <c r="BP196" s="402">
        <f>IS!BP9</f>
        <v>2964.337</v>
      </c>
      <c r="BQ196" s="402">
        <f>IS!BQ9</f>
        <v>674</v>
      </c>
      <c r="BR196" s="402">
        <f>IS!BR9</f>
        <v>788</v>
      </c>
      <c r="BS196" s="402">
        <f>IS!BS9</f>
        <v>856</v>
      </c>
      <c r="BT196" s="402">
        <f>IS!BT9</f>
        <v>857</v>
      </c>
      <c r="BU196" s="402">
        <f>IS!BU9</f>
        <v>3175</v>
      </c>
      <c r="BV196" s="402">
        <f>IS!BV9</f>
        <v>983</v>
      </c>
      <c r="BW196" s="402">
        <f>IS!BW9</f>
        <v>653</v>
      </c>
      <c r="BX196" s="402">
        <f>IS!BX9</f>
        <v>918</v>
      </c>
      <c r="BY196" s="402">
        <f>IS!BY9</f>
        <v>860</v>
      </c>
      <c r="BZ196" s="116">
        <f>SUM(BZ175:BZ195)</f>
        <v>3414</v>
      </c>
      <c r="CA196" s="402">
        <f>IS!CA9</f>
        <v>743</v>
      </c>
      <c r="CB196" s="402">
        <f>IS!CB9</f>
        <v>892</v>
      </c>
      <c r="CC196" s="402">
        <f>IS!CC9</f>
        <v>821</v>
      </c>
      <c r="CD196" s="402">
        <f>IS!CD9</f>
        <v>966</v>
      </c>
      <c r="CE196" s="116">
        <f>SUM(CE175:CE195)</f>
        <v>3421.9999999999995</v>
      </c>
      <c r="CF196" s="696">
        <f t="shared" ref="CF196:CI196" si="229">SUM(CF175:CF195)</f>
        <v>684.14090070626048</v>
      </c>
      <c r="CG196" s="696">
        <f t="shared" si="229"/>
        <v>731.26620783747046</v>
      </c>
      <c r="CH196" s="696">
        <f t="shared" si="229"/>
        <v>743.5343055774988</v>
      </c>
      <c r="CI196" s="696">
        <f t="shared" si="229"/>
        <v>775.20921262115803</v>
      </c>
      <c r="CJ196" s="116">
        <f>SUM(CJ175:CJ195)</f>
        <v>2934.1506267423874</v>
      </c>
      <c r="CO196" s="116">
        <f>SUM(CO175:CO195)</f>
        <v>3010.2559795491879</v>
      </c>
      <c r="CT196" s="116">
        <f>SUM(CT175:CT195)</f>
        <v>3248.100691631982</v>
      </c>
      <c r="CY196" s="116">
        <f>SUM(CY175:CY195)</f>
        <v>3118.0407598732345</v>
      </c>
      <c r="DD196" s="116">
        <f>SUM(DD175:DD195)</f>
        <v>3141.3729635245586</v>
      </c>
      <c r="DI196" s="116">
        <f>SUM(DI175:DI195)</f>
        <v>3253.6937536940432</v>
      </c>
      <c r="DN196" s="116">
        <f>SUM(DN175:DN195)</f>
        <v>3364.6070040639661</v>
      </c>
      <c r="DS196" s="116">
        <f>SUM(DS175:DS195)</f>
        <v>2479.5650204321146</v>
      </c>
      <c r="DX196" s="116">
        <f>SUM(DX175:DX195)</f>
        <v>2228.8970903364998</v>
      </c>
      <c r="EC196" s="116">
        <f>SUM(EC175:EC195)</f>
        <v>2214.7139978287605</v>
      </c>
      <c r="EH196" s="116">
        <f>SUM(EH175:EH195)</f>
        <v>2210.8937249804248</v>
      </c>
      <c r="EM196" s="116">
        <f>SUM(EM175:EM195)</f>
        <v>1827.0277164788702</v>
      </c>
      <c r="ER196" s="116">
        <f>SUM(ER175:ER195)</f>
        <v>1819.4826724052314</v>
      </c>
    </row>
    <row r="218" spans="88:88">
      <c r="CJ218" s="17"/>
    </row>
  </sheetData>
  <mergeCells count="29">
    <mergeCell ref="AW1:BA1"/>
    <mergeCell ref="BB1:BF1"/>
    <mergeCell ref="CP1:CT1"/>
    <mergeCell ref="BL1:BP1"/>
    <mergeCell ref="BQ1:BU1"/>
    <mergeCell ref="BV1:BZ1"/>
    <mergeCell ref="CA1:CE1"/>
    <mergeCell ref="CF1:CJ1"/>
    <mergeCell ref="CK1:CO1"/>
    <mergeCell ref="BG1:BK1"/>
    <mergeCell ref="AH1:AL1"/>
    <mergeCell ref="AM1:AQ1"/>
    <mergeCell ref="AR1:AV1"/>
    <mergeCell ref="D1:H1"/>
    <mergeCell ref="I1:M1"/>
    <mergeCell ref="N1:R1"/>
    <mergeCell ref="S1:W1"/>
    <mergeCell ref="X1:AB1"/>
    <mergeCell ref="AC1:AG1"/>
    <mergeCell ref="CU1:CY1"/>
    <mergeCell ref="CZ1:DD1"/>
    <mergeCell ref="DE1:DI1"/>
    <mergeCell ref="DJ1:DN1"/>
    <mergeCell ref="DO1:DS1"/>
    <mergeCell ref="DT1:DX1"/>
    <mergeCell ref="DY1:EC1"/>
    <mergeCell ref="ED1:EH1"/>
    <mergeCell ref="EI1:EM1"/>
    <mergeCell ref="EN1:ER1"/>
  </mergeCells>
  <phoneticPr fontId="21" type="noConversion"/>
  <pageMargins left="0" right="0" top="0" bottom="0" header="0" footer="0"/>
  <pageSetup paperSize="5" scale="30"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N196"/>
  <sheetViews>
    <sheetView zoomScaleNormal="100" workbookViewId="0">
      <pane xSplit="2" ySplit="1" topLeftCell="Q2" activePane="bottomRight" state="frozen"/>
      <selection pane="topRight" activeCell="C1" sqref="C1"/>
      <selection pane="bottomLeft" activeCell="A2" sqref="A2"/>
      <selection pane="bottomRight" activeCell="B1" sqref="B1:AF42"/>
    </sheetView>
  </sheetViews>
  <sheetFormatPr defaultColWidth="9.42578125" defaultRowHeight="12.75" customHeight="1" outlineLevelRow="1" outlineLevelCol="1"/>
  <cols>
    <col min="1" max="1" width="1.5703125" style="1" customWidth="1"/>
    <col min="2" max="2" width="43.28515625" style="1" customWidth="1"/>
    <col min="3" max="10" width="9.42578125" style="1" hidden="1" customWidth="1" outlineLevel="1"/>
    <col min="11" max="11" width="9.42578125" style="1" customWidth="1" collapsed="1"/>
    <col min="12" max="32" width="9.42578125" style="1" customWidth="1"/>
    <col min="33" max="33" width="9.140625" style="1" customWidth="1"/>
    <col min="34" max="34" width="9.28515625" style="1" bestFit="1" customWidth="1"/>
    <col min="35" max="35" width="25.85546875" customWidth="1"/>
    <col min="36" max="40" width="9.140625" customWidth="1"/>
    <col min="41" max="248" width="9.140625" style="1" customWidth="1"/>
    <col min="249" max="249" width="3.42578125" style="1" customWidth="1"/>
    <col min="250" max="250" width="33.85546875" style="1" customWidth="1"/>
    <col min="251" max="16384" width="9.42578125" style="1"/>
  </cols>
  <sheetData>
    <row r="1" spans="2:40" s="9" customFormat="1" ht="12.75" customHeight="1">
      <c r="C1" s="114" t="s">
        <v>1</v>
      </c>
      <c r="D1" s="114" t="s">
        <v>2</v>
      </c>
      <c r="E1" s="114" t="s">
        <v>3</v>
      </c>
      <c r="F1" s="114" t="s">
        <v>4</v>
      </c>
      <c r="G1" s="114" t="s">
        <v>5</v>
      </c>
      <c r="H1" s="114" t="s">
        <v>6</v>
      </c>
      <c r="I1" s="114" t="s">
        <v>7</v>
      </c>
      <c r="J1" s="114" t="s">
        <v>8</v>
      </c>
      <c r="K1" s="114">
        <v>2009</v>
      </c>
      <c r="L1" s="114">
        <v>2010</v>
      </c>
      <c r="M1" s="114">
        <v>2011</v>
      </c>
      <c r="N1" s="114">
        <v>2012</v>
      </c>
      <c r="O1" s="114">
        <v>2013</v>
      </c>
      <c r="P1" s="114">
        <v>2014</v>
      </c>
      <c r="Q1" s="114">
        <v>2015</v>
      </c>
      <c r="R1" s="114">
        <v>2016</v>
      </c>
      <c r="S1" s="114">
        <v>2017</v>
      </c>
      <c r="T1" s="114" t="s">
        <v>14</v>
      </c>
      <c r="U1" s="114" t="s">
        <v>15</v>
      </c>
      <c r="V1" s="114" t="s">
        <v>16</v>
      </c>
      <c r="W1" s="610" t="s">
        <v>741</v>
      </c>
      <c r="X1" s="610" t="s">
        <v>742</v>
      </c>
      <c r="Y1" s="610" t="s">
        <v>743</v>
      </c>
      <c r="Z1" s="610" t="s">
        <v>744</v>
      </c>
      <c r="AA1" s="610" t="s">
        <v>745</v>
      </c>
      <c r="AB1" s="610" t="s">
        <v>746</v>
      </c>
      <c r="AC1" s="610" t="s">
        <v>747</v>
      </c>
      <c r="AD1" s="610" t="s">
        <v>748</v>
      </c>
      <c r="AE1" s="610" t="s">
        <v>749</v>
      </c>
      <c r="AF1" s="610" t="s">
        <v>750</v>
      </c>
      <c r="AI1"/>
      <c r="AJ1"/>
      <c r="AK1"/>
      <c r="AL1"/>
      <c r="AM1"/>
      <c r="AN1"/>
    </row>
    <row r="2" spans="2:40" ht="12.75" customHeight="1">
      <c r="B2" s="9" t="s">
        <v>503</v>
      </c>
      <c r="S2" s="696"/>
    </row>
    <row r="3" spans="2:40" ht="12.75" customHeight="1">
      <c r="B3" s="21" t="s">
        <v>175</v>
      </c>
      <c r="C3" s="120">
        <v>123.49</v>
      </c>
      <c r="D3" s="120">
        <v>616.93100000000004</v>
      </c>
      <c r="E3" s="120">
        <v>194.71899999999999</v>
      </c>
      <c r="F3" s="120">
        <v>280.90899999999999</v>
      </c>
      <c r="G3" s="120">
        <v>707.91300000000001</v>
      </c>
      <c r="H3" s="120">
        <v>816.00699999999995</v>
      </c>
      <c r="I3" s="120">
        <v>968.08600000000001</v>
      </c>
      <c r="J3" s="120">
        <v>1459.3019999999999</v>
      </c>
      <c r="K3" s="116">
        <v>1272.9580000000001</v>
      </c>
      <c r="L3" s="116">
        <f>907.879</f>
        <v>907.87900000000002</v>
      </c>
      <c r="M3" s="116">
        <v>9883.777</v>
      </c>
      <c r="N3" s="116">
        <v>1803.694</v>
      </c>
      <c r="O3" s="385">
        <v>2112.806</v>
      </c>
      <c r="P3" s="385">
        <v>10027</v>
      </c>
      <c r="Q3" s="385">
        <v>12851</v>
      </c>
      <c r="R3" s="385">
        <v>8229</v>
      </c>
      <c r="S3" s="385">
        <v>7588</v>
      </c>
      <c r="T3" s="116">
        <f>CF!T49</f>
        <v>11996.46400338654</v>
      </c>
      <c r="U3" s="116">
        <f>CF!U49</f>
        <v>16788.471408828034</v>
      </c>
      <c r="V3" s="116">
        <f>CF!V49</f>
        <v>16311.502477724836</v>
      </c>
      <c r="W3" s="116">
        <f>CF!W49</f>
        <v>18718.544366722545</v>
      </c>
      <c r="X3" s="116">
        <f>CF!X49</f>
        <v>18737.228949552504</v>
      </c>
      <c r="Y3" s="116">
        <f>CF!Y49</f>
        <v>21713.940144348548</v>
      </c>
      <c r="Z3" s="116">
        <f>CF!Z49</f>
        <v>29020.684995086729</v>
      </c>
      <c r="AA3" s="116">
        <f>CF!AA49</f>
        <v>35050.100319751815</v>
      </c>
      <c r="AB3" s="116">
        <f>CF!AB49</f>
        <v>38259.928606119225</v>
      </c>
      <c r="AC3" s="116">
        <f>CF!AC49</f>
        <v>42328.223893054717</v>
      </c>
      <c r="AD3" s="116">
        <f>CF!AD49</f>
        <v>47356.700639049763</v>
      </c>
      <c r="AE3" s="116">
        <f>CF!AE49</f>
        <v>52103.333445795572</v>
      </c>
      <c r="AF3" s="116">
        <f>CF!AF49</f>
        <v>58760.583701254742</v>
      </c>
      <c r="AG3" s="116"/>
      <c r="AH3" s="8"/>
    </row>
    <row r="4" spans="2:40" ht="12.75" customHeight="1">
      <c r="B4" s="21" t="s">
        <v>176</v>
      </c>
      <c r="C4" s="120">
        <v>459.36099999999999</v>
      </c>
      <c r="D4" s="120">
        <v>325.44299999999998</v>
      </c>
      <c r="E4" s="120">
        <v>512.28099999999995</v>
      </c>
      <c r="F4" s="120">
        <v>973.12900000000002</v>
      </c>
      <c r="G4" s="120">
        <v>1603.12</v>
      </c>
      <c r="H4" s="120">
        <v>120.84399999999999</v>
      </c>
      <c r="I4" s="120">
        <v>203.892</v>
      </c>
      <c r="J4" s="120">
        <v>330.76</v>
      </c>
      <c r="K4" s="116">
        <v>384.017</v>
      </c>
      <c r="L4" s="116">
        <v>1190.789</v>
      </c>
      <c r="M4" s="116">
        <v>16.491</v>
      </c>
      <c r="N4" s="116">
        <v>58.555999999999997</v>
      </c>
      <c r="O4" s="385">
        <v>18.756</v>
      </c>
      <c r="P4" s="385">
        <v>101</v>
      </c>
      <c r="Q4" s="385">
        <v>1756</v>
      </c>
      <c r="R4" s="385">
        <v>3666</v>
      </c>
      <c r="S4" s="385">
        <v>17922</v>
      </c>
      <c r="T4" s="116">
        <f>S4-CF!T24-CF!T23-CF!T22</f>
        <v>15629.8</v>
      </c>
      <c r="U4" s="116">
        <f>T4-CF!U24-CF!U23-CF!U22</f>
        <v>13566.82</v>
      </c>
      <c r="V4" s="116">
        <f>U4-CF!V24-CF!V23-CF!V22</f>
        <v>11710.137999999999</v>
      </c>
      <c r="W4" s="116">
        <f>V4-CF!W24-CF!W23-CF!W22</f>
        <v>10039.124199999998</v>
      </c>
      <c r="X4" s="116">
        <f>W4-CF!X24-CF!X23-CF!X22</f>
        <v>8535.2117799999978</v>
      </c>
      <c r="Y4" s="116">
        <f>X4-CF!Y24-CF!Y23-CF!Y22</f>
        <v>7181.6906019999979</v>
      </c>
      <c r="Z4" s="116">
        <f>Y4-CF!Z24-CF!Z23-CF!Z22</f>
        <v>5963.521541799998</v>
      </c>
      <c r="AA4" s="116">
        <f>Z4-CF!AA24-CF!AA23-CF!AA22</f>
        <v>4867.1693876199979</v>
      </c>
      <c r="AB4" s="116">
        <f>AA4-CF!AB24-CF!AB23-CF!AB22</f>
        <v>3880.4524488579982</v>
      </c>
      <c r="AC4" s="116">
        <f>AB4-CF!AC24-CF!AC23-CF!AC22</f>
        <v>2992.4072039721982</v>
      </c>
      <c r="AD4" s="116">
        <f>AC4-CF!AD24-CF!AD23-CF!AD22</f>
        <v>2193.1664835749784</v>
      </c>
      <c r="AE4" s="116">
        <f>AD4-CF!AE24-CF!AE23-CF!AE22</f>
        <v>1473.8498352174806</v>
      </c>
      <c r="AF4" s="116">
        <f>AE4-CF!AF24-CF!AF23-CF!AF22</f>
        <v>826.46485169573248</v>
      </c>
      <c r="AG4" s="696"/>
    </row>
    <row r="5" spans="2:40" ht="12.75" customHeight="1">
      <c r="B5" s="21" t="s">
        <v>177</v>
      </c>
      <c r="C5" s="120">
        <v>74.227999999999994</v>
      </c>
      <c r="D5" s="120">
        <v>125.036</v>
      </c>
      <c r="E5" s="120">
        <v>235.21700000000001</v>
      </c>
      <c r="F5" s="120">
        <v>371.245</v>
      </c>
      <c r="G5" s="120">
        <v>396.125</v>
      </c>
      <c r="H5" s="120">
        <v>609.32000000000005</v>
      </c>
      <c r="I5" s="120">
        <v>795.12699999999995</v>
      </c>
      <c r="J5" s="120">
        <v>1023.397</v>
      </c>
      <c r="K5" s="116">
        <v>1389.5340000000001</v>
      </c>
      <c r="L5" s="116">
        <v>1621.9659999999999</v>
      </c>
      <c r="M5" s="116">
        <v>1951.1669999999999</v>
      </c>
      <c r="N5" s="116">
        <v>1751.3879999999999</v>
      </c>
      <c r="O5" s="385">
        <v>2100.2860000000001</v>
      </c>
      <c r="P5" s="385">
        <v>4635</v>
      </c>
      <c r="Q5" s="385">
        <v>5854</v>
      </c>
      <c r="R5" s="385">
        <v>4514</v>
      </c>
      <c r="S5" s="385">
        <v>3851</v>
      </c>
      <c r="T5" s="116">
        <f t="shared" ref="T5:AF5" si="0">T65</f>
        <v>3103.4401761839472</v>
      </c>
      <c r="U5" s="116">
        <f t="shared" si="0"/>
        <v>3147.9802915323012</v>
      </c>
      <c r="V5" s="116">
        <f t="shared" si="0"/>
        <v>3348.2422743464663</v>
      </c>
      <c r="W5" s="116">
        <f>W65</f>
        <v>3166.6680802675555</v>
      </c>
      <c r="X5" s="116">
        <f t="shared" si="0"/>
        <v>3271.8308827071019</v>
      </c>
      <c r="Y5" s="116">
        <f t="shared" si="0"/>
        <v>3396.9522524868062</v>
      </c>
      <c r="Z5" s="116">
        <f t="shared" si="0"/>
        <v>3527.0647340980081</v>
      </c>
      <c r="AA5" s="116">
        <f t="shared" si="0"/>
        <v>2733.4762803843</v>
      </c>
      <c r="AB5" s="116">
        <f t="shared" si="0"/>
        <v>2493.2731923375659</v>
      </c>
      <c r="AC5" s="116">
        <f t="shared" si="0"/>
        <v>2471.7239683804219</v>
      </c>
      <c r="AD5" s="116">
        <f t="shared" si="0"/>
        <v>2463.2686010162156</v>
      </c>
      <c r="AE5" s="116">
        <f t="shared" si="0"/>
        <v>2071.9061204421068</v>
      </c>
      <c r="AF5" s="116">
        <f t="shared" si="0"/>
        <v>1987.7667136152841</v>
      </c>
      <c r="AG5" s="696"/>
    </row>
    <row r="6" spans="2:40" ht="12.75" customHeight="1">
      <c r="B6" s="21" t="s">
        <v>178</v>
      </c>
      <c r="C6" s="120">
        <v>39.28</v>
      </c>
      <c r="D6" s="120">
        <v>51.628</v>
      </c>
      <c r="E6" s="120">
        <v>98.102000000000004</v>
      </c>
      <c r="F6" s="120">
        <v>135.99100000000001</v>
      </c>
      <c r="G6" s="120">
        <v>216.90299999999999</v>
      </c>
      <c r="H6" s="120">
        <v>564.14499999999998</v>
      </c>
      <c r="I6" s="120">
        <v>599.96600000000001</v>
      </c>
      <c r="J6" s="120">
        <v>927.86800000000005</v>
      </c>
      <c r="K6" s="116">
        <v>1051.771</v>
      </c>
      <c r="L6" s="116">
        <v>1203.809</v>
      </c>
      <c r="M6" s="116">
        <v>1389.9829999999999</v>
      </c>
      <c r="N6" s="116">
        <v>1744.982</v>
      </c>
      <c r="O6" s="385">
        <v>2055.788</v>
      </c>
      <c r="P6" s="385">
        <v>1386</v>
      </c>
      <c r="Q6" s="385">
        <v>1955</v>
      </c>
      <c r="R6" s="385">
        <v>1587</v>
      </c>
      <c r="S6" s="385">
        <v>801</v>
      </c>
      <c r="T6" s="116">
        <f t="shared" ref="T6:AF6" si="1">T67</f>
        <v>686.80732087102638</v>
      </c>
      <c r="U6" s="116">
        <f t="shared" si="1"/>
        <v>704.62157791317929</v>
      </c>
      <c r="V6" s="116">
        <f t="shared" si="1"/>
        <v>760.29475569760882</v>
      </c>
      <c r="W6" s="116">
        <f t="shared" si="1"/>
        <v>729.85115390369981</v>
      </c>
      <c r="X6" s="116">
        <f t="shared" si="1"/>
        <v>735.31260776831425</v>
      </c>
      <c r="Y6" s="116">
        <f t="shared" si="1"/>
        <v>761.60394409962839</v>
      </c>
      <c r="Z6" s="116">
        <f t="shared" si="1"/>
        <v>787.56581246500195</v>
      </c>
      <c r="AA6" s="116">
        <f t="shared" si="1"/>
        <v>580.40081278963282</v>
      </c>
      <c r="AB6" s="116">
        <f t="shared" si="1"/>
        <v>521.72605767373943</v>
      </c>
      <c r="AC6" s="116">
        <f t="shared" si="1"/>
        <v>518.40616956774898</v>
      </c>
      <c r="AD6" s="116">
        <f t="shared" si="1"/>
        <v>517.51194439196968</v>
      </c>
      <c r="AE6" s="116">
        <f t="shared" si="1"/>
        <v>427.6590300700102</v>
      </c>
      <c r="AF6" s="116">
        <f t="shared" si="1"/>
        <v>425.8929341310901</v>
      </c>
      <c r="AG6" s="696"/>
    </row>
    <row r="7" spans="2:40" ht="12.75" customHeight="1">
      <c r="B7" s="21" t="s">
        <v>179</v>
      </c>
      <c r="C7" s="120">
        <v>0</v>
      </c>
      <c r="D7" s="120">
        <v>0</v>
      </c>
      <c r="E7" s="120">
        <v>197.56700000000001</v>
      </c>
      <c r="F7" s="120">
        <v>53.046999999999997</v>
      </c>
      <c r="G7" s="120">
        <v>84.838999999999999</v>
      </c>
      <c r="H7" s="120">
        <v>245.916</v>
      </c>
      <c r="I7" s="120">
        <v>152.53299999999999</v>
      </c>
      <c r="J7" s="120">
        <v>140.88200000000001</v>
      </c>
      <c r="K7" s="116">
        <v>295.08</v>
      </c>
      <c r="L7" s="116">
        <v>279.339</v>
      </c>
      <c r="M7" s="116">
        <v>208.155</v>
      </c>
      <c r="N7" s="116">
        <v>262.64100000000002</v>
      </c>
      <c r="O7" s="385">
        <v>330.53</v>
      </c>
      <c r="P7" s="385">
        <v>508</v>
      </c>
      <c r="Q7" s="385">
        <v>828</v>
      </c>
      <c r="R7" s="385">
        <v>857</v>
      </c>
      <c r="S7" s="385">
        <v>0</v>
      </c>
      <c r="T7" s="116">
        <f t="shared" ref="T7:AF7" si="2">S7</f>
        <v>0</v>
      </c>
      <c r="U7" s="116">
        <f t="shared" si="2"/>
        <v>0</v>
      </c>
      <c r="V7" s="116">
        <f t="shared" si="2"/>
        <v>0</v>
      </c>
      <c r="W7" s="116">
        <f t="shared" si="2"/>
        <v>0</v>
      </c>
      <c r="X7" s="116">
        <f t="shared" si="2"/>
        <v>0</v>
      </c>
      <c r="Y7" s="116">
        <f t="shared" si="2"/>
        <v>0</v>
      </c>
      <c r="Z7" s="116">
        <f t="shared" si="2"/>
        <v>0</v>
      </c>
      <c r="AA7" s="116">
        <f t="shared" si="2"/>
        <v>0</v>
      </c>
      <c r="AB7" s="116">
        <f t="shared" si="2"/>
        <v>0</v>
      </c>
      <c r="AC7" s="116">
        <f t="shared" si="2"/>
        <v>0</v>
      </c>
      <c r="AD7" s="116">
        <f t="shared" si="2"/>
        <v>0</v>
      </c>
      <c r="AE7" s="116">
        <f t="shared" si="2"/>
        <v>0</v>
      </c>
      <c r="AF7" s="116">
        <f t="shared" si="2"/>
        <v>0</v>
      </c>
      <c r="AG7" s="696"/>
    </row>
    <row r="8" spans="2:40" ht="12.75" customHeight="1">
      <c r="B8" s="21" t="s">
        <v>180</v>
      </c>
      <c r="C8" s="120">
        <v>0</v>
      </c>
      <c r="D8" s="120">
        <v>0</v>
      </c>
      <c r="E8" s="120">
        <v>0</v>
      </c>
      <c r="F8" s="120">
        <v>21.681000000000001</v>
      </c>
      <c r="G8" s="120">
        <v>48.383000000000003</v>
      </c>
      <c r="H8" s="120">
        <f>1.812+48.299</f>
        <v>50.110999999999997</v>
      </c>
      <c r="I8" s="120">
        <f>216.909+56.537</f>
        <v>273.44599999999997</v>
      </c>
      <c r="J8" s="120">
        <f>198.318+71.815</f>
        <v>270.13300000000004</v>
      </c>
      <c r="K8" s="116">
        <f>274.196+78.111</f>
        <v>352.30700000000002</v>
      </c>
      <c r="L8" s="116">
        <f>320.424+67.632</f>
        <v>388.05599999999998</v>
      </c>
      <c r="M8" s="116">
        <f>246.444+95.922</f>
        <v>342.36599999999999</v>
      </c>
      <c r="N8" s="116">
        <f>186.666+348.42</f>
        <v>535.08600000000001</v>
      </c>
      <c r="O8" s="385">
        <f>398.01+165.652</f>
        <v>563.66200000000003</v>
      </c>
      <c r="P8" s="385">
        <f>391+194</f>
        <v>585</v>
      </c>
      <c r="Q8" s="385">
        <v>1519</v>
      </c>
      <c r="R8" s="385">
        <v>1592</v>
      </c>
      <c r="S8" s="385">
        <v>1661</v>
      </c>
      <c r="T8" s="116">
        <f>+T74</f>
        <v>1338.5650824828708</v>
      </c>
      <c r="U8" s="116">
        <f>+U74</f>
        <v>1357.7759709777076</v>
      </c>
      <c r="V8" s="116">
        <f>+V74</f>
        <v>1444.1522767305842</v>
      </c>
      <c r="W8" s="116">
        <f t="shared" ref="W8:AF8" si="3">+W74</f>
        <v>1365.8363233768914</v>
      </c>
      <c r="X8" s="116">
        <f t="shared" si="3"/>
        <v>1411.1947795836134</v>
      </c>
      <c r="Y8" s="116">
        <f t="shared" si="3"/>
        <v>1465.1616960219642</v>
      </c>
      <c r="Z8" s="116">
        <f t="shared" si="3"/>
        <v>1521.2813615520099</v>
      </c>
      <c r="AA8" s="116">
        <f t="shared" si="3"/>
        <v>1178.9935345931763</v>
      </c>
      <c r="AB8" s="116">
        <f t="shared" si="3"/>
        <v>1075.3899694813545</v>
      </c>
      <c r="AC8" s="116">
        <f t="shared" si="3"/>
        <v>1066.095432739517</v>
      </c>
      <c r="AD8" s="116">
        <f t="shared" si="3"/>
        <v>1062.4484929337661</v>
      </c>
      <c r="AE8" s="116">
        <f t="shared" si="3"/>
        <v>893.64738147347157</v>
      </c>
      <c r="AF8" s="116">
        <f t="shared" si="3"/>
        <v>857.35666354582872</v>
      </c>
      <c r="AG8" s="696"/>
    </row>
    <row r="9" spans="2:40" ht="12.75" customHeight="1">
      <c r="B9" s="21" t="s">
        <v>181</v>
      </c>
      <c r="C9" s="120">
        <v>11.4</v>
      </c>
      <c r="D9" s="120">
        <f>50+14.722</f>
        <v>64.721999999999994</v>
      </c>
      <c r="E9" s="120">
        <v>28.012</v>
      </c>
      <c r="F9" s="120">
        <v>13.692</v>
      </c>
      <c r="G9" s="120">
        <v>34.924999999999997</v>
      </c>
      <c r="H9" s="120">
        <v>22.863</v>
      </c>
      <c r="I9" s="120">
        <v>35.241999999999997</v>
      </c>
      <c r="J9" s="120">
        <v>126.066</v>
      </c>
      <c r="K9" s="116">
        <v>66.891000000000005</v>
      </c>
      <c r="L9" s="116">
        <v>116.244</v>
      </c>
      <c r="M9" s="116">
        <f>126.846</f>
        <v>126.846</v>
      </c>
      <c r="N9" s="116">
        <v>0</v>
      </c>
      <c r="O9" s="385">
        <v>91.924999999999997</v>
      </c>
      <c r="P9" s="385">
        <v>472</v>
      </c>
      <c r="Q9" s="385">
        <v>0</v>
      </c>
      <c r="R9" s="385">
        <v>0</v>
      </c>
      <c r="S9" s="385">
        <v>0</v>
      </c>
      <c r="T9" s="116">
        <f>T62</f>
        <v>0</v>
      </c>
      <c r="U9" s="116">
        <f>U62</f>
        <v>0</v>
      </c>
      <c r="V9" s="116">
        <f>V62</f>
        <v>0</v>
      </c>
      <c r="W9" s="116">
        <f t="shared" ref="W9:AF9" si="4">W62</f>
        <v>0</v>
      </c>
      <c r="X9" s="116">
        <f t="shared" si="4"/>
        <v>0</v>
      </c>
      <c r="Y9" s="116">
        <f t="shared" si="4"/>
        <v>0</v>
      </c>
      <c r="Z9" s="116">
        <f t="shared" si="4"/>
        <v>0</v>
      </c>
      <c r="AA9" s="116">
        <f t="shared" si="4"/>
        <v>0</v>
      </c>
      <c r="AB9" s="116">
        <f t="shared" si="4"/>
        <v>0</v>
      </c>
      <c r="AC9" s="116">
        <f t="shared" si="4"/>
        <v>0</v>
      </c>
      <c r="AD9" s="116">
        <f t="shared" si="4"/>
        <v>0</v>
      </c>
      <c r="AE9" s="116">
        <f t="shared" si="4"/>
        <v>0</v>
      </c>
      <c r="AF9" s="116">
        <f t="shared" si="4"/>
        <v>0</v>
      </c>
      <c r="AG9" s="696"/>
    </row>
    <row r="10" spans="2:40" s="9" customFormat="1" ht="12.75" customHeight="1">
      <c r="B10" s="525" t="s">
        <v>182</v>
      </c>
      <c r="C10" s="526">
        <f t="shared" ref="C10:AF10" si="5">SUM(C3:C9)</f>
        <v>707.7589999999999</v>
      </c>
      <c r="D10" s="526">
        <f t="shared" si="5"/>
        <v>1183.76</v>
      </c>
      <c r="E10" s="526">
        <f t="shared" si="5"/>
        <v>1265.8979999999999</v>
      </c>
      <c r="F10" s="526">
        <f t="shared" si="5"/>
        <v>1849.694</v>
      </c>
      <c r="G10" s="526">
        <f t="shared" si="5"/>
        <v>3092.2079999999996</v>
      </c>
      <c r="H10" s="526">
        <f t="shared" si="5"/>
        <v>2429.2059999999997</v>
      </c>
      <c r="I10" s="526">
        <f t="shared" si="5"/>
        <v>3028.2919999999999</v>
      </c>
      <c r="J10" s="526">
        <f t="shared" si="5"/>
        <v>4278.4079999999994</v>
      </c>
      <c r="K10" s="275">
        <f t="shared" si="5"/>
        <v>4812.5579999999991</v>
      </c>
      <c r="L10" s="275">
        <f t="shared" si="5"/>
        <v>5708.0819999999994</v>
      </c>
      <c r="M10" s="275">
        <f t="shared" si="5"/>
        <v>13918.785</v>
      </c>
      <c r="N10" s="275">
        <f t="shared" si="5"/>
        <v>6156.3469999999998</v>
      </c>
      <c r="O10" s="275">
        <f t="shared" si="5"/>
        <v>7273.7530000000006</v>
      </c>
      <c r="P10" s="275">
        <f t="shared" si="5"/>
        <v>17714</v>
      </c>
      <c r="Q10" s="275">
        <f t="shared" si="5"/>
        <v>24763</v>
      </c>
      <c r="R10" s="275">
        <f t="shared" si="5"/>
        <v>20445</v>
      </c>
      <c r="S10" s="275">
        <f t="shared" si="5"/>
        <v>31823</v>
      </c>
      <c r="T10" s="275">
        <f t="shared" si="5"/>
        <v>32755.076582924383</v>
      </c>
      <c r="U10" s="275">
        <f t="shared" si="5"/>
        <v>35565.669249251223</v>
      </c>
      <c r="V10" s="275">
        <f t="shared" si="5"/>
        <v>33574.329784499496</v>
      </c>
      <c r="W10" s="275">
        <f t="shared" si="5"/>
        <v>34020.024124270691</v>
      </c>
      <c r="X10" s="275">
        <f t="shared" si="5"/>
        <v>32690.778999611532</v>
      </c>
      <c r="Y10" s="275">
        <f t="shared" si="5"/>
        <v>34519.348638956944</v>
      </c>
      <c r="Z10" s="275">
        <f t="shared" si="5"/>
        <v>40820.118445001746</v>
      </c>
      <c r="AA10" s="275">
        <f t="shared" si="5"/>
        <v>44410.140335138916</v>
      </c>
      <c r="AB10" s="275">
        <f t="shared" si="5"/>
        <v>46230.770274469884</v>
      </c>
      <c r="AC10" s="275">
        <f t="shared" si="5"/>
        <v>49376.856667714608</v>
      </c>
      <c r="AD10" s="275">
        <f t="shared" si="5"/>
        <v>53593.096160966685</v>
      </c>
      <c r="AE10" s="275">
        <f t="shared" si="5"/>
        <v>56970.395812998642</v>
      </c>
      <c r="AF10" s="275">
        <f t="shared" si="5"/>
        <v>62858.064864242668</v>
      </c>
      <c r="AG10" s="696"/>
      <c r="AI10"/>
      <c r="AJ10"/>
      <c r="AK10"/>
      <c r="AL10"/>
      <c r="AM10"/>
      <c r="AN10"/>
    </row>
    <row r="11" spans="2:40" s="9" customFormat="1" ht="6.75" customHeight="1">
      <c r="B11" s="1"/>
      <c r="C11" s="120"/>
      <c r="D11" s="120"/>
      <c r="E11" s="120"/>
      <c r="F11" s="120"/>
      <c r="G11" s="120"/>
      <c r="H11" s="120"/>
      <c r="I11" s="120"/>
      <c r="J11" s="120"/>
      <c r="K11" s="116"/>
      <c r="L11" s="116"/>
      <c r="M11" s="116"/>
      <c r="N11" s="116"/>
      <c r="O11" s="116"/>
      <c r="P11" s="116"/>
      <c r="Q11" s="116"/>
      <c r="R11" s="116"/>
      <c r="S11" s="116"/>
      <c r="T11" s="116"/>
      <c r="U11" s="116"/>
      <c r="V11" s="116"/>
      <c r="W11" s="14"/>
      <c r="X11" s="14"/>
      <c r="Y11" s="14"/>
      <c r="Z11" s="14"/>
      <c r="AA11" s="14"/>
      <c r="AB11" s="14"/>
      <c r="AC11" s="14"/>
      <c r="AD11" s="14"/>
      <c r="AE11" s="14"/>
      <c r="AF11" s="14"/>
      <c r="AG11" s="696"/>
      <c r="AI11"/>
      <c r="AJ11"/>
      <c r="AK11"/>
      <c r="AL11"/>
      <c r="AM11"/>
      <c r="AN11"/>
    </row>
    <row r="12" spans="2:40" ht="12.75" customHeight="1">
      <c r="B12" s="21" t="s">
        <v>183</v>
      </c>
      <c r="C12" s="120">
        <v>62.828000000000003</v>
      </c>
      <c r="D12" s="120">
        <v>67.727000000000004</v>
      </c>
      <c r="E12" s="120">
        <v>198.2</v>
      </c>
      <c r="F12" s="120">
        <v>223.10599999999999</v>
      </c>
      <c r="G12" s="120">
        <v>242.56800000000001</v>
      </c>
      <c r="H12" s="120">
        <v>361.29899999999998</v>
      </c>
      <c r="I12" s="120">
        <v>447.69600000000003</v>
      </c>
      <c r="J12" s="120">
        <v>528.79899999999998</v>
      </c>
      <c r="K12" s="116">
        <v>699.97</v>
      </c>
      <c r="L12" s="116">
        <v>701.23500000000001</v>
      </c>
      <c r="M12" s="116">
        <v>774.40599999999995</v>
      </c>
      <c r="N12" s="116">
        <v>1100.259</v>
      </c>
      <c r="O12" s="385">
        <v>1166.181</v>
      </c>
      <c r="P12" s="385">
        <v>1674</v>
      </c>
      <c r="Q12" s="385">
        <v>2276</v>
      </c>
      <c r="R12" s="385">
        <v>2865</v>
      </c>
      <c r="S12" s="385">
        <v>3295</v>
      </c>
      <c r="T12" s="116">
        <f>+T116</f>
        <v>3495.7079772151724</v>
      </c>
      <c r="U12" s="116">
        <f>+U116</f>
        <v>3715.5497589781239</v>
      </c>
      <c r="V12" s="116">
        <f>+V116</f>
        <v>3981.0610890456032</v>
      </c>
      <c r="W12" s="116">
        <f t="shared" ref="W12:AF12" si="6">+W116</f>
        <v>4216.5077388270656</v>
      </c>
      <c r="X12" s="116">
        <f t="shared" si="6"/>
        <v>4475.0380119020647</v>
      </c>
      <c r="Y12" s="116">
        <f t="shared" si="6"/>
        <v>4759.0650105895838</v>
      </c>
      <c r="Z12" s="116">
        <f t="shared" si="6"/>
        <v>5067.5479495668023</v>
      </c>
      <c r="AA12" s="116">
        <f t="shared" si="6"/>
        <v>5150.2396093625002</v>
      </c>
      <c r="AB12" s="116">
        <f t="shared" si="6"/>
        <v>5151.3692423036</v>
      </c>
      <c r="AC12" s="116">
        <f t="shared" si="6"/>
        <v>5130.8303806865533</v>
      </c>
      <c r="AD12" s="116">
        <f t="shared" si="6"/>
        <v>5089.5526357497856</v>
      </c>
      <c r="AE12" s="116">
        <f t="shared" si="6"/>
        <v>4897.6965059203148</v>
      </c>
      <c r="AF12" s="116">
        <f t="shared" si="6"/>
        <v>4656.491026294254</v>
      </c>
      <c r="AG12" s="696"/>
    </row>
    <row r="13" spans="2:40" ht="12.75" customHeight="1">
      <c r="B13" s="21" t="s">
        <v>184</v>
      </c>
      <c r="C13" s="120">
        <v>0</v>
      </c>
      <c r="D13" s="120">
        <v>0</v>
      </c>
      <c r="E13" s="120">
        <v>0</v>
      </c>
      <c r="F13" s="120">
        <v>11.099</v>
      </c>
      <c r="G13" s="120">
        <v>333.58199999999999</v>
      </c>
      <c r="H13" s="120">
        <v>317.74299999999999</v>
      </c>
      <c r="I13" s="120">
        <v>290.74200000000002</v>
      </c>
      <c r="J13" s="120">
        <v>257.20800000000003</v>
      </c>
      <c r="K13" s="116">
        <v>226.25</v>
      </c>
      <c r="L13" s="116">
        <v>203.79</v>
      </c>
      <c r="M13" s="116">
        <v>174.584</v>
      </c>
      <c r="N13" s="116">
        <v>175.79</v>
      </c>
      <c r="O13" s="385">
        <v>198.76599999999999</v>
      </c>
      <c r="P13" s="385">
        <v>466</v>
      </c>
      <c r="Q13" s="385">
        <v>400</v>
      </c>
      <c r="R13" s="385">
        <v>423</v>
      </c>
      <c r="S13" s="385">
        <v>0</v>
      </c>
      <c r="T13" s="116">
        <f t="shared" ref="T13:AF13" si="7">+T77</f>
        <v>0</v>
      </c>
      <c r="U13" s="116">
        <f t="shared" si="7"/>
        <v>0</v>
      </c>
      <c r="V13" s="116">
        <f t="shared" si="7"/>
        <v>0</v>
      </c>
      <c r="W13" s="116">
        <f t="shared" si="7"/>
        <v>0</v>
      </c>
      <c r="X13" s="116">
        <f t="shared" si="7"/>
        <v>0</v>
      </c>
      <c r="Y13" s="116">
        <f t="shared" si="7"/>
        <v>0</v>
      </c>
      <c r="Z13" s="116">
        <f t="shared" si="7"/>
        <v>0</v>
      </c>
      <c r="AA13" s="116">
        <f t="shared" si="7"/>
        <v>0</v>
      </c>
      <c r="AB13" s="116">
        <f t="shared" si="7"/>
        <v>0</v>
      </c>
      <c r="AC13" s="116">
        <f t="shared" si="7"/>
        <v>0</v>
      </c>
      <c r="AD13" s="116">
        <f t="shared" si="7"/>
        <v>0</v>
      </c>
      <c r="AE13" s="116">
        <f t="shared" si="7"/>
        <v>0</v>
      </c>
      <c r="AF13" s="116">
        <f t="shared" si="7"/>
        <v>0</v>
      </c>
      <c r="AG13" s="696"/>
    </row>
    <row r="14" spans="2:40" ht="12.75" customHeight="1">
      <c r="B14" s="21" t="s">
        <v>185</v>
      </c>
      <c r="C14" s="120">
        <v>0</v>
      </c>
      <c r="D14" s="120">
        <v>0</v>
      </c>
      <c r="E14" s="120">
        <v>52.494</v>
      </c>
      <c r="F14" s="120">
        <v>45.445999999999998</v>
      </c>
      <c r="G14" s="120">
        <v>66.893000000000001</v>
      </c>
      <c r="H14" s="120">
        <v>302.53899999999999</v>
      </c>
      <c r="I14" s="120">
        <v>297.35899999999998</v>
      </c>
      <c r="J14" s="120">
        <v>226.72800000000001</v>
      </c>
      <c r="K14" s="116">
        <v>101.498</v>
      </c>
      <c r="L14" s="116">
        <v>153.37899999999999</v>
      </c>
      <c r="M14" s="116">
        <v>144.01499999999999</v>
      </c>
      <c r="N14" s="116">
        <v>131.107</v>
      </c>
      <c r="O14" s="385">
        <v>154.76499999999999</v>
      </c>
      <c r="P14" s="385">
        <v>236</v>
      </c>
      <c r="Q14" s="385">
        <v>324</v>
      </c>
      <c r="R14" s="385">
        <v>402</v>
      </c>
      <c r="S14" s="385">
        <v>0</v>
      </c>
      <c r="T14" s="116">
        <f t="shared" ref="T14:AF14" si="8">S14</f>
        <v>0</v>
      </c>
      <c r="U14" s="116">
        <f t="shared" si="8"/>
        <v>0</v>
      </c>
      <c r="V14" s="116">
        <f t="shared" si="8"/>
        <v>0</v>
      </c>
      <c r="W14" s="116">
        <f t="shared" si="8"/>
        <v>0</v>
      </c>
      <c r="X14" s="116">
        <f t="shared" si="8"/>
        <v>0</v>
      </c>
      <c r="Y14" s="116">
        <f t="shared" si="8"/>
        <v>0</v>
      </c>
      <c r="Z14" s="116">
        <f t="shared" si="8"/>
        <v>0</v>
      </c>
      <c r="AA14" s="116">
        <f t="shared" si="8"/>
        <v>0</v>
      </c>
      <c r="AB14" s="116">
        <f t="shared" si="8"/>
        <v>0</v>
      </c>
      <c r="AC14" s="116">
        <f t="shared" si="8"/>
        <v>0</v>
      </c>
      <c r="AD14" s="116">
        <f t="shared" si="8"/>
        <v>0</v>
      </c>
      <c r="AE14" s="116">
        <f t="shared" si="8"/>
        <v>0</v>
      </c>
      <c r="AF14" s="116">
        <f t="shared" si="8"/>
        <v>0</v>
      </c>
      <c r="AG14" s="696"/>
    </row>
    <row r="15" spans="2:40" ht="12.75" customHeight="1">
      <c r="B15" s="21" t="s">
        <v>186</v>
      </c>
      <c r="C15" s="120">
        <v>0</v>
      </c>
      <c r="D15" s="120">
        <v>0</v>
      </c>
      <c r="E15" s="120">
        <v>0</v>
      </c>
      <c r="F15" s="120">
        <v>0</v>
      </c>
      <c r="G15" s="120">
        <v>0</v>
      </c>
      <c r="H15" s="120">
        <v>0</v>
      </c>
      <c r="I15" s="120">
        <v>0</v>
      </c>
      <c r="J15" s="120">
        <f>123.008-J17</f>
        <v>2.3599999999999994</v>
      </c>
      <c r="K15" s="116">
        <f>1524.777-K17</f>
        <v>1062.2190000000001</v>
      </c>
      <c r="L15" s="116">
        <f>1425.592-L17</f>
        <v>892.92300000000012</v>
      </c>
      <c r="M15" s="116">
        <v>2066.9659999999999</v>
      </c>
      <c r="N15" s="116">
        <v>11736.393</v>
      </c>
      <c r="O15" s="385">
        <v>11900.106</v>
      </c>
      <c r="P15" s="385">
        <v>11073</v>
      </c>
      <c r="Q15" s="385">
        <v>10247</v>
      </c>
      <c r="R15" s="385">
        <v>8971</v>
      </c>
      <c r="S15" s="385">
        <v>17100</v>
      </c>
      <c r="T15" s="116">
        <f t="shared" ref="T15:AF15" si="9">+T166</f>
        <v>16047</v>
      </c>
      <c r="U15" s="116">
        <f t="shared" si="9"/>
        <v>14994</v>
      </c>
      <c r="V15" s="116">
        <f t="shared" si="9"/>
        <v>13941</v>
      </c>
      <c r="W15" s="116">
        <f t="shared" si="9"/>
        <v>12888</v>
      </c>
      <c r="X15" s="116">
        <f t="shared" si="9"/>
        <v>11835</v>
      </c>
      <c r="Y15" s="116">
        <f t="shared" si="9"/>
        <v>10782</v>
      </c>
      <c r="Z15" s="116">
        <f t="shared" si="9"/>
        <v>9729</v>
      </c>
      <c r="AA15" s="116">
        <f t="shared" si="9"/>
        <v>8676</v>
      </c>
      <c r="AB15" s="116">
        <f t="shared" si="9"/>
        <v>7623</v>
      </c>
      <c r="AC15" s="116">
        <f t="shared" si="9"/>
        <v>6570</v>
      </c>
      <c r="AD15" s="116">
        <f t="shared" si="9"/>
        <v>5517</v>
      </c>
      <c r="AE15" s="116">
        <f t="shared" si="9"/>
        <v>4464</v>
      </c>
      <c r="AF15" s="116">
        <f t="shared" si="9"/>
        <v>3411</v>
      </c>
      <c r="AG15" s="696"/>
    </row>
    <row r="16" spans="2:40" ht="12.75" customHeight="1">
      <c r="B16" s="21" t="s">
        <v>187</v>
      </c>
      <c r="C16" s="120">
        <v>0</v>
      </c>
      <c r="D16" s="120">
        <v>0</v>
      </c>
      <c r="E16" s="120">
        <v>0</v>
      </c>
      <c r="F16" s="120">
        <v>0</v>
      </c>
      <c r="G16" s="120">
        <v>0</v>
      </c>
      <c r="H16" s="120">
        <v>452.71499999999997</v>
      </c>
      <c r="I16" s="120">
        <v>1550.444</v>
      </c>
      <c r="J16" s="120">
        <v>1449.577</v>
      </c>
      <c r="K16" s="116">
        <v>2247.8710000000001</v>
      </c>
      <c r="L16" s="116">
        <v>3219.4029999999998</v>
      </c>
      <c r="M16" s="116">
        <v>63.704000000000001</v>
      </c>
      <c r="N16" s="116">
        <v>719.83600000000001</v>
      </c>
      <c r="O16" s="385">
        <v>439.02800000000002</v>
      </c>
      <c r="P16" s="385">
        <v>1598</v>
      </c>
      <c r="Q16" s="385">
        <v>11601</v>
      </c>
      <c r="R16" s="385">
        <v>20485</v>
      </c>
      <c r="S16" s="385">
        <v>11184</v>
      </c>
      <c r="T16" s="116">
        <f t="shared" ref="T16:AF16" si="10">+S16</f>
        <v>11184</v>
      </c>
      <c r="U16" s="116">
        <f t="shared" si="10"/>
        <v>11184</v>
      </c>
      <c r="V16" s="116">
        <f t="shared" si="10"/>
        <v>11184</v>
      </c>
      <c r="W16" s="116">
        <f t="shared" si="10"/>
        <v>11184</v>
      </c>
      <c r="X16" s="116">
        <f t="shared" si="10"/>
        <v>11184</v>
      </c>
      <c r="Y16" s="116">
        <f t="shared" si="10"/>
        <v>11184</v>
      </c>
      <c r="Z16" s="116">
        <f t="shared" si="10"/>
        <v>11184</v>
      </c>
      <c r="AA16" s="116">
        <f t="shared" si="10"/>
        <v>11184</v>
      </c>
      <c r="AB16" s="116">
        <f t="shared" si="10"/>
        <v>11184</v>
      </c>
      <c r="AC16" s="116">
        <f t="shared" si="10"/>
        <v>11184</v>
      </c>
      <c r="AD16" s="116">
        <f t="shared" si="10"/>
        <v>11184</v>
      </c>
      <c r="AE16" s="116">
        <f t="shared" si="10"/>
        <v>11184</v>
      </c>
      <c r="AF16" s="116">
        <f t="shared" si="10"/>
        <v>11184</v>
      </c>
      <c r="AG16" s="696"/>
    </row>
    <row r="17" spans="2:40" ht="12.75" customHeight="1">
      <c r="B17" s="21" t="s">
        <v>188</v>
      </c>
      <c r="C17" s="120">
        <v>0</v>
      </c>
      <c r="D17" s="120">
        <v>0</v>
      </c>
      <c r="E17" s="120">
        <v>0</v>
      </c>
      <c r="F17" s="120">
        <v>0</v>
      </c>
      <c r="G17" s="120">
        <v>0</v>
      </c>
      <c r="H17" s="120">
        <v>0</v>
      </c>
      <c r="I17" s="120">
        <v>0</v>
      </c>
      <c r="J17" s="120">
        <v>120.648</v>
      </c>
      <c r="K17" s="116">
        <v>462.55799999999999</v>
      </c>
      <c r="L17" s="116">
        <v>532.66899999999998</v>
      </c>
      <c r="M17" s="116">
        <v>0</v>
      </c>
      <c r="N17" s="116">
        <v>1060.9190000000001</v>
      </c>
      <c r="O17" s="385">
        <v>1169.0229999999999</v>
      </c>
      <c r="P17" s="385">
        <v>1172</v>
      </c>
      <c r="Q17" s="385">
        <v>1172</v>
      </c>
      <c r="R17" s="385">
        <v>1172</v>
      </c>
      <c r="S17" s="385">
        <v>4159</v>
      </c>
      <c r="T17" s="116">
        <f>T165</f>
        <v>4159</v>
      </c>
      <c r="U17" s="116">
        <f>U165</f>
        <v>4159</v>
      </c>
      <c r="V17" s="116">
        <f>V165</f>
        <v>4159</v>
      </c>
      <c r="W17" s="116">
        <f t="shared" ref="W17:AF17" si="11">W165</f>
        <v>4159</v>
      </c>
      <c r="X17" s="116">
        <f t="shared" si="11"/>
        <v>4159</v>
      </c>
      <c r="Y17" s="116">
        <f t="shared" si="11"/>
        <v>4159</v>
      </c>
      <c r="Z17" s="116">
        <f t="shared" si="11"/>
        <v>4159</v>
      </c>
      <c r="AA17" s="116">
        <f t="shared" si="11"/>
        <v>4159</v>
      </c>
      <c r="AB17" s="116">
        <f t="shared" si="11"/>
        <v>4159</v>
      </c>
      <c r="AC17" s="116">
        <f t="shared" si="11"/>
        <v>4159</v>
      </c>
      <c r="AD17" s="116">
        <f t="shared" si="11"/>
        <v>4159</v>
      </c>
      <c r="AE17" s="116">
        <f t="shared" si="11"/>
        <v>4159</v>
      </c>
      <c r="AF17" s="116">
        <f t="shared" si="11"/>
        <v>4159</v>
      </c>
      <c r="AG17" s="696"/>
    </row>
    <row r="18" spans="2:40" ht="12.75" customHeight="1">
      <c r="B18" s="21" t="s">
        <v>189</v>
      </c>
      <c r="C18" s="120">
        <v>24.199000000000002</v>
      </c>
      <c r="D18" s="120">
        <v>36.695999999999998</v>
      </c>
      <c r="E18" s="120">
        <f>38.13</f>
        <v>38.130000000000003</v>
      </c>
      <c r="F18" s="120">
        <v>26.617999999999999</v>
      </c>
      <c r="G18" s="120">
        <f>29.4+1.665</f>
        <v>31.064999999999998</v>
      </c>
      <c r="H18" s="120">
        <v>222.47900000000001</v>
      </c>
      <c r="I18" s="120">
        <v>220.18299999999999</v>
      </c>
      <c r="J18" s="120">
        <v>73.102999999999994</v>
      </c>
      <c r="K18" s="116">
        <v>85.635000000000005</v>
      </c>
      <c r="L18" s="116">
        <v>181.149</v>
      </c>
      <c r="M18" s="116">
        <v>160.67400000000001</v>
      </c>
      <c r="N18" s="116">
        <v>159.18700000000001</v>
      </c>
      <c r="O18" s="385">
        <v>195.16300000000001</v>
      </c>
      <c r="P18" s="385">
        <v>731</v>
      </c>
      <c r="Q18" s="385">
        <v>1056</v>
      </c>
      <c r="R18" s="385">
        <v>2214</v>
      </c>
      <c r="S18" s="385">
        <v>2722</v>
      </c>
      <c r="T18" s="116">
        <f>T80</f>
        <v>2193.6027420339401</v>
      </c>
      <c r="U18" s="116">
        <f>U80</f>
        <v>341.4565420764842</v>
      </c>
      <c r="V18" s="116">
        <f>V80</f>
        <v>363.17864889686086</v>
      </c>
      <c r="W18" s="116">
        <f t="shared" ref="W18:AF18" si="12">W80</f>
        <v>343.48357754991463</v>
      </c>
      <c r="X18" s="116">
        <f t="shared" si="12"/>
        <v>354.89042370224587</v>
      </c>
      <c r="Y18" s="116">
        <f t="shared" si="12"/>
        <v>368.46214471326118</v>
      </c>
      <c r="Z18" s="116">
        <f t="shared" si="12"/>
        <v>382.57524388718434</v>
      </c>
      <c r="AA18" s="116">
        <f t="shared" si="12"/>
        <v>296.49593457073144</v>
      </c>
      <c r="AB18" s="116">
        <f t="shared" si="12"/>
        <v>270.44147798434415</v>
      </c>
      <c r="AC18" s="116">
        <f t="shared" si="12"/>
        <v>268.10406706832583</v>
      </c>
      <c r="AD18" s="116">
        <f t="shared" si="12"/>
        <v>267.18692647823565</v>
      </c>
      <c r="AE18" s="116">
        <f t="shared" si="12"/>
        <v>224.73644491875183</v>
      </c>
      <c r="AF18" s="116">
        <f t="shared" si="12"/>
        <v>215.60997389708322</v>
      </c>
      <c r="AG18" s="696"/>
    </row>
    <row r="19" spans="2:40" s="9" customFormat="1" ht="12.75" customHeight="1" thickBot="1">
      <c r="B19" s="528" t="s">
        <v>190</v>
      </c>
      <c r="C19" s="529">
        <f t="shared" ref="C19:AF19" si="13">C10+C12+C14+C15+C17+C18+C13+C16</f>
        <v>794.78599999999983</v>
      </c>
      <c r="D19" s="529">
        <f t="shared" si="13"/>
        <v>1288.183</v>
      </c>
      <c r="E19" s="529">
        <f t="shared" si="13"/>
        <v>1554.722</v>
      </c>
      <c r="F19" s="529">
        <f t="shared" si="13"/>
        <v>2155.9630000000002</v>
      </c>
      <c r="G19" s="529">
        <f t="shared" si="13"/>
        <v>3766.3159999999998</v>
      </c>
      <c r="H19" s="529">
        <f t="shared" si="13"/>
        <v>4085.9809999999998</v>
      </c>
      <c r="I19" s="529">
        <f t="shared" si="13"/>
        <v>5834.7160000000003</v>
      </c>
      <c r="J19" s="529">
        <f t="shared" si="13"/>
        <v>6936.8309999999992</v>
      </c>
      <c r="K19" s="530">
        <f t="shared" si="13"/>
        <v>9698.5589999999993</v>
      </c>
      <c r="L19" s="530">
        <f t="shared" si="13"/>
        <v>11592.63</v>
      </c>
      <c r="M19" s="530">
        <f t="shared" si="13"/>
        <v>17303.133999999998</v>
      </c>
      <c r="N19" s="530">
        <f t="shared" si="13"/>
        <v>21239.838000000003</v>
      </c>
      <c r="O19" s="530">
        <f t="shared" si="13"/>
        <v>22496.785</v>
      </c>
      <c r="P19" s="530">
        <f t="shared" si="13"/>
        <v>34664</v>
      </c>
      <c r="Q19" s="530">
        <f t="shared" si="13"/>
        <v>51839</v>
      </c>
      <c r="R19" s="530">
        <f t="shared" si="13"/>
        <v>56977</v>
      </c>
      <c r="S19" s="530">
        <f t="shared" si="13"/>
        <v>70283</v>
      </c>
      <c r="T19" s="530">
        <f t="shared" si="13"/>
        <v>69834.387302173491</v>
      </c>
      <c r="U19" s="530">
        <f t="shared" si="13"/>
        <v>69959.675550305838</v>
      </c>
      <c r="V19" s="530">
        <f t="shared" si="13"/>
        <v>67202.569522441947</v>
      </c>
      <c r="W19" s="530">
        <f t="shared" si="13"/>
        <v>66811.015440647665</v>
      </c>
      <c r="X19" s="530">
        <f t="shared" si="13"/>
        <v>64698.707435215838</v>
      </c>
      <c r="Y19" s="530">
        <f t="shared" si="13"/>
        <v>65771.875794259788</v>
      </c>
      <c r="Z19" s="530">
        <f t="shared" si="13"/>
        <v>71342.241638455744</v>
      </c>
      <c r="AA19" s="530">
        <f t="shared" si="13"/>
        <v>73875.875879072148</v>
      </c>
      <c r="AB19" s="530">
        <f t="shared" si="13"/>
        <v>74618.580994757824</v>
      </c>
      <c r="AC19" s="530">
        <f t="shared" si="13"/>
        <v>76688.791115469488</v>
      </c>
      <c r="AD19" s="530">
        <f t="shared" si="13"/>
        <v>79809.835723194701</v>
      </c>
      <c r="AE19" s="530">
        <f t="shared" si="13"/>
        <v>81899.828763837722</v>
      </c>
      <c r="AF19" s="530">
        <f t="shared" si="13"/>
        <v>86484.165864434006</v>
      </c>
      <c r="AG19" s="696"/>
      <c r="AI19"/>
      <c r="AJ19"/>
      <c r="AK19"/>
      <c r="AL19"/>
      <c r="AM19"/>
      <c r="AN19"/>
    </row>
    <row r="20" spans="2:40" ht="12.75" customHeight="1" thickTop="1">
      <c r="C20" s="120"/>
      <c r="D20" s="120"/>
      <c r="E20" s="120"/>
      <c r="F20" s="120"/>
      <c r="G20" s="120"/>
      <c r="H20" s="120"/>
      <c r="I20" s="120"/>
      <c r="J20" s="120"/>
      <c r="K20" s="116"/>
      <c r="L20" s="116"/>
      <c r="M20" s="116"/>
      <c r="N20" s="116"/>
      <c r="O20" s="116"/>
      <c r="P20" s="116"/>
      <c r="Q20" s="116"/>
      <c r="R20" s="116"/>
      <c r="S20" s="116"/>
      <c r="T20" s="116"/>
      <c r="U20" s="116"/>
      <c r="V20" s="116"/>
      <c r="W20" s="8"/>
      <c r="X20" s="8"/>
      <c r="Y20" s="8"/>
      <c r="Z20" s="8"/>
      <c r="AA20" s="8"/>
      <c r="AB20" s="8"/>
      <c r="AC20" s="8"/>
      <c r="AD20" s="8"/>
      <c r="AE20" s="8"/>
      <c r="AF20" s="8"/>
      <c r="AG20" s="696"/>
    </row>
    <row r="21" spans="2:40" ht="12.75" customHeight="1">
      <c r="B21" s="9" t="s">
        <v>504</v>
      </c>
      <c r="C21" s="120"/>
      <c r="D21" s="120"/>
      <c r="E21" s="120"/>
      <c r="F21" s="120"/>
      <c r="G21" s="120"/>
      <c r="H21" s="120"/>
      <c r="I21" s="120"/>
      <c r="J21" s="120"/>
      <c r="K21" s="116"/>
      <c r="L21" s="116"/>
      <c r="M21" s="116"/>
      <c r="N21" s="116"/>
      <c r="O21" s="116"/>
      <c r="P21" s="116"/>
      <c r="Q21" s="116"/>
      <c r="R21" s="116"/>
      <c r="S21" s="116"/>
      <c r="T21" s="116"/>
      <c r="U21" s="116"/>
      <c r="V21" s="116"/>
      <c r="AG21" s="696"/>
    </row>
    <row r="22" spans="2:40" ht="12.75" customHeight="1">
      <c r="B22" s="21" t="s">
        <v>191</v>
      </c>
      <c r="C22" s="120">
        <v>19.173999999999999</v>
      </c>
      <c r="D22" s="120">
        <v>24.405999999999999</v>
      </c>
      <c r="E22" s="120">
        <v>35.649000000000001</v>
      </c>
      <c r="F22" s="120">
        <v>47.552</v>
      </c>
      <c r="G22" s="120">
        <v>70.908000000000001</v>
      </c>
      <c r="H22" s="120">
        <v>367.029</v>
      </c>
      <c r="I22" s="120">
        <v>290.33300000000003</v>
      </c>
      <c r="J22" s="120">
        <v>601.20000000000005</v>
      </c>
      <c r="K22" s="116">
        <v>810.54399999999998</v>
      </c>
      <c r="L22" s="116">
        <v>803.02499999999998</v>
      </c>
      <c r="M22" s="116">
        <v>1206.0519999999999</v>
      </c>
      <c r="N22" s="116">
        <v>1327.3389999999999</v>
      </c>
      <c r="O22" s="385">
        <v>1255.914</v>
      </c>
      <c r="P22" s="385">
        <v>955</v>
      </c>
      <c r="Q22" s="385">
        <v>1178</v>
      </c>
      <c r="R22" s="385">
        <v>1206</v>
      </c>
      <c r="S22" s="385">
        <v>814</v>
      </c>
      <c r="T22" s="116">
        <f>T69</f>
        <v>697.95400647817155</v>
      </c>
      <c r="U22" s="116">
        <f>U69</f>
        <v>716.05738379691377</v>
      </c>
      <c r="V22" s="116">
        <f>V69</f>
        <v>772.63412127072854</v>
      </c>
      <c r="W22" s="116">
        <f t="shared" ref="W22:AF22" si="14">W69</f>
        <v>741.69642856131293</v>
      </c>
      <c r="X22" s="116">
        <f t="shared" si="14"/>
        <v>747.24652025394232</v>
      </c>
      <c r="Y22" s="116">
        <f t="shared" si="14"/>
        <v>773.96455742459113</v>
      </c>
      <c r="Z22" s="116">
        <f t="shared" si="14"/>
        <v>800.34777945881592</v>
      </c>
      <c r="AA22" s="116">
        <f t="shared" si="14"/>
        <v>589.82055132429605</v>
      </c>
      <c r="AB22" s="116">
        <f t="shared" si="14"/>
        <v>530.19352178080385</v>
      </c>
      <c r="AC22" s="116">
        <f t="shared" si="14"/>
        <v>526.81975284412943</v>
      </c>
      <c r="AD22" s="116">
        <f t="shared" si="14"/>
        <v>525.91101465051599</v>
      </c>
      <c r="AE22" s="116">
        <f t="shared" si="14"/>
        <v>434.59981332957341</v>
      </c>
      <c r="AF22" s="116">
        <f t="shared" si="14"/>
        <v>432.80505416068331</v>
      </c>
      <c r="AG22" s="696"/>
    </row>
    <row r="23" spans="2:40" ht="12.75" customHeight="1">
      <c r="B23" s="21" t="s">
        <v>192</v>
      </c>
      <c r="C23" s="120">
        <f>15.938+14.688</f>
        <v>30.626000000000001</v>
      </c>
      <c r="D23" s="120">
        <f>7.063+21.511</f>
        <v>28.573999999999998</v>
      </c>
      <c r="E23" s="120">
        <f>11.859+35.772</f>
        <v>47.631</v>
      </c>
      <c r="F23" s="120">
        <f>7.547+45.469</f>
        <v>53.015999999999998</v>
      </c>
      <c r="G23" s="120">
        <f>10.514+59.927</f>
        <v>70.441000000000003</v>
      </c>
      <c r="H23" s="120">
        <f>75.659</f>
        <v>75.659000000000006</v>
      </c>
      <c r="I23" s="120">
        <v>90.552999999999997</v>
      </c>
      <c r="J23" s="120">
        <v>103.84</v>
      </c>
      <c r="K23" s="116">
        <v>132.48099999999999</v>
      </c>
      <c r="L23" s="116">
        <f>147.632</f>
        <v>147.63200000000001</v>
      </c>
      <c r="M23" s="116">
        <v>173.316</v>
      </c>
      <c r="N23" s="116">
        <v>236.71600000000001</v>
      </c>
      <c r="O23" s="385">
        <v>243.54</v>
      </c>
      <c r="P23" s="385">
        <v>316</v>
      </c>
      <c r="Q23" s="385">
        <v>3172</v>
      </c>
      <c r="R23" s="385">
        <v>2790</v>
      </c>
      <c r="S23" s="385">
        <v>0</v>
      </c>
      <c r="T23" s="116">
        <f>T83</f>
        <v>0</v>
      </c>
      <c r="U23" s="116">
        <f>U83</f>
        <v>0</v>
      </c>
      <c r="V23" s="116">
        <f>V83</f>
        <v>0</v>
      </c>
      <c r="W23" s="116">
        <f t="shared" ref="W23:AF23" si="15">W83</f>
        <v>0</v>
      </c>
      <c r="X23" s="116">
        <f t="shared" si="15"/>
        <v>0</v>
      </c>
      <c r="Y23" s="116">
        <f t="shared" si="15"/>
        <v>0</v>
      </c>
      <c r="Z23" s="116">
        <f t="shared" si="15"/>
        <v>0</v>
      </c>
      <c r="AA23" s="116">
        <f t="shared" si="15"/>
        <v>0</v>
      </c>
      <c r="AB23" s="116">
        <f t="shared" si="15"/>
        <v>0</v>
      </c>
      <c r="AC23" s="116">
        <f t="shared" si="15"/>
        <v>0</v>
      </c>
      <c r="AD23" s="116">
        <f t="shared" si="15"/>
        <v>0</v>
      </c>
      <c r="AE23" s="116">
        <f t="shared" si="15"/>
        <v>0</v>
      </c>
      <c r="AF23" s="116">
        <f t="shared" si="15"/>
        <v>0</v>
      </c>
      <c r="AG23" s="696"/>
    </row>
    <row r="24" spans="2:40" ht="12.75" customHeight="1">
      <c r="B24" s="21" t="s">
        <v>193</v>
      </c>
      <c r="C24" s="120">
        <v>24.829000000000001</v>
      </c>
      <c r="D24" s="120">
        <v>44.026000000000003</v>
      </c>
      <c r="E24" s="120">
        <v>97.001999999999995</v>
      </c>
      <c r="F24" s="120">
        <f>8.698+124.126</f>
        <v>132.82400000000001</v>
      </c>
      <c r="G24" s="120">
        <f>95.739+149.516</f>
        <v>245.255</v>
      </c>
      <c r="H24" s="120">
        <f>258.41+26.654</f>
        <v>285.06400000000002</v>
      </c>
      <c r="I24" s="120">
        <f>115.495+45.64+163.221</f>
        <v>324.35599999999999</v>
      </c>
      <c r="J24" s="120">
        <f>176.939+44.757+245.662</f>
        <v>467.358</v>
      </c>
      <c r="K24" s="116">
        <f>248.66+167.623+384.015</f>
        <v>800.298</v>
      </c>
      <c r="L24" s="116">
        <f>325.018+1.862+437.893</f>
        <v>764.77299999999991</v>
      </c>
      <c r="M24" s="116">
        <f>516.045+40.583+502.557</f>
        <v>1059.1849999999999</v>
      </c>
      <c r="N24" s="116">
        <f>745.148+674.762+13.403</f>
        <v>1433.3129999999999</v>
      </c>
      <c r="O24" s="385">
        <f>983.49+10.855+1023.938</f>
        <v>2018.2829999999999</v>
      </c>
      <c r="P24" s="385">
        <f>2316+105+1452</f>
        <v>3873</v>
      </c>
      <c r="Q24" s="385">
        <v>4118</v>
      </c>
      <c r="R24" s="385">
        <v>5021</v>
      </c>
      <c r="S24" s="385">
        <f>4704+3370</f>
        <v>8074</v>
      </c>
      <c r="T24" s="116">
        <f>T71</f>
        <v>4200</v>
      </c>
      <c r="U24" s="116">
        <f>U71</f>
        <v>4252.5</v>
      </c>
      <c r="V24" s="116">
        <f>V71</f>
        <v>4252.5</v>
      </c>
      <c r="W24" s="116">
        <f t="shared" ref="W24:AF24" si="16">W71</f>
        <v>4304.9999999999991</v>
      </c>
      <c r="X24" s="116">
        <f t="shared" si="16"/>
        <v>4304.9999999999991</v>
      </c>
      <c r="Y24" s="116">
        <f t="shared" si="16"/>
        <v>4252.5328124999987</v>
      </c>
      <c r="Z24" s="116">
        <f t="shared" si="16"/>
        <v>4201.3773046874994</v>
      </c>
      <c r="AA24" s="116">
        <f t="shared" si="16"/>
        <v>4251.253924804686</v>
      </c>
      <c r="AB24" s="116">
        <f t="shared" si="16"/>
        <v>4302.3774604248028</v>
      </c>
      <c r="AC24" s="116">
        <f t="shared" si="16"/>
        <v>4354.7790844354231</v>
      </c>
      <c r="AD24" s="116">
        <f t="shared" si="16"/>
        <v>3856.9126240463088</v>
      </c>
      <c r="AE24" s="116">
        <f t="shared" si="16"/>
        <v>964.2281560115772</v>
      </c>
      <c r="AF24" s="116">
        <f t="shared" si="16"/>
        <v>482.1140780057886</v>
      </c>
      <c r="AG24" s="696"/>
    </row>
    <row r="25" spans="2:40" ht="12.75" customHeight="1">
      <c r="B25" s="21" t="s">
        <v>194</v>
      </c>
      <c r="C25" s="120">
        <v>3.996</v>
      </c>
      <c r="D25" s="120">
        <v>7.6920000000000002</v>
      </c>
      <c r="E25" s="120">
        <v>5.4740000000000002</v>
      </c>
      <c r="F25" s="120">
        <v>19.88</v>
      </c>
      <c r="G25" s="120">
        <v>18.353000000000002</v>
      </c>
      <c r="H25" s="120">
        <v>17.777000000000001</v>
      </c>
      <c r="I25" s="120">
        <v>30.747</v>
      </c>
      <c r="J25" s="120">
        <v>42.963000000000001</v>
      </c>
      <c r="K25" s="116">
        <v>122.721</v>
      </c>
      <c r="L25" s="116">
        <f>103.175</f>
        <v>103.175</v>
      </c>
      <c r="M25" s="116">
        <f>74.665</f>
        <v>74.665000000000006</v>
      </c>
      <c r="N25" s="116">
        <v>103.16200000000001</v>
      </c>
      <c r="O25" s="385">
        <v>110.64</v>
      </c>
      <c r="P25" s="385">
        <v>134</v>
      </c>
      <c r="Q25" s="385">
        <v>440</v>
      </c>
      <c r="R25" s="385">
        <v>202</v>
      </c>
      <c r="S25" s="385">
        <v>0</v>
      </c>
      <c r="T25" s="116">
        <f t="shared" ref="T25:AF25" si="17">S25</f>
        <v>0</v>
      </c>
      <c r="U25" s="116">
        <f t="shared" si="17"/>
        <v>0</v>
      </c>
      <c r="V25" s="116">
        <f t="shared" si="17"/>
        <v>0</v>
      </c>
      <c r="W25" s="116">
        <f t="shared" si="17"/>
        <v>0</v>
      </c>
      <c r="X25" s="116">
        <f t="shared" si="17"/>
        <v>0</v>
      </c>
      <c r="Y25" s="116">
        <f t="shared" si="17"/>
        <v>0</v>
      </c>
      <c r="Z25" s="116">
        <f t="shared" si="17"/>
        <v>0</v>
      </c>
      <c r="AA25" s="116">
        <f t="shared" si="17"/>
        <v>0</v>
      </c>
      <c r="AB25" s="116">
        <f t="shared" si="17"/>
        <v>0</v>
      </c>
      <c r="AC25" s="116">
        <f t="shared" si="17"/>
        <v>0</v>
      </c>
      <c r="AD25" s="116">
        <f t="shared" si="17"/>
        <v>0</v>
      </c>
      <c r="AE25" s="116">
        <f t="shared" si="17"/>
        <v>0</v>
      </c>
      <c r="AF25" s="116">
        <f t="shared" si="17"/>
        <v>0</v>
      </c>
      <c r="AG25" s="696"/>
    </row>
    <row r="26" spans="2:40" ht="12.75" customHeight="1">
      <c r="B26" s="21" t="s">
        <v>195</v>
      </c>
      <c r="C26" s="120">
        <v>1.492</v>
      </c>
      <c r="D26" s="120">
        <v>0.19400000000000001</v>
      </c>
      <c r="E26" s="120">
        <v>0.13900000000000001</v>
      </c>
      <c r="F26" s="120">
        <v>0.18099999999999999</v>
      </c>
      <c r="G26" s="120">
        <v>60.206000000000003</v>
      </c>
      <c r="H26" s="120">
        <v>18.747</v>
      </c>
      <c r="I26" s="120">
        <v>0.28599999999999998</v>
      </c>
      <c r="J26" s="120">
        <v>5.6310000000000002</v>
      </c>
      <c r="K26" s="116">
        <v>5.5869999999999997</v>
      </c>
      <c r="L26" s="116">
        <f>646.345</f>
        <v>646.34500000000003</v>
      </c>
      <c r="M26" s="116">
        <v>1.5720000000000001</v>
      </c>
      <c r="N26" s="116">
        <v>1169.49</v>
      </c>
      <c r="O26" s="385">
        <v>2697.0439999999999</v>
      </c>
      <c r="P26" s="385">
        <v>483</v>
      </c>
      <c r="Q26" s="385">
        <v>983</v>
      </c>
      <c r="R26" s="385">
        <v>0</v>
      </c>
      <c r="S26" s="385">
        <v>2747</v>
      </c>
      <c r="T26" s="116">
        <f>DEBT!T54+DEBT!T55</f>
        <v>0</v>
      </c>
      <c r="U26" s="116">
        <f>DEBT!U54+DEBT!U55</f>
        <v>0</v>
      </c>
      <c r="V26" s="116">
        <f>DEBT!V54+DEBT!V55</f>
        <v>0</v>
      </c>
      <c r="W26" s="116">
        <f>DEBT!W54+DEBT!W55</f>
        <v>0</v>
      </c>
      <c r="X26" s="116">
        <f>DEBT!X54+DEBT!X55</f>
        <v>0</v>
      </c>
      <c r="Y26" s="116">
        <f>DEBT!Y54+DEBT!Y55</f>
        <v>0</v>
      </c>
      <c r="Z26" s="116">
        <f>DEBT!Z54+DEBT!Z55</f>
        <v>0</v>
      </c>
      <c r="AA26" s="116">
        <f>DEBT!AA54+DEBT!AA55</f>
        <v>0</v>
      </c>
      <c r="AB26" s="116">
        <f>DEBT!AB54+DEBT!AB55</f>
        <v>0</v>
      </c>
      <c r="AC26" s="116">
        <f>DEBT!AC54+DEBT!AC55</f>
        <v>0</v>
      </c>
      <c r="AD26" s="116">
        <f>DEBT!AD54+DEBT!AD55</f>
        <v>0</v>
      </c>
      <c r="AE26" s="116">
        <f>DEBT!AE54+DEBT!AE55</f>
        <v>0</v>
      </c>
      <c r="AF26" s="116">
        <f>DEBT!AF54+DEBT!AF55</f>
        <v>0</v>
      </c>
      <c r="AG26" s="696"/>
    </row>
    <row r="27" spans="2:40" s="9" customFormat="1" ht="12.75" customHeight="1">
      <c r="B27" s="525" t="s">
        <v>196</v>
      </c>
      <c r="C27" s="526">
        <f t="shared" ref="C27:AF27" si="18">SUM(C22:C26)</f>
        <v>80.11699999999999</v>
      </c>
      <c r="D27" s="526">
        <f t="shared" si="18"/>
        <v>104.89200000000001</v>
      </c>
      <c r="E27" s="526">
        <f t="shared" si="18"/>
        <v>185.89499999999998</v>
      </c>
      <c r="F27" s="526">
        <f t="shared" si="18"/>
        <v>253.453</v>
      </c>
      <c r="G27" s="526">
        <f t="shared" si="18"/>
        <v>465.16300000000001</v>
      </c>
      <c r="H27" s="526">
        <f t="shared" si="18"/>
        <v>764.27599999999995</v>
      </c>
      <c r="I27" s="526">
        <f t="shared" si="18"/>
        <v>736.27499999999986</v>
      </c>
      <c r="J27" s="526">
        <f t="shared" si="18"/>
        <v>1220.9920000000002</v>
      </c>
      <c r="K27" s="275">
        <f t="shared" si="18"/>
        <v>1871.6309999999999</v>
      </c>
      <c r="L27" s="275">
        <f t="shared" si="18"/>
        <v>2464.9499999999998</v>
      </c>
      <c r="M27" s="275">
        <f t="shared" si="18"/>
        <v>2514.79</v>
      </c>
      <c r="N27" s="275">
        <f t="shared" si="18"/>
        <v>4270.0199999999995</v>
      </c>
      <c r="O27" s="275">
        <f t="shared" si="18"/>
        <v>6325.4210000000003</v>
      </c>
      <c r="P27" s="275">
        <f t="shared" si="18"/>
        <v>5761</v>
      </c>
      <c r="Q27" s="275">
        <f t="shared" si="18"/>
        <v>9891</v>
      </c>
      <c r="R27" s="275">
        <f t="shared" si="18"/>
        <v>9219</v>
      </c>
      <c r="S27" s="275">
        <f t="shared" si="18"/>
        <v>11635</v>
      </c>
      <c r="T27" s="275">
        <f t="shared" si="18"/>
        <v>4897.9540064781713</v>
      </c>
      <c r="U27" s="275">
        <f t="shared" si="18"/>
        <v>4968.5573837969141</v>
      </c>
      <c r="V27" s="275">
        <f t="shared" si="18"/>
        <v>5025.1341212707284</v>
      </c>
      <c r="W27" s="275">
        <f t="shared" si="18"/>
        <v>5046.6964285613121</v>
      </c>
      <c r="X27" s="275">
        <f t="shared" si="18"/>
        <v>5052.2465202539415</v>
      </c>
      <c r="Y27" s="275">
        <f t="shared" si="18"/>
        <v>5026.4973699245902</v>
      </c>
      <c r="Z27" s="275">
        <f t="shared" si="18"/>
        <v>5001.7250841463156</v>
      </c>
      <c r="AA27" s="275">
        <f t="shared" si="18"/>
        <v>4841.0744761289825</v>
      </c>
      <c r="AB27" s="275">
        <f t="shared" si="18"/>
        <v>4832.5709822056069</v>
      </c>
      <c r="AC27" s="275">
        <f t="shared" si="18"/>
        <v>4881.5988372795528</v>
      </c>
      <c r="AD27" s="275">
        <f t="shared" si="18"/>
        <v>4382.8236386968247</v>
      </c>
      <c r="AE27" s="275">
        <f t="shared" si="18"/>
        <v>1398.8279693411505</v>
      </c>
      <c r="AF27" s="275">
        <f t="shared" si="18"/>
        <v>914.91913216647185</v>
      </c>
      <c r="AG27" s="696"/>
      <c r="AI27"/>
      <c r="AJ27"/>
      <c r="AK27"/>
      <c r="AL27"/>
      <c r="AM27"/>
      <c r="AN27"/>
    </row>
    <row r="28" spans="2:40" s="9" customFormat="1" ht="6.75" customHeight="1">
      <c r="B28" s="1"/>
      <c r="C28" s="120"/>
      <c r="D28" s="120"/>
      <c r="E28" s="120"/>
      <c r="F28" s="120"/>
      <c r="G28" s="120"/>
      <c r="H28" s="120"/>
      <c r="I28" s="120"/>
      <c r="J28" s="120"/>
      <c r="K28" s="116"/>
      <c r="L28" s="116"/>
      <c r="M28" s="116"/>
      <c r="N28" s="116"/>
      <c r="O28" s="116"/>
      <c r="P28" s="116"/>
      <c r="Q28" s="116"/>
      <c r="R28" s="116"/>
      <c r="S28" s="116"/>
      <c r="T28" s="116"/>
      <c r="U28" s="116"/>
      <c r="V28" s="116"/>
      <c r="W28" s="14"/>
      <c r="X28" s="14"/>
      <c r="Y28" s="14"/>
      <c r="Z28" s="14"/>
      <c r="AA28" s="14"/>
      <c r="AB28" s="14"/>
      <c r="AC28" s="14"/>
      <c r="AD28" s="14"/>
      <c r="AE28" s="14"/>
      <c r="AF28" s="14"/>
      <c r="AG28" s="696"/>
      <c r="AI28"/>
      <c r="AJ28"/>
      <c r="AK28"/>
      <c r="AL28"/>
      <c r="AM28"/>
      <c r="AN28"/>
    </row>
    <row r="29" spans="2:40" ht="12.75" customHeight="1">
      <c r="B29" s="21" t="s">
        <v>197</v>
      </c>
      <c r="C29" s="120">
        <v>0</v>
      </c>
      <c r="D29" s="120">
        <v>0</v>
      </c>
      <c r="E29" s="120">
        <v>0</v>
      </c>
      <c r="F29" s="120">
        <v>0</v>
      </c>
      <c r="G29" s="120">
        <v>0</v>
      </c>
      <c r="H29" s="120">
        <v>0</v>
      </c>
      <c r="I29" s="120">
        <v>125.232</v>
      </c>
      <c r="J29" s="120">
        <v>56.588000000000001</v>
      </c>
      <c r="K29" s="116">
        <v>87.382999999999996</v>
      </c>
      <c r="L29" s="116">
        <f>107.025</f>
        <v>107.02500000000001</v>
      </c>
      <c r="M29" s="116">
        <v>135.655</v>
      </c>
      <c r="N29" s="116">
        <v>115.822</v>
      </c>
      <c r="O29" s="385">
        <v>162.41200000000001</v>
      </c>
      <c r="P29" s="385">
        <v>562</v>
      </c>
      <c r="Q29" s="385">
        <v>1243</v>
      </c>
      <c r="R29" s="385">
        <v>1753</v>
      </c>
      <c r="S29" s="385">
        <v>6794</v>
      </c>
      <c r="T29" s="116">
        <f>S29</f>
        <v>6794</v>
      </c>
      <c r="U29" s="116">
        <f>T29</f>
        <v>6794</v>
      </c>
      <c r="V29" s="116">
        <f>U29</f>
        <v>6794</v>
      </c>
      <c r="W29" s="116">
        <f t="shared" ref="W29:AF29" si="19">V29</f>
        <v>6794</v>
      </c>
      <c r="X29" s="116">
        <f t="shared" si="19"/>
        <v>6794</v>
      </c>
      <c r="Y29" s="116">
        <f t="shared" si="19"/>
        <v>6794</v>
      </c>
      <c r="Z29" s="116">
        <f t="shared" si="19"/>
        <v>6794</v>
      </c>
      <c r="AA29" s="116">
        <f t="shared" si="19"/>
        <v>6794</v>
      </c>
      <c r="AB29" s="116">
        <f t="shared" si="19"/>
        <v>6794</v>
      </c>
      <c r="AC29" s="116">
        <f t="shared" si="19"/>
        <v>6794</v>
      </c>
      <c r="AD29" s="116">
        <f t="shared" si="19"/>
        <v>6794</v>
      </c>
      <c r="AE29" s="116">
        <f t="shared" si="19"/>
        <v>6794</v>
      </c>
      <c r="AF29" s="116">
        <f t="shared" si="19"/>
        <v>6794</v>
      </c>
      <c r="AG29" s="696"/>
    </row>
    <row r="30" spans="2:40" ht="12.75" customHeight="1">
      <c r="B30" s="21" t="s">
        <v>198</v>
      </c>
      <c r="C30" s="120">
        <v>250</v>
      </c>
      <c r="D30" s="120">
        <f>345+250</f>
        <v>595</v>
      </c>
      <c r="E30" s="120">
        <v>345</v>
      </c>
      <c r="F30" s="120">
        <v>0</v>
      </c>
      <c r="G30" s="120">
        <v>0</v>
      </c>
      <c r="H30" s="120">
        <v>1300</v>
      </c>
      <c r="I30" s="120">
        <v>1300</v>
      </c>
      <c r="J30" s="120">
        <v>1098.0250000000001</v>
      </c>
      <c r="K30" s="116">
        <v>1155.443</v>
      </c>
      <c r="L30" s="116">
        <f>2838.573</f>
        <v>2838.5729999999999</v>
      </c>
      <c r="M30" s="116">
        <v>7605.7340000000004</v>
      </c>
      <c r="N30" s="116">
        <v>7054.5550000000003</v>
      </c>
      <c r="O30" s="385">
        <v>3938.7080000000001</v>
      </c>
      <c r="P30" s="385">
        <v>11921</v>
      </c>
      <c r="Q30" s="385">
        <v>21195</v>
      </c>
      <c r="R30" s="385">
        <v>26346</v>
      </c>
      <c r="S30" s="385">
        <v>30795</v>
      </c>
      <c r="T30" s="116">
        <f>DEBT!T56</f>
        <v>30898</v>
      </c>
      <c r="U30" s="116">
        <f>DEBT!U56</f>
        <v>28155</v>
      </c>
      <c r="V30" s="116">
        <f>DEBT!V56</f>
        <v>24657</v>
      </c>
      <c r="W30" s="116">
        <f>DEBT!W56</f>
        <v>22416</v>
      </c>
      <c r="X30" s="116">
        <f>DEBT!X56</f>
        <v>18422</v>
      </c>
      <c r="Y30" s="116">
        <f>DEBT!Y56</f>
        <v>17677</v>
      </c>
      <c r="Z30" s="116">
        <f>DEBT!Z56</f>
        <v>15935</v>
      </c>
      <c r="AA30" s="116">
        <f>DEBT!AA56</f>
        <v>14185</v>
      </c>
      <c r="AB30" s="116">
        <f>DEBT!AB56</f>
        <v>11435</v>
      </c>
      <c r="AC30" s="116">
        <f>DEBT!AC56</f>
        <v>10191</v>
      </c>
      <c r="AD30" s="116">
        <f>DEBT!AD56</f>
        <v>10191</v>
      </c>
      <c r="AE30" s="116">
        <f>DEBT!AE56</f>
        <v>10191</v>
      </c>
      <c r="AF30" s="116">
        <f>DEBT!AF56</f>
        <v>10191</v>
      </c>
      <c r="AG30" s="696"/>
    </row>
    <row r="31" spans="2:40" ht="12.75" customHeight="1">
      <c r="B31" s="21" t="s">
        <v>199</v>
      </c>
      <c r="C31" s="120">
        <f>7.252+4.591</f>
        <v>11.843</v>
      </c>
      <c r="D31" s="120">
        <v>16.677</v>
      </c>
      <c r="E31" s="120">
        <v>20.53</v>
      </c>
      <c r="F31" s="120">
        <v>31.404</v>
      </c>
      <c r="G31" s="120">
        <v>32.725000000000001</v>
      </c>
      <c r="H31" s="120">
        <v>61.048999999999999</v>
      </c>
      <c r="I31" s="120">
        <v>61.316000000000003</v>
      </c>
      <c r="J31" s="120">
        <v>74.180999999999997</v>
      </c>
      <c r="K31" s="116">
        <v>43.026000000000003</v>
      </c>
      <c r="L31" s="116">
        <f>32.844</f>
        <v>32.844000000000001</v>
      </c>
      <c r="M31" s="116">
        <v>31.87</v>
      </c>
      <c r="N31" s="116">
        <v>20.532</v>
      </c>
      <c r="O31" s="385">
        <v>21.978999999999999</v>
      </c>
      <c r="P31" s="385">
        <v>0</v>
      </c>
      <c r="Q31" s="385">
        <v>0</v>
      </c>
      <c r="R31" s="385">
        <v>0</v>
      </c>
      <c r="S31" s="385">
        <v>0</v>
      </c>
      <c r="T31" s="116">
        <f t="shared" ref="T31:AF31" si="20">S31</f>
        <v>0</v>
      </c>
      <c r="U31" s="116">
        <f t="shared" si="20"/>
        <v>0</v>
      </c>
      <c r="V31" s="116">
        <f t="shared" si="20"/>
        <v>0</v>
      </c>
      <c r="W31" s="116">
        <f t="shared" si="20"/>
        <v>0</v>
      </c>
      <c r="X31" s="116">
        <f t="shared" si="20"/>
        <v>0</v>
      </c>
      <c r="Y31" s="116">
        <f t="shared" si="20"/>
        <v>0</v>
      </c>
      <c r="Z31" s="116">
        <f t="shared" si="20"/>
        <v>0</v>
      </c>
      <c r="AA31" s="116">
        <f t="shared" si="20"/>
        <v>0</v>
      </c>
      <c r="AB31" s="116">
        <f t="shared" si="20"/>
        <v>0</v>
      </c>
      <c r="AC31" s="116">
        <f t="shared" si="20"/>
        <v>0</v>
      </c>
      <c r="AD31" s="116">
        <f t="shared" si="20"/>
        <v>0</v>
      </c>
      <c r="AE31" s="116">
        <f t="shared" si="20"/>
        <v>0</v>
      </c>
      <c r="AF31" s="116">
        <f t="shared" si="20"/>
        <v>0</v>
      </c>
      <c r="AG31" s="696"/>
    </row>
    <row r="32" spans="2:40" ht="12.75" customHeight="1">
      <c r="B32" s="21" t="s">
        <v>200</v>
      </c>
      <c r="C32" s="120">
        <f>0.389</f>
        <v>0.38900000000000001</v>
      </c>
      <c r="D32" s="120">
        <v>0.27300000000000002</v>
      </c>
      <c r="E32" s="120">
        <v>0.32300000000000001</v>
      </c>
      <c r="F32" s="120">
        <v>0.23400000000000001</v>
      </c>
      <c r="G32" s="120">
        <v>240.65</v>
      </c>
      <c r="H32" s="120">
        <v>91.846999999999994</v>
      </c>
      <c r="I32" s="120">
        <v>11.603999999999999</v>
      </c>
      <c r="J32" s="120">
        <v>21.462</v>
      </c>
      <c r="K32" s="116">
        <v>35.917999999999999</v>
      </c>
      <c r="L32" s="116">
        <f>27.401</f>
        <v>27.401</v>
      </c>
      <c r="M32" s="116">
        <v>147.73599999999999</v>
      </c>
      <c r="N32" s="116">
        <v>228.04</v>
      </c>
      <c r="O32" s="385">
        <f>156.647+83.286+63.831</f>
        <v>303.76400000000001</v>
      </c>
      <c r="P32" s="385">
        <f>15+535+51</f>
        <v>601</v>
      </c>
      <c r="Q32" s="385">
        <f>395+2</f>
        <v>397</v>
      </c>
      <c r="R32" s="385">
        <v>296</v>
      </c>
      <c r="S32" s="385">
        <v>558</v>
      </c>
      <c r="T32" s="116">
        <f>DEBT!T57</f>
        <v>558</v>
      </c>
      <c r="U32" s="116">
        <f>DEBT!U57</f>
        <v>558</v>
      </c>
      <c r="V32" s="116">
        <f>DEBT!V57</f>
        <v>558</v>
      </c>
      <c r="W32" s="116">
        <f>DEBT!W57</f>
        <v>558</v>
      </c>
      <c r="X32" s="116">
        <f>DEBT!X57</f>
        <v>558</v>
      </c>
      <c r="Y32" s="116">
        <f>DEBT!Y57</f>
        <v>558</v>
      </c>
      <c r="Z32" s="116">
        <f>DEBT!Z57</f>
        <v>558</v>
      </c>
      <c r="AA32" s="116">
        <f>DEBT!AA57</f>
        <v>558</v>
      </c>
      <c r="AB32" s="116">
        <f>DEBT!AB57</f>
        <v>558</v>
      </c>
      <c r="AC32" s="116">
        <f>DEBT!AC57</f>
        <v>558</v>
      </c>
      <c r="AD32" s="116">
        <f>DEBT!AD57</f>
        <v>558</v>
      </c>
      <c r="AE32" s="116">
        <f>DEBT!AE57</f>
        <v>558</v>
      </c>
      <c r="AF32" s="116">
        <f>DEBT!AF57</f>
        <v>558</v>
      </c>
      <c r="AG32" s="696"/>
    </row>
    <row r="33" spans="2:40" ht="12.75" customHeight="1">
      <c r="B33" s="11" t="s">
        <v>201</v>
      </c>
      <c r="C33" s="527">
        <f t="shared" ref="C33:AF33" si="21">SUM(C27:C32)</f>
        <v>342.34899999999999</v>
      </c>
      <c r="D33" s="527">
        <f t="shared" si="21"/>
        <v>716.8420000000001</v>
      </c>
      <c r="E33" s="527">
        <f t="shared" si="21"/>
        <v>551.74799999999993</v>
      </c>
      <c r="F33" s="527">
        <f t="shared" si="21"/>
        <v>285.09100000000001</v>
      </c>
      <c r="G33" s="527">
        <f t="shared" si="21"/>
        <v>738.53800000000001</v>
      </c>
      <c r="H33" s="527">
        <f t="shared" si="21"/>
        <v>2217.172</v>
      </c>
      <c r="I33" s="527">
        <f t="shared" si="21"/>
        <v>2234.4269999999992</v>
      </c>
      <c r="J33" s="527">
        <f t="shared" si="21"/>
        <v>2471.2480000000005</v>
      </c>
      <c r="K33" s="244">
        <f t="shared" si="21"/>
        <v>3193.4009999999998</v>
      </c>
      <c r="L33" s="244">
        <f t="shared" si="21"/>
        <v>5470.7929999999997</v>
      </c>
      <c r="M33" s="244">
        <f t="shared" si="21"/>
        <v>10435.785000000002</v>
      </c>
      <c r="N33" s="244">
        <f t="shared" si="21"/>
        <v>11688.969000000001</v>
      </c>
      <c r="O33" s="244">
        <f t="shared" si="21"/>
        <v>10752.284</v>
      </c>
      <c r="P33" s="244">
        <f>SUM(P27:P32)</f>
        <v>18845</v>
      </c>
      <c r="Q33" s="244">
        <f t="shared" si="21"/>
        <v>32726</v>
      </c>
      <c r="R33" s="244">
        <f t="shared" si="21"/>
        <v>37614</v>
      </c>
      <c r="S33" s="244">
        <f t="shared" si="21"/>
        <v>49782</v>
      </c>
      <c r="T33" s="244">
        <f t="shared" si="21"/>
        <v>43147.954006478176</v>
      </c>
      <c r="U33" s="244">
        <f t="shared" si="21"/>
        <v>40475.557383796913</v>
      </c>
      <c r="V33" s="244">
        <f t="shared" si="21"/>
        <v>37034.134121270727</v>
      </c>
      <c r="W33" s="244">
        <f t="shared" si="21"/>
        <v>34814.696428561314</v>
      </c>
      <c r="X33" s="244">
        <f t="shared" si="21"/>
        <v>30826.246520253942</v>
      </c>
      <c r="Y33" s="244">
        <f t="shared" si="21"/>
        <v>30055.497369924589</v>
      </c>
      <c r="Z33" s="244">
        <f t="shared" si="21"/>
        <v>28288.725084146317</v>
      </c>
      <c r="AA33" s="244">
        <f t="shared" si="21"/>
        <v>26378.074476128982</v>
      </c>
      <c r="AB33" s="244">
        <f t="shared" si="21"/>
        <v>23619.570982205609</v>
      </c>
      <c r="AC33" s="244">
        <f t="shared" si="21"/>
        <v>22424.598837279555</v>
      </c>
      <c r="AD33" s="244">
        <f t="shared" si="21"/>
        <v>21925.823638696824</v>
      </c>
      <c r="AE33" s="244">
        <f t="shared" si="21"/>
        <v>18941.82796934115</v>
      </c>
      <c r="AF33" s="244">
        <f t="shared" si="21"/>
        <v>18457.919132166473</v>
      </c>
      <c r="AG33" s="696"/>
    </row>
    <row r="34" spans="2:40" ht="12.75" customHeight="1">
      <c r="C34" s="120"/>
      <c r="D34" s="120"/>
      <c r="E34" s="120"/>
      <c r="F34" s="120"/>
      <c r="G34" s="120"/>
      <c r="H34" s="120"/>
      <c r="I34" s="120"/>
      <c r="J34" s="120"/>
      <c r="K34" s="116"/>
      <c r="L34" s="116"/>
      <c r="M34" s="116"/>
      <c r="N34" s="116"/>
      <c r="O34" s="116"/>
      <c r="P34" s="116"/>
      <c r="Q34" s="116"/>
      <c r="R34" s="116"/>
      <c r="S34" s="116"/>
      <c r="T34" s="116"/>
      <c r="U34" s="116"/>
      <c r="V34" s="116"/>
      <c r="W34" s="8"/>
      <c r="X34" s="8"/>
      <c r="Y34" s="8"/>
      <c r="Z34" s="8"/>
      <c r="AA34" s="8"/>
      <c r="AB34" s="8"/>
      <c r="AC34" s="8"/>
      <c r="AD34" s="8"/>
      <c r="AE34" s="8"/>
      <c r="AF34" s="8"/>
      <c r="AG34" s="696"/>
    </row>
    <row r="35" spans="2:40" ht="12.75" customHeight="1">
      <c r="B35" s="21" t="s">
        <v>202</v>
      </c>
      <c r="C35" s="120">
        <v>0</v>
      </c>
      <c r="D35" s="120">
        <v>0</v>
      </c>
      <c r="E35" s="120">
        <v>0</v>
      </c>
      <c r="F35" s="120">
        <v>0</v>
      </c>
      <c r="G35" s="120">
        <v>0</v>
      </c>
      <c r="H35" s="120">
        <v>53.091000000000001</v>
      </c>
      <c r="I35" s="120">
        <v>140.29900000000001</v>
      </c>
      <c r="J35" s="120">
        <v>193.01</v>
      </c>
      <c r="K35" s="116">
        <v>138.09299999999999</v>
      </c>
      <c r="L35" s="116">
        <f>258.108</f>
        <v>258.108</v>
      </c>
      <c r="M35" s="116">
        <v>128.49299999999999</v>
      </c>
      <c r="N35" s="116">
        <v>241.13</v>
      </c>
      <c r="O35" s="385">
        <v>375.43400000000003</v>
      </c>
      <c r="P35" s="385">
        <v>393</v>
      </c>
      <c r="Q35" s="385">
        <v>579</v>
      </c>
      <c r="R35" s="385">
        <v>476</v>
      </c>
      <c r="S35" s="385">
        <v>59</v>
      </c>
      <c r="T35" s="116">
        <f>S35+CF!T41+IS!CJ29</f>
        <v>59</v>
      </c>
      <c r="U35" s="116">
        <f>T35+CF!U41+IS!CO29</f>
        <v>59</v>
      </c>
      <c r="V35" s="116">
        <f>U35+CF!V41+IS!CT29</f>
        <v>59</v>
      </c>
      <c r="W35" s="116">
        <f>V35+CF!W41+IS!CY29</f>
        <v>59</v>
      </c>
      <c r="X35" s="116">
        <f>W35+CF!X41+IS!DD29</f>
        <v>59</v>
      </c>
      <c r="Y35" s="116">
        <f>X35+CF!Y41+IS!DI29</f>
        <v>59</v>
      </c>
      <c r="Z35" s="116">
        <f>Y35+CF!Z41+IS!DN29</f>
        <v>59</v>
      </c>
      <c r="AA35" s="116">
        <f>Z35+CF!AA41+IS!DS29</f>
        <v>59</v>
      </c>
      <c r="AB35" s="116">
        <f>AA35+CF!AB41+IS!DX29</f>
        <v>59</v>
      </c>
      <c r="AC35" s="116">
        <f>AB35+CF!AC41+IS!EC29</f>
        <v>59</v>
      </c>
      <c r="AD35" s="116">
        <f>AC35+CF!AD41+IS!EH29</f>
        <v>59</v>
      </c>
      <c r="AE35" s="116">
        <f>AD35+CF!AE41+IS!EM29</f>
        <v>59</v>
      </c>
      <c r="AF35" s="116">
        <f>AE35+CF!AF41+IS!ER29</f>
        <v>59</v>
      </c>
      <c r="AG35" s="696"/>
    </row>
    <row r="36" spans="2:40" ht="12.75" customHeight="1">
      <c r="B36" s="21" t="s">
        <v>203</v>
      </c>
      <c r="C36" s="120">
        <v>0</v>
      </c>
      <c r="D36" s="120">
        <v>0</v>
      </c>
      <c r="E36" s="120">
        <v>0</v>
      </c>
      <c r="F36" s="120">
        <v>0</v>
      </c>
      <c r="G36" s="120">
        <v>0</v>
      </c>
      <c r="H36" s="120">
        <v>0</v>
      </c>
      <c r="I36" s="120">
        <v>0</v>
      </c>
      <c r="J36" s="120">
        <v>0</v>
      </c>
      <c r="K36" s="116">
        <v>0</v>
      </c>
      <c r="L36" s="116">
        <v>0</v>
      </c>
      <c r="M36" s="116">
        <v>0</v>
      </c>
      <c r="N36" s="116">
        <v>0</v>
      </c>
      <c r="O36" s="385">
        <v>0</v>
      </c>
      <c r="P36" s="385">
        <v>0</v>
      </c>
      <c r="Q36" s="385">
        <v>0</v>
      </c>
      <c r="R36" s="385">
        <v>0</v>
      </c>
      <c r="S36" s="385">
        <v>0</v>
      </c>
      <c r="T36" s="116">
        <v>0</v>
      </c>
      <c r="U36" s="116">
        <v>0</v>
      </c>
      <c r="V36" s="116">
        <v>0</v>
      </c>
      <c r="W36" s="116">
        <v>0</v>
      </c>
      <c r="X36" s="116">
        <v>0</v>
      </c>
      <c r="Y36" s="116">
        <v>0</v>
      </c>
      <c r="Z36" s="116">
        <v>0</v>
      </c>
      <c r="AA36" s="116">
        <v>0</v>
      </c>
      <c r="AB36" s="116">
        <v>0</v>
      </c>
      <c r="AC36" s="116">
        <v>0</v>
      </c>
      <c r="AD36" s="116">
        <v>0</v>
      </c>
      <c r="AE36" s="116">
        <v>0</v>
      </c>
      <c r="AF36" s="116">
        <v>0</v>
      </c>
      <c r="AG36" s="696"/>
    </row>
    <row r="37" spans="2:40" ht="12.75" customHeight="1">
      <c r="B37" s="21" t="s">
        <v>204</v>
      </c>
      <c r="C37" s="120">
        <f>0.193</f>
        <v>0.193</v>
      </c>
      <c r="D37" s="120">
        <f>0.198</f>
        <v>0.19800000000000001</v>
      </c>
      <c r="E37" s="120">
        <f>0.426</f>
        <v>0.42599999999999999</v>
      </c>
      <c r="F37" s="120">
        <f>0.449</f>
        <v>0.44900000000000001</v>
      </c>
      <c r="G37" s="120">
        <f>0.46</f>
        <v>0.46</v>
      </c>
      <c r="H37" s="120">
        <f>0.922</f>
        <v>0.92200000000000004</v>
      </c>
      <c r="I37" s="120">
        <f>0.932</f>
        <v>0.93200000000000005</v>
      </c>
      <c r="J37" s="120">
        <f>0.91</f>
        <v>0.91</v>
      </c>
      <c r="K37" s="116">
        <f>0.9</f>
        <v>0.9</v>
      </c>
      <c r="L37" s="116">
        <f>0.802</f>
        <v>0.80200000000000005</v>
      </c>
      <c r="M37" s="116">
        <v>0.753</v>
      </c>
      <c r="N37" s="116">
        <v>0.76</v>
      </c>
      <c r="O37" s="385">
        <v>1.534</v>
      </c>
      <c r="P37" s="385">
        <v>2</v>
      </c>
      <c r="Q37" s="385">
        <v>1</v>
      </c>
      <c r="R37" s="385">
        <v>1</v>
      </c>
      <c r="S37" s="385">
        <v>1</v>
      </c>
      <c r="T37" s="116">
        <f t="shared" ref="T37:AF37" si="22">S37</f>
        <v>1</v>
      </c>
      <c r="U37" s="116">
        <f t="shared" si="22"/>
        <v>1</v>
      </c>
      <c r="V37" s="116">
        <f t="shared" si="22"/>
        <v>1</v>
      </c>
      <c r="W37" s="116">
        <f t="shared" si="22"/>
        <v>1</v>
      </c>
      <c r="X37" s="116">
        <f t="shared" si="22"/>
        <v>1</v>
      </c>
      <c r="Y37" s="116">
        <f t="shared" si="22"/>
        <v>1</v>
      </c>
      <c r="Z37" s="116">
        <f t="shared" si="22"/>
        <v>1</v>
      </c>
      <c r="AA37" s="116">
        <f t="shared" si="22"/>
        <v>1</v>
      </c>
      <c r="AB37" s="116">
        <f t="shared" si="22"/>
        <v>1</v>
      </c>
      <c r="AC37" s="116">
        <f t="shared" si="22"/>
        <v>1</v>
      </c>
      <c r="AD37" s="116">
        <f t="shared" si="22"/>
        <v>1</v>
      </c>
      <c r="AE37" s="116">
        <f t="shared" si="22"/>
        <v>1</v>
      </c>
      <c r="AF37" s="116">
        <f t="shared" si="22"/>
        <v>1</v>
      </c>
      <c r="AG37" s="696"/>
    </row>
    <row r="38" spans="2:40" ht="12.75" customHeight="1">
      <c r="B38" s="21" t="s">
        <v>205</v>
      </c>
      <c r="C38" s="120">
        <v>898.53300000000002</v>
      </c>
      <c r="D38" s="120">
        <v>950.30799999999999</v>
      </c>
      <c r="E38" s="120">
        <v>1452.99</v>
      </c>
      <c r="F38" s="120">
        <v>1893.9259999999999</v>
      </c>
      <c r="G38" s="120">
        <v>2206.2280000000001</v>
      </c>
      <c r="H38" s="120">
        <v>2703.9380000000001</v>
      </c>
      <c r="I38" s="120">
        <v>3214.3409999999999</v>
      </c>
      <c r="J38" s="120">
        <v>3930.1089999999999</v>
      </c>
      <c r="K38" s="116">
        <v>4376.6509999999998</v>
      </c>
      <c r="L38" s="116">
        <v>4648.2860000000001</v>
      </c>
      <c r="M38" s="116">
        <v>4903.143</v>
      </c>
      <c r="N38" s="116">
        <v>5649.85</v>
      </c>
      <c r="O38" s="385">
        <v>5386.7349999999997</v>
      </c>
      <c r="P38" s="385">
        <v>2391</v>
      </c>
      <c r="Q38" s="385">
        <v>444</v>
      </c>
      <c r="R38" s="385">
        <v>454</v>
      </c>
      <c r="S38" s="385">
        <v>1264</v>
      </c>
      <c r="T38" s="116">
        <f>S38+CF!T91</f>
        <v>1471.9225686828054</v>
      </c>
      <c r="U38" s="116">
        <f>T38+CF!U91</f>
        <v>-1778.4875936289232</v>
      </c>
      <c r="V38" s="116">
        <f>U38+CF!V91</f>
        <v>-7843.7156687569113</v>
      </c>
      <c r="W38" s="116">
        <f>V38+CF!W91</f>
        <v>-11940.15948070856</v>
      </c>
      <c r="X38" s="116">
        <f>W38+CF!X91</f>
        <v>-16459.07864083763</v>
      </c>
      <c r="Y38" s="116">
        <f>X38+CF!Y91</f>
        <v>-21442.733514928841</v>
      </c>
      <c r="Z38" s="116">
        <f>Y38+CF!Z91</f>
        <v>-21425.939050681111</v>
      </c>
      <c r="AA38" s="116">
        <f>Z38+CF!AA91</f>
        <v>-21420.33463839754</v>
      </c>
      <c r="AB38" s="116">
        <f>AA38+CF!AB91</f>
        <v>-21427.052152772936</v>
      </c>
      <c r="AC38" s="116">
        <f>AB38+CF!AC91</f>
        <v>-21447.336668841079</v>
      </c>
      <c r="AD38" s="116">
        <f>AC38+CF!AD91</f>
        <v>-21482.5577820215</v>
      </c>
      <c r="AE38" s="116">
        <f>AD38+CF!AE91</f>
        <v>-21534.222060170934</v>
      </c>
      <c r="AF38" s="116">
        <f>AE38+CF!AF91</f>
        <v>-21603.98674083993</v>
      </c>
      <c r="AG38" s="696"/>
    </row>
    <row r="39" spans="2:40" ht="12.75" customHeight="1">
      <c r="B39" s="21" t="s">
        <v>206</v>
      </c>
      <c r="C39" s="120">
        <v>-453.73700000000002</v>
      </c>
      <c r="D39" s="120">
        <v>-381.64</v>
      </c>
      <c r="E39" s="120">
        <v>-453.64299999999997</v>
      </c>
      <c r="F39" s="120">
        <v>-4.2720000000000002</v>
      </c>
      <c r="G39" s="120">
        <v>809.64200000000005</v>
      </c>
      <c r="H39" s="120">
        <v>-891.36300000000006</v>
      </c>
      <c r="I39" s="120">
        <f>249.08</f>
        <v>249.08</v>
      </c>
      <c r="J39" s="120">
        <v>300.31400000000002</v>
      </c>
      <c r="K39" s="116">
        <v>1995.2719999999999</v>
      </c>
      <c r="L39" s="116">
        <f>1183.73</f>
        <v>1183.73</v>
      </c>
      <c r="M39" s="116">
        <v>1776.76</v>
      </c>
      <c r="N39" s="116">
        <v>3704.7440000000001</v>
      </c>
      <c r="O39" s="385">
        <v>6105.2439999999997</v>
      </c>
      <c r="P39" s="385">
        <v>12732</v>
      </c>
      <c r="Q39" s="385">
        <v>18001</v>
      </c>
      <c r="R39" s="385">
        <v>18154</v>
      </c>
      <c r="S39" s="385">
        <v>19012</v>
      </c>
      <c r="T39" s="116">
        <f>CF!T121</f>
        <v>24989.510727012519</v>
      </c>
      <c r="U39" s="116">
        <f>CF!U121</f>
        <v>31037.605760137838</v>
      </c>
      <c r="V39" s="116">
        <f>CF!V121</f>
        <v>37787.151069928143</v>
      </c>
      <c r="W39" s="116">
        <f>CF!W121</f>
        <v>43711.478492794915</v>
      </c>
      <c r="X39" s="116">
        <f>CF!X121</f>
        <v>50106.539555799529</v>
      </c>
      <c r="Y39" s="116">
        <f>CF!Y121</f>
        <v>56934.111939264032</v>
      </c>
      <c r="Z39" s="116">
        <f>CF!Z121</f>
        <v>64254.455604990522</v>
      </c>
      <c r="AA39" s="116">
        <f>CF!AA121</f>
        <v>68693.136041340709</v>
      </c>
      <c r="AB39" s="116">
        <f>CF!AB121</f>
        <v>72201.062165325158</v>
      </c>
      <c r="AC39" s="116">
        <f>CF!AC121</f>
        <v>75486.528947031024</v>
      </c>
      <c r="AD39" s="116">
        <f>CF!AD121</f>
        <v>79141.569866519407</v>
      </c>
      <c r="AE39" s="116">
        <f>CF!AE121</f>
        <v>84267.222854667503</v>
      </c>
      <c r="AF39" s="116">
        <f>CF!AF121</f>
        <v>89405.233473107481</v>
      </c>
      <c r="AG39" s="696"/>
    </row>
    <row r="40" spans="2:40" ht="12.75" customHeight="1">
      <c r="B40" s="21" t="s">
        <v>207</v>
      </c>
      <c r="C40" s="120">
        <v>7.4480000000000004</v>
      </c>
      <c r="D40" s="120">
        <v>2.4750000000000001</v>
      </c>
      <c r="E40" s="120">
        <f>4.507-1.306</f>
        <v>3.2009999999999996</v>
      </c>
      <c r="F40" s="120">
        <f>-18.692-0.539</f>
        <v>-19.231000000000002</v>
      </c>
      <c r="G40" s="120">
        <f>11.578-0.13</f>
        <v>11.447999999999999</v>
      </c>
      <c r="H40" s="120">
        <v>2.2210000000000001</v>
      </c>
      <c r="I40" s="120">
        <v>-4.3630000000000004</v>
      </c>
      <c r="J40" s="120">
        <v>41.24</v>
      </c>
      <c r="K40" s="116">
        <v>-5.758</v>
      </c>
      <c r="L40" s="116">
        <f>30.911</f>
        <v>30.911000000000001</v>
      </c>
      <c r="M40" s="116">
        <v>58.2</v>
      </c>
      <c r="N40" s="116">
        <v>-45.615000000000002</v>
      </c>
      <c r="O40" s="385">
        <v>-124.446</v>
      </c>
      <c r="P40" s="385">
        <v>301</v>
      </c>
      <c r="Q40" s="385">
        <v>88</v>
      </c>
      <c r="R40" s="385">
        <v>278</v>
      </c>
      <c r="S40" s="385">
        <v>165</v>
      </c>
      <c r="T40" s="116">
        <f>S40+CF!T46</f>
        <v>165</v>
      </c>
      <c r="U40" s="116">
        <f>T40+CF!U46</f>
        <v>165</v>
      </c>
      <c r="V40" s="116">
        <f>U40+CF!V46</f>
        <v>165</v>
      </c>
      <c r="W40" s="116">
        <f>V40+CF!W46</f>
        <v>165</v>
      </c>
      <c r="X40" s="116">
        <f>W40+CF!X46</f>
        <v>165</v>
      </c>
      <c r="Y40" s="116">
        <f>X40+CF!Y46</f>
        <v>165</v>
      </c>
      <c r="Z40" s="116">
        <f>Y40+CF!Z46</f>
        <v>165</v>
      </c>
      <c r="AA40" s="116">
        <f>Z40+CF!AA46</f>
        <v>165</v>
      </c>
      <c r="AB40" s="116">
        <f>AA40+CF!AB46</f>
        <v>165</v>
      </c>
      <c r="AC40" s="116">
        <f>AB40+CF!AC46</f>
        <v>165</v>
      </c>
      <c r="AD40" s="116">
        <f>AC40+CF!AD46</f>
        <v>165</v>
      </c>
      <c r="AE40" s="116">
        <f>AD40+CF!AE46</f>
        <v>165</v>
      </c>
      <c r="AF40" s="116">
        <f>AE40+CF!AF46</f>
        <v>165</v>
      </c>
      <c r="AG40" s="696"/>
    </row>
    <row r="41" spans="2:40" s="9" customFormat="1" ht="12.75" customHeight="1">
      <c r="B41" s="11" t="s">
        <v>208</v>
      </c>
      <c r="C41" s="527">
        <f t="shared" ref="C41:V41" si="23">SUM(C37:C40)</f>
        <v>452.43699999999995</v>
      </c>
      <c r="D41" s="527">
        <f t="shared" si="23"/>
        <v>571.34100000000001</v>
      </c>
      <c r="E41" s="527">
        <f t="shared" si="23"/>
        <v>1002.9739999999999</v>
      </c>
      <c r="F41" s="527">
        <f t="shared" si="23"/>
        <v>1870.8720000000001</v>
      </c>
      <c r="G41" s="527">
        <f t="shared" si="23"/>
        <v>3027.7779999999998</v>
      </c>
      <c r="H41" s="527">
        <f t="shared" si="23"/>
        <v>1815.7180000000001</v>
      </c>
      <c r="I41" s="527">
        <f t="shared" si="23"/>
        <v>3459.99</v>
      </c>
      <c r="J41" s="527">
        <f t="shared" si="23"/>
        <v>4272.5729999999994</v>
      </c>
      <c r="K41" s="244">
        <f t="shared" si="23"/>
        <v>6367.0649999999996</v>
      </c>
      <c r="L41" s="244">
        <f t="shared" si="23"/>
        <v>5863.7289999999994</v>
      </c>
      <c r="M41" s="244">
        <f t="shared" si="23"/>
        <v>6738.8559999999998</v>
      </c>
      <c r="N41" s="244">
        <f t="shared" si="23"/>
        <v>9309.7390000000014</v>
      </c>
      <c r="O41" s="244">
        <f t="shared" si="23"/>
        <v>11369.066999999999</v>
      </c>
      <c r="P41" s="244">
        <f>SUM(P37:P40)</f>
        <v>15426</v>
      </c>
      <c r="Q41" s="244">
        <f t="shared" si="23"/>
        <v>18534</v>
      </c>
      <c r="R41" s="244">
        <f t="shared" si="23"/>
        <v>18887</v>
      </c>
      <c r="S41" s="244">
        <f t="shared" si="23"/>
        <v>20442</v>
      </c>
      <c r="T41" s="244">
        <f t="shared" si="23"/>
        <v>26627.433295695326</v>
      </c>
      <c r="U41" s="244">
        <f t="shared" si="23"/>
        <v>29425.118166508913</v>
      </c>
      <c r="V41" s="244">
        <f t="shared" si="23"/>
        <v>30109.435401171231</v>
      </c>
      <c r="W41" s="244">
        <f t="shared" ref="W41:AF41" si="24">SUM(W37:W40)</f>
        <v>31937.319012086355</v>
      </c>
      <c r="X41" s="244">
        <f t="shared" si="24"/>
        <v>33813.460914961899</v>
      </c>
      <c r="Y41" s="244">
        <f t="shared" si="24"/>
        <v>35657.378424335191</v>
      </c>
      <c r="Z41" s="244">
        <f t="shared" si="24"/>
        <v>42994.516554309412</v>
      </c>
      <c r="AA41" s="244">
        <f t="shared" si="24"/>
        <v>47438.801402943165</v>
      </c>
      <c r="AB41" s="244">
        <f t="shared" si="24"/>
        <v>50940.010012552222</v>
      </c>
      <c r="AC41" s="244">
        <f t="shared" si="24"/>
        <v>54205.192278189948</v>
      </c>
      <c r="AD41" s="244">
        <f t="shared" si="24"/>
        <v>57825.01208449791</v>
      </c>
      <c r="AE41" s="244">
        <f t="shared" si="24"/>
        <v>62899.000794496569</v>
      </c>
      <c r="AF41" s="244">
        <f t="shared" si="24"/>
        <v>67967.246732267551</v>
      </c>
      <c r="AG41" s="696"/>
      <c r="AI41"/>
      <c r="AJ41"/>
      <c r="AK41"/>
      <c r="AL41"/>
      <c r="AM41"/>
      <c r="AN41"/>
    </row>
    <row r="42" spans="2:40" s="9" customFormat="1" ht="12.75" customHeight="1" thickBot="1">
      <c r="B42" s="528" t="s">
        <v>506</v>
      </c>
      <c r="C42" s="529">
        <f t="shared" ref="C42:V42" si="25">C33+C41+C35+C36</f>
        <v>794.78599999999994</v>
      </c>
      <c r="D42" s="529">
        <f t="shared" si="25"/>
        <v>1288.183</v>
      </c>
      <c r="E42" s="529">
        <f t="shared" si="25"/>
        <v>1554.7219999999998</v>
      </c>
      <c r="F42" s="529">
        <f t="shared" si="25"/>
        <v>2155.9630000000002</v>
      </c>
      <c r="G42" s="529">
        <f t="shared" si="25"/>
        <v>3766.3159999999998</v>
      </c>
      <c r="H42" s="529">
        <f t="shared" si="25"/>
        <v>4085.9810000000002</v>
      </c>
      <c r="I42" s="529">
        <f t="shared" si="25"/>
        <v>5834.7159999999994</v>
      </c>
      <c r="J42" s="529">
        <f t="shared" si="25"/>
        <v>6936.8310000000001</v>
      </c>
      <c r="K42" s="530">
        <f t="shared" si="25"/>
        <v>9698.5590000000011</v>
      </c>
      <c r="L42" s="530">
        <f t="shared" si="25"/>
        <v>11592.63</v>
      </c>
      <c r="M42" s="530">
        <f t="shared" si="25"/>
        <v>17303.134000000002</v>
      </c>
      <c r="N42" s="530">
        <f t="shared" si="25"/>
        <v>21239.838000000003</v>
      </c>
      <c r="O42" s="530">
        <f t="shared" si="25"/>
        <v>22496.785</v>
      </c>
      <c r="P42" s="530">
        <f>P33+P41+P35+P36</f>
        <v>34664</v>
      </c>
      <c r="Q42" s="530">
        <f t="shared" si="25"/>
        <v>51839</v>
      </c>
      <c r="R42" s="530">
        <f t="shared" si="25"/>
        <v>56977</v>
      </c>
      <c r="S42" s="530">
        <f t="shared" si="25"/>
        <v>70283</v>
      </c>
      <c r="T42" s="530">
        <f t="shared" si="25"/>
        <v>69834.387302173505</v>
      </c>
      <c r="U42" s="530">
        <f t="shared" si="25"/>
        <v>69959.675550305823</v>
      </c>
      <c r="V42" s="530">
        <f t="shared" si="25"/>
        <v>67202.569522441961</v>
      </c>
      <c r="W42" s="530">
        <f t="shared" ref="W42:AF42" si="26">W33+W41+W35+W36</f>
        <v>66811.015440647665</v>
      </c>
      <c r="X42" s="530">
        <f t="shared" si="26"/>
        <v>64698.707435215838</v>
      </c>
      <c r="Y42" s="530">
        <f t="shared" si="26"/>
        <v>65771.875794259773</v>
      </c>
      <c r="Z42" s="530">
        <f t="shared" si="26"/>
        <v>71342.241638455729</v>
      </c>
      <c r="AA42" s="530">
        <f t="shared" si="26"/>
        <v>73875.875879072148</v>
      </c>
      <c r="AB42" s="530">
        <f t="shared" si="26"/>
        <v>74618.580994757824</v>
      </c>
      <c r="AC42" s="530">
        <f t="shared" si="26"/>
        <v>76688.791115469503</v>
      </c>
      <c r="AD42" s="530">
        <f t="shared" si="26"/>
        <v>79809.83572319473</v>
      </c>
      <c r="AE42" s="530">
        <f t="shared" si="26"/>
        <v>81899.828763837722</v>
      </c>
      <c r="AF42" s="530">
        <f t="shared" si="26"/>
        <v>86484.16586443402</v>
      </c>
      <c r="AG42" s="696"/>
      <c r="AI42"/>
      <c r="AJ42"/>
      <c r="AK42"/>
      <c r="AL42"/>
      <c r="AM42"/>
      <c r="AN42"/>
    </row>
    <row r="43" spans="2:40" ht="12.75" customHeight="1" thickTop="1">
      <c r="B43" s="1" t="s">
        <v>415</v>
      </c>
      <c r="C43" s="181">
        <f t="shared" ref="C43:U43" si="27">+ROUND(C42-C19,3)</f>
        <v>0</v>
      </c>
      <c r="D43" s="181">
        <f t="shared" si="27"/>
        <v>0</v>
      </c>
      <c r="E43" s="181">
        <f t="shared" si="27"/>
        <v>0</v>
      </c>
      <c r="F43" s="181">
        <f t="shared" si="27"/>
        <v>0</v>
      </c>
      <c r="G43" s="181">
        <f t="shared" si="27"/>
        <v>0</v>
      </c>
      <c r="H43" s="181">
        <f t="shared" si="27"/>
        <v>0</v>
      </c>
      <c r="I43" s="181">
        <f t="shared" si="27"/>
        <v>0</v>
      </c>
      <c r="J43" s="181">
        <f t="shared" si="27"/>
        <v>0</v>
      </c>
      <c r="K43" s="524">
        <f t="shared" si="27"/>
        <v>0</v>
      </c>
      <c r="L43" s="524">
        <f t="shared" si="27"/>
        <v>0</v>
      </c>
      <c r="M43" s="524">
        <f t="shared" si="27"/>
        <v>0</v>
      </c>
      <c r="N43" s="524">
        <f t="shared" si="27"/>
        <v>0</v>
      </c>
      <c r="O43" s="524">
        <f t="shared" si="27"/>
        <v>0</v>
      </c>
      <c r="P43" s="524">
        <f t="shared" si="27"/>
        <v>0</v>
      </c>
      <c r="Q43" s="524">
        <f t="shared" si="27"/>
        <v>0</v>
      </c>
      <c r="R43" s="524">
        <f t="shared" si="27"/>
        <v>0</v>
      </c>
      <c r="S43" s="524">
        <f t="shared" si="27"/>
        <v>0</v>
      </c>
      <c r="T43" s="524">
        <f t="shared" si="27"/>
        <v>0</v>
      </c>
      <c r="U43" s="524">
        <f t="shared" si="27"/>
        <v>0</v>
      </c>
      <c r="V43" s="524">
        <f>+ROUND(V42-V19,3)</f>
        <v>0</v>
      </c>
      <c r="W43" s="524">
        <f>+ROUND(W42-W19,3)</f>
        <v>0</v>
      </c>
      <c r="X43" s="524">
        <f t="shared" ref="X43:AF43" si="28">+ROUND(X42-X19,3)</f>
        <v>0</v>
      </c>
      <c r="Y43" s="524">
        <f t="shared" si="28"/>
        <v>0</v>
      </c>
      <c r="Z43" s="524">
        <f t="shared" si="28"/>
        <v>0</v>
      </c>
      <c r="AA43" s="524">
        <f t="shared" si="28"/>
        <v>0</v>
      </c>
      <c r="AB43" s="524">
        <f t="shared" si="28"/>
        <v>0</v>
      </c>
      <c r="AC43" s="524">
        <f t="shared" si="28"/>
        <v>0</v>
      </c>
      <c r="AD43" s="524">
        <f t="shared" si="28"/>
        <v>0</v>
      </c>
      <c r="AE43" s="524">
        <f t="shared" si="28"/>
        <v>0</v>
      </c>
      <c r="AF43" s="524">
        <f t="shared" si="28"/>
        <v>0</v>
      </c>
      <c r="AG43" s="116"/>
    </row>
    <row r="44" spans="2:40" ht="12.75" customHeight="1">
      <c r="N44" s="3"/>
      <c r="O44" s="3"/>
      <c r="P44" s="3"/>
    </row>
    <row r="45" spans="2:40" ht="12.75" customHeight="1">
      <c r="B45" s="9" t="s">
        <v>209</v>
      </c>
      <c r="C45" s="133"/>
      <c r="D45" s="133"/>
      <c r="E45" s="133"/>
      <c r="F45" s="133"/>
      <c r="G45" s="133"/>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row>
    <row r="46" spans="2:40" ht="12.75" customHeight="1" outlineLevel="1">
      <c r="B46" s="9"/>
      <c r="C46" s="133"/>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row>
    <row r="47" spans="2:40" ht="12.75" customHeight="1" outlineLevel="1">
      <c r="B47" s="21" t="s">
        <v>210</v>
      </c>
      <c r="C47" s="120">
        <f>REVS!C146</f>
        <v>233.76900000000001</v>
      </c>
      <c r="D47" s="120">
        <f>REVS!H146</f>
        <v>466.79</v>
      </c>
      <c r="E47" s="120">
        <f>REVS!M146</f>
        <v>867.86400000000015</v>
      </c>
      <c r="F47" s="120">
        <f>REVS!R146</f>
        <v>1324.6220000000001</v>
      </c>
      <c r="G47" s="120">
        <f>REVS!W146</f>
        <v>2028.4</v>
      </c>
      <c r="H47" s="120">
        <f>REVS!AB146</f>
        <v>3025.9750000000004</v>
      </c>
      <c r="I47" s="120">
        <f>REVS!AG146</f>
        <v>4229.3959999999997</v>
      </c>
      <c r="J47" s="120">
        <f>REVS!AL146</f>
        <v>5335.7499999999991</v>
      </c>
      <c r="K47" s="120">
        <f>REVS!AQ146</f>
        <v>7011.3829999999998</v>
      </c>
      <c r="L47" s="120">
        <f>REVS!AV146</f>
        <v>7949.42</v>
      </c>
      <c r="M47" s="120">
        <f>REVS!BA146</f>
        <v>8385.3850000000002</v>
      </c>
      <c r="N47" s="120">
        <f>REVS!BF146</f>
        <v>9702.5170000000016</v>
      </c>
      <c r="O47" s="120">
        <f>REVS!BK146</f>
        <v>11201.689</v>
      </c>
      <c r="P47" s="120">
        <f>REVS!BP146</f>
        <v>24890.003107738503</v>
      </c>
      <c r="Q47" s="120">
        <f>REVS!BU146</f>
        <v>32639</v>
      </c>
      <c r="R47" s="120">
        <f>REVS!BZ146</f>
        <v>30390</v>
      </c>
      <c r="S47" s="120">
        <f>REVS!CE146</f>
        <v>26107</v>
      </c>
      <c r="T47" s="120">
        <f>REVS!CJ146</f>
        <v>21039.08405080091</v>
      </c>
      <c r="U47" s="120">
        <f>REVS!CO146</f>
        <v>21341.033879780261</v>
      </c>
      <c r="V47" s="120">
        <f>REVS!CT146</f>
        <v>22698.665556053802</v>
      </c>
      <c r="W47" s="120">
        <f>REVS!CY146</f>
        <v>21467.723596869662</v>
      </c>
      <c r="X47" s="120">
        <f>REVS!DD146</f>
        <v>22180.651481390367</v>
      </c>
      <c r="Y47" s="120">
        <f>REVS!DI146</f>
        <v>23028.884044578823</v>
      </c>
      <c r="Z47" s="120">
        <f>REVS!DN146</f>
        <v>23910.952742949023</v>
      </c>
      <c r="AA47" s="120">
        <f>REVS!DS146</f>
        <v>18530.995910670714</v>
      </c>
      <c r="AB47" s="120">
        <f>REVS!DX146</f>
        <v>16902.592374021508</v>
      </c>
      <c r="AC47" s="120">
        <f>REVS!EC146</f>
        <v>16756.504191770364</v>
      </c>
      <c r="AD47" s="120">
        <f>REVS!EH146</f>
        <v>16699.182904889727</v>
      </c>
      <c r="AE47" s="120">
        <f>REVS!EM146</f>
        <v>14046.02780742199</v>
      </c>
      <c r="AF47" s="120">
        <f>REVS!ER146</f>
        <v>13475.623368567702</v>
      </c>
    </row>
    <row r="48" spans="2:40" ht="12.75" customHeight="1" outlineLevel="1">
      <c r="B48" s="21" t="s">
        <v>100</v>
      </c>
      <c r="C48" s="120">
        <f>IS!C9</f>
        <v>43.764000000000003</v>
      </c>
      <c r="D48" s="120">
        <f>IS!H9</f>
        <v>69.72399999999999</v>
      </c>
      <c r="E48" s="120">
        <f>IS!M9</f>
        <v>111.98699999999999</v>
      </c>
      <c r="F48" s="120">
        <f>IS!R9</f>
        <v>166.58799999999999</v>
      </c>
      <c r="G48" s="120">
        <f>IS!W9</f>
        <v>260.32600000000002</v>
      </c>
      <c r="H48" s="120">
        <f>IS!AB9</f>
        <v>422.44899999999996</v>
      </c>
      <c r="I48" s="120">
        <f>IS!AG9</f>
        <v>757.54700000000003</v>
      </c>
      <c r="J48" s="120">
        <f>IS!AL9</f>
        <v>1116.934</v>
      </c>
      <c r="K48" s="120">
        <f>IS!AQ9</f>
        <v>1529.922</v>
      </c>
      <c r="L48" s="120">
        <f>IS!AV9</f>
        <v>1792.749</v>
      </c>
      <c r="M48" s="120">
        <f>IS!BA9</f>
        <v>2046.348</v>
      </c>
      <c r="N48" s="120">
        <f>IS!BF9</f>
        <v>2400.9560000000001</v>
      </c>
      <c r="O48" s="120">
        <f>IS!BK9</f>
        <v>2708.375</v>
      </c>
      <c r="P48" s="120">
        <f>IS!BP9</f>
        <v>2964.337</v>
      </c>
      <c r="Q48" s="120">
        <f>IS!BU9</f>
        <v>3175</v>
      </c>
      <c r="R48" s="120">
        <f>IS!BZ9</f>
        <v>3414</v>
      </c>
      <c r="S48" s="120">
        <f>IS!CE9</f>
        <v>3422</v>
      </c>
      <c r="T48" s="120">
        <f>IS!CJ9</f>
        <v>2934.1506267423874</v>
      </c>
      <c r="U48" s="120">
        <f>IS!CO9</f>
        <v>3010.2559795491879</v>
      </c>
      <c r="V48" s="120">
        <f>IS!CT9</f>
        <v>3248.100691631982</v>
      </c>
      <c r="W48" s="120">
        <f>IS!CY9</f>
        <v>3118.0407598732345</v>
      </c>
      <c r="X48" s="120">
        <f>IS!DD9</f>
        <v>3141.3729635245586</v>
      </c>
      <c r="Y48" s="120">
        <f>IS!DI9</f>
        <v>3253.6937536940432</v>
      </c>
      <c r="Z48" s="120">
        <f>IS!DN9</f>
        <v>3364.6070040639661</v>
      </c>
      <c r="AA48" s="120">
        <f>IS!DS9</f>
        <v>2479.5650204321146</v>
      </c>
      <c r="AB48" s="120">
        <f>IS!DX9</f>
        <v>2228.8970903364998</v>
      </c>
      <c r="AC48" s="120">
        <f>IS!EC9</f>
        <v>2214.7139978287605</v>
      </c>
      <c r="AD48" s="120">
        <f>IS!EH9</f>
        <v>2210.8937249804248</v>
      </c>
      <c r="AE48" s="120">
        <f>IS!EM9</f>
        <v>1827.0277164788702</v>
      </c>
      <c r="AF48" s="120">
        <f>IS!ER9</f>
        <v>1819.4826724052314</v>
      </c>
    </row>
    <row r="49" spans="2:32" ht="12.75" customHeight="1" outlineLevel="1">
      <c r="B49" s="21" t="s">
        <v>211</v>
      </c>
      <c r="C49" s="120">
        <f>IS!C12+IS!C18</f>
        <v>312.69400000000002</v>
      </c>
      <c r="D49" s="120">
        <f>IS!H12+IS!H18</f>
        <v>316.05899999999997</v>
      </c>
      <c r="E49" s="120">
        <f>IS!M12+IS!M18</f>
        <v>428.28</v>
      </c>
      <c r="F49" s="120">
        <f>IS!R12+IS!R18</f>
        <v>526.34400000000005</v>
      </c>
      <c r="G49" s="120">
        <f>IS!W12+IS!W18</f>
        <v>659.00800000000004</v>
      </c>
      <c r="H49" s="120">
        <f>IS!AB12+IS!AB18</f>
        <v>834.56500000000005</v>
      </c>
      <c r="I49" s="120">
        <f>IS!AG12+IS!AG18</f>
        <v>1123.386</v>
      </c>
      <c r="J49" s="120">
        <f>IS!AL12+IS!AL18</f>
        <v>1376.06</v>
      </c>
      <c r="K49" s="120">
        <f>IS!AQ12+IS!AQ18</f>
        <v>1651.386</v>
      </c>
      <c r="L49" s="120">
        <f>IS!AV12+IS!AV18</f>
        <v>1751.4359999999999</v>
      </c>
      <c r="M49" s="120">
        <f>IS!BA12+IS!BA18</f>
        <v>2213.16</v>
      </c>
      <c r="N49" s="120">
        <f>IS!BF12+IS!BF18</f>
        <v>2721.56</v>
      </c>
      <c r="O49" s="120">
        <f>IS!BK12+IS!BK18</f>
        <v>3504.873</v>
      </c>
      <c r="P49" s="120">
        <f>IS!BP12+IS!BP18</f>
        <v>5341.6900000000005</v>
      </c>
      <c r="Q49" s="120">
        <f>IS!BU12+IS!BU18</f>
        <v>6069</v>
      </c>
      <c r="R49" s="120">
        <f>IS!BZ12+IS!BZ18</f>
        <v>6943</v>
      </c>
      <c r="S49" s="120">
        <f>IS!CE12+IS!CE18</f>
        <v>6654</v>
      </c>
      <c r="T49" s="120">
        <f>IS!CJ12+IS!CJ18</f>
        <v>7000</v>
      </c>
      <c r="U49" s="120">
        <f>IS!CO12+IS!CO18</f>
        <v>7087.5</v>
      </c>
      <c r="V49" s="120">
        <f>IS!CT12+IS!CT18</f>
        <v>7087.5</v>
      </c>
      <c r="W49" s="120">
        <f>IS!CY12+IS!CY18</f>
        <v>7174.9999999999991</v>
      </c>
      <c r="X49" s="120">
        <f>IS!DD12+IS!DD18</f>
        <v>7174.9999999999982</v>
      </c>
      <c r="Y49" s="120">
        <f>IS!DI12+IS!DI18</f>
        <v>7087.5546874999982</v>
      </c>
      <c r="Z49" s="120">
        <f>IS!DN12+IS!DN18</f>
        <v>7002.2955078124987</v>
      </c>
      <c r="AA49" s="120">
        <f>IS!DS12+IS!DS18</f>
        <v>7085.4232080078109</v>
      </c>
      <c r="AB49" s="120">
        <f>IS!DX12+IS!DX18</f>
        <v>7170.6291007080054</v>
      </c>
      <c r="AC49" s="120">
        <f>IS!EC12+IS!EC18</f>
        <v>7257.9651407257061</v>
      </c>
      <c r="AD49" s="120">
        <f>IS!EH12+IS!EH18</f>
        <v>6428.1877067438481</v>
      </c>
      <c r="AE49" s="120">
        <f>IS!EM12+IS!EM18</f>
        <v>1607.046926685962</v>
      </c>
      <c r="AF49" s="120">
        <f>IS!ER12+IS!ER18</f>
        <v>803.52346334298102</v>
      </c>
    </row>
    <row r="50" spans="2:32" ht="12.75" customHeight="1" outlineLevel="1">
      <c r="B50" s="21" t="s">
        <v>143</v>
      </c>
      <c r="C50" s="120">
        <f>IS!C25</f>
        <v>4.1349999999999998</v>
      </c>
      <c r="D50" s="120">
        <f>IS!H25</f>
        <v>1.3000000000000003</v>
      </c>
      <c r="E50" s="120">
        <f>IS!M25</f>
        <v>15.936000000000012</v>
      </c>
      <c r="F50" s="120">
        <f>IS!R25</f>
        <v>201.92700000000002</v>
      </c>
      <c r="G50" s="120">
        <f>IS!W25</f>
        <v>372.95899999999995</v>
      </c>
      <c r="H50" s="120">
        <f>IS!AB25</f>
        <v>583.86900000000003</v>
      </c>
      <c r="I50" s="120">
        <f>IS!AG25</f>
        <v>708.30100000000004</v>
      </c>
      <c r="J50" s="120">
        <f>IS!AL25</f>
        <v>746.01</v>
      </c>
      <c r="K50" s="120">
        <f>IS!AQ25</f>
        <v>949.99</v>
      </c>
      <c r="L50" s="120">
        <f>IS!AV25</f>
        <v>1153.684</v>
      </c>
      <c r="M50" s="120">
        <f>IS!BA25</f>
        <v>986.67100000000005</v>
      </c>
      <c r="N50" s="120">
        <f>IS!BF25</f>
        <v>1123.066</v>
      </c>
      <c r="O50" s="120">
        <f>IS!BK25</f>
        <v>1239.626</v>
      </c>
      <c r="P50" s="120">
        <f>IS!BP25</f>
        <v>2896.529</v>
      </c>
      <c r="Q50" s="120">
        <f>IS!BU25</f>
        <v>3691</v>
      </c>
      <c r="R50" s="120">
        <f>IS!BZ25</f>
        <v>3800</v>
      </c>
      <c r="S50" s="120">
        <f>IS!CE25</f>
        <v>3784</v>
      </c>
      <c r="T50" s="120">
        <f>IS!CJ25</f>
        <v>2308.8121152928752</v>
      </c>
      <c r="U50" s="120">
        <f>IS!CO25</f>
        <v>2353.8332488582869</v>
      </c>
      <c r="V50" s="120">
        <f>IS!CT25</f>
        <v>2623.2886412722223</v>
      </c>
      <c r="W50" s="120">
        <f>IS!CY25</f>
        <v>2356.7105631902086</v>
      </c>
      <c r="X50" s="120">
        <f>IS!DD25</f>
        <v>2549.4748847772676</v>
      </c>
      <c r="Y50" s="120">
        <f>IS!DI25</f>
        <v>2731.4434423496673</v>
      </c>
      <c r="Z50" s="120">
        <f>IS!DN25</f>
        <v>2937.6055584779297</v>
      </c>
      <c r="AA50" s="120">
        <f>IS!DS25</f>
        <v>1957.3060644719244</v>
      </c>
      <c r="AB50" s="120">
        <f>IS!DX25</f>
        <v>1668.3941736111581</v>
      </c>
      <c r="AC50" s="120">
        <f>IS!EC25</f>
        <v>1633.1255300284477</v>
      </c>
      <c r="AD50" s="120">
        <f>IS!EH25</f>
        <v>1810.9028925098585</v>
      </c>
      <c r="AE50" s="120">
        <f>IS!EM25</f>
        <v>2381.6145838063489</v>
      </c>
      <c r="AF50" s="120">
        <f>IS!ER25</f>
        <v>2443.4207744385167</v>
      </c>
    </row>
    <row r="51" spans="2:32" ht="12.75" customHeight="1" outlineLevel="1">
      <c r="B51" s="21" t="s">
        <v>212</v>
      </c>
      <c r="C51" s="120">
        <f>IS!C30</f>
        <v>-115.21300000000002</v>
      </c>
      <c r="D51" s="120">
        <f>IS!H30</f>
        <v>88.145000000000039</v>
      </c>
      <c r="E51" s="120">
        <f>IS!M30</f>
        <v>302.80300000000011</v>
      </c>
      <c r="F51" s="120">
        <f>IS!R30</f>
        <v>441.35600000000011</v>
      </c>
      <c r="G51" s="120">
        <f>IS!W30</f>
        <v>788.83299999999986</v>
      </c>
      <c r="H51" s="120">
        <f>IS!AB30</f>
        <v>1305.6380000000004</v>
      </c>
      <c r="I51" s="120">
        <f>IS!AG30</f>
        <v>1745.9929999999997</v>
      </c>
      <c r="J51" s="120">
        <f>IS!AL30</f>
        <v>2099.4669999999992</v>
      </c>
      <c r="K51" s="120">
        <f>IS!AQ30</f>
        <v>2862.9829999999997</v>
      </c>
      <c r="L51" s="120">
        <f>IS!AV30</f>
        <v>3214.3850000000002</v>
      </c>
      <c r="M51" s="120">
        <f>IS!BA30</f>
        <v>3038.7639999999997</v>
      </c>
      <c r="N51" s="120">
        <f>IS!BF30</f>
        <v>3084.0400000000022</v>
      </c>
      <c r="O51" s="120">
        <f>IS!BK30</f>
        <v>3450.5570000000007</v>
      </c>
      <c r="P51" s="120">
        <f>IS!BP30</f>
        <v>13314.303107738504</v>
      </c>
      <c r="Q51" s="120">
        <f>IS!BU30</f>
        <v>19173</v>
      </c>
      <c r="R51" s="120">
        <f>IS!BZ30</f>
        <v>15715</v>
      </c>
      <c r="S51" s="120">
        <f>IS!CE30</f>
        <v>11654</v>
      </c>
      <c r="T51" s="120">
        <f>IS!CJ30</f>
        <v>8185.7884087656485</v>
      </c>
      <c r="U51" s="120">
        <f>IS!CO30</f>
        <v>8345.4087914066531</v>
      </c>
      <c r="V51" s="120">
        <f>IS!CT30</f>
        <v>9300.7506372378793</v>
      </c>
      <c r="W51" s="120">
        <f>IS!CY30</f>
        <v>8355.6101785834671</v>
      </c>
      <c r="X51" s="120">
        <f>IS!DD30</f>
        <v>9039.0473187557654</v>
      </c>
      <c r="Y51" s="120">
        <f>IS!DI30</f>
        <v>9684.2085683306377</v>
      </c>
      <c r="Z51" s="120">
        <f>IS!DN30</f>
        <v>10415.146980058114</v>
      </c>
      <c r="AA51" s="120">
        <f>IS!DS30</f>
        <v>6939.5396831277321</v>
      </c>
      <c r="AB51" s="120">
        <f>IS!DX30</f>
        <v>5915.2157064395597</v>
      </c>
      <c r="AC51" s="120">
        <f>IS!EC30</f>
        <v>5790.1723337372232</v>
      </c>
      <c r="AD51" s="120">
        <f>IS!EH30</f>
        <v>6420.4738916258621</v>
      </c>
      <c r="AE51" s="120">
        <f>IS!EM30</f>
        <v>8443.9062516770555</v>
      </c>
      <c r="AF51" s="120">
        <f>IS!ER30</f>
        <v>8663.0372911911036</v>
      </c>
    </row>
    <row r="52" spans="2:32" ht="12.75" customHeight="1" outlineLevel="1">
      <c r="B52" s="21" t="s">
        <v>213</v>
      </c>
      <c r="C52" s="120">
        <f>CF!C20</f>
        <v>-126.97899999999994</v>
      </c>
      <c r="D52" s="120">
        <f>CF!D20</f>
        <v>74.409000000000006</v>
      </c>
      <c r="E52" s="120">
        <f>CF!E20</f>
        <v>234.60699999999991</v>
      </c>
      <c r="F52" s="120">
        <f>CF!F20</f>
        <v>511.37799999999993</v>
      </c>
      <c r="G52" s="120">
        <f>CF!G20</f>
        <v>705.64199999999994</v>
      </c>
      <c r="H52" s="120">
        <f>CF!H20</f>
        <v>1218.0589999999993</v>
      </c>
      <c r="I52" s="120">
        <f>CF!I20</f>
        <v>1765.3979999999999</v>
      </c>
      <c r="J52" s="120">
        <f>CF!J20</f>
        <v>2143.384</v>
      </c>
      <c r="K52" s="120">
        <f>CF!K20</f>
        <v>3080.0540000000001</v>
      </c>
      <c r="L52" s="120">
        <f>CF!L20</f>
        <v>2833.9129999999996</v>
      </c>
      <c r="M52" s="120">
        <f>CF!M20</f>
        <v>3639.01</v>
      </c>
      <c r="N52" s="120">
        <f>CF!N20</f>
        <v>3194.7160000000003</v>
      </c>
      <c r="O52" s="120">
        <f>CF!O20</f>
        <v>3104.9880000000003</v>
      </c>
      <c r="P52" s="120">
        <f>CF!P20</f>
        <v>12818</v>
      </c>
      <c r="Q52" s="120">
        <f>CF!Q20</f>
        <v>20329</v>
      </c>
      <c r="R52" s="120">
        <f>CF!R20</f>
        <v>16669</v>
      </c>
      <c r="S52" s="120">
        <f>CF!S20</f>
        <v>11898</v>
      </c>
      <c r="T52" s="120">
        <f>CF!T20</f>
        <v>6760.288201167411</v>
      </c>
      <c r="U52" s="120">
        <f>CF!U20</f>
        <v>9756.6027836619414</v>
      </c>
      <c r="V52" s="120">
        <f>CF!V20</f>
        <v>10485.71858758569</v>
      </c>
      <c r="W52" s="120">
        <f>CF!W20</f>
        <v>10184.892408760625</v>
      </c>
      <c r="X52" s="120">
        <f>CF!X20</f>
        <v>10461.609829038731</v>
      </c>
      <c r="Y52" s="120">
        <f>CF!Y20</f>
        <v>11087.922782690732</v>
      </c>
      <c r="Z52" s="120">
        <f>CF!Z20</f>
        <v>11881.510275720957</v>
      </c>
      <c r="AA52" s="120">
        <f>CF!AA20</f>
        <v>9881.6462029247778</v>
      </c>
      <c r="AB52" s="120">
        <f>CF!AB20</f>
        <v>8123.3591205961429</v>
      </c>
      <c r="AC52" s="120">
        <f>CF!AC20</f>
        <v>7744.5006172823014</v>
      </c>
      <c r="AD52" s="120">
        <f>CF!AD20</f>
        <v>7865.5903923419082</v>
      </c>
      <c r="AE52" s="120">
        <f>CF!AE20</f>
        <v>8093.5944892556709</v>
      </c>
      <c r="AF52" s="120">
        <f>CF!AF20</f>
        <v>10338.02760766865</v>
      </c>
    </row>
    <row r="53" spans="2:32" ht="12.75" customHeight="1" outlineLevel="1">
      <c r="B53" s="21" t="s">
        <v>214</v>
      </c>
      <c r="C53" s="120">
        <f>-C112</f>
        <v>-26.331</v>
      </c>
      <c r="D53" s="120">
        <f t="shared" ref="D53:AF53" si="29">-D112</f>
        <v>-17.597000000000001</v>
      </c>
      <c r="E53" s="120">
        <f t="shared" si="29"/>
        <v>-161.60900000000001</v>
      </c>
      <c r="F53" s="120">
        <f t="shared" si="29"/>
        <v>-51.366</v>
      </c>
      <c r="G53" s="120">
        <f t="shared" si="29"/>
        <v>-47.951000000000001</v>
      </c>
      <c r="H53" s="120">
        <f t="shared" si="29"/>
        <v>-105.208</v>
      </c>
      <c r="I53" s="120">
        <f t="shared" si="29"/>
        <v>-78.647999999999996</v>
      </c>
      <c r="J53" s="120">
        <f t="shared" si="29"/>
        <v>-115.005</v>
      </c>
      <c r="K53" s="120">
        <f t="shared" si="29"/>
        <v>-230.05699999999999</v>
      </c>
      <c r="L53" s="120">
        <f t="shared" si="29"/>
        <v>-61.884</v>
      </c>
      <c r="M53" s="120">
        <f t="shared" si="29"/>
        <v>-131.904</v>
      </c>
      <c r="N53" s="120">
        <f t="shared" si="29"/>
        <v>-397.04599999999999</v>
      </c>
      <c r="O53" s="120">
        <f t="shared" si="29"/>
        <v>-190.78200000000001</v>
      </c>
      <c r="P53" s="120">
        <f t="shared" si="29"/>
        <v>-557</v>
      </c>
      <c r="Q53" s="120">
        <f t="shared" si="29"/>
        <v>-747</v>
      </c>
      <c r="R53" s="120">
        <f t="shared" si="29"/>
        <v>-748</v>
      </c>
      <c r="S53" s="120">
        <f t="shared" si="29"/>
        <v>-590</v>
      </c>
      <c r="T53" s="120">
        <f t="shared" si="29"/>
        <v>-528.06634267660718</v>
      </c>
      <c r="U53" s="120">
        <f t="shared" si="29"/>
        <v>-588.99765758484205</v>
      </c>
      <c r="V53" s="120">
        <f t="shared" si="29"/>
        <v>-683.21400929294691</v>
      </c>
      <c r="W53" s="120">
        <f t="shared" si="29"/>
        <v>-699.83282344152383</v>
      </c>
      <c r="X53" s="120">
        <f t="shared" si="29"/>
        <v>-778.52540417621879</v>
      </c>
      <c r="Y53" s="120">
        <f t="shared" si="29"/>
        <v>-865.86998592633381</v>
      </c>
      <c r="Z53" s="120">
        <f t="shared" si="29"/>
        <v>-958.81253592495887</v>
      </c>
      <c r="AA53" s="120">
        <f t="shared" si="29"/>
        <v>-789.40750726216459</v>
      </c>
      <c r="AB53" s="120">
        <f t="shared" si="29"/>
        <v>-762.2951327466094</v>
      </c>
      <c r="AC53" s="120">
        <f t="shared" si="29"/>
        <v>-797.59791804911481</v>
      </c>
      <c r="AD53" s="120">
        <f t="shared" si="29"/>
        <v>-836.61742201626907</v>
      </c>
      <c r="AE53" s="120">
        <f t="shared" si="29"/>
        <v>-738.81127074845654</v>
      </c>
      <c r="AF53" s="120">
        <f t="shared" si="29"/>
        <v>-742.4974533327786</v>
      </c>
    </row>
    <row r="54" spans="2:32" ht="12.75" customHeight="1" outlineLevel="1">
      <c r="B54" s="21"/>
    </row>
    <row r="55" spans="2:32" ht="12.75" customHeight="1" outlineLevel="1">
      <c r="B55" s="21" t="s">
        <v>215</v>
      </c>
      <c r="C55" s="3">
        <f>C47/C65</f>
        <v>3.1493371773454766</v>
      </c>
      <c r="D55" s="3">
        <f t="shared" ref="D55:L55" si="30">D47/D65</f>
        <v>3.7332448254902588</v>
      </c>
      <c r="E55" s="3">
        <f t="shared" si="30"/>
        <v>3.6896312766509229</v>
      </c>
      <c r="F55" s="3">
        <f t="shared" si="30"/>
        <v>3.5680534417971961</v>
      </c>
      <c r="G55" s="3">
        <f t="shared" si="30"/>
        <v>5.1206058693594194</v>
      </c>
      <c r="H55" s="3">
        <f t="shared" si="30"/>
        <v>4.9661507910457559</v>
      </c>
      <c r="I55" s="3">
        <f t="shared" si="30"/>
        <v>5.3191452434642512</v>
      </c>
      <c r="J55" s="3">
        <f t="shared" si="30"/>
        <v>5.2137635736669141</v>
      </c>
      <c r="K55" s="3">
        <f t="shared" si="30"/>
        <v>5.0458520626339469</v>
      </c>
      <c r="L55" s="3">
        <f t="shared" si="30"/>
        <v>4.9011015027442006</v>
      </c>
      <c r="M55" s="3">
        <f t="shared" ref="M55:S55" si="31">M47/M65</f>
        <v>4.2976254723455245</v>
      </c>
      <c r="N55" s="556">
        <f t="shared" si="31"/>
        <v>5.53990149527118</v>
      </c>
      <c r="O55" s="556">
        <f t="shared" si="31"/>
        <v>5.3334112592285052</v>
      </c>
      <c r="P55" s="556">
        <f t="shared" si="31"/>
        <v>5.3700114579802598</v>
      </c>
      <c r="Q55" s="556">
        <f t="shared" si="31"/>
        <v>5.5755039289374784</v>
      </c>
      <c r="R55" s="556">
        <f t="shared" si="31"/>
        <v>6.7323881258307487</v>
      </c>
      <c r="S55" s="556">
        <f t="shared" si="31"/>
        <v>6.7792781095819263</v>
      </c>
      <c r="T55" s="3">
        <f t="shared" ref="T55:AF55" si="32">S55</f>
        <v>6.7792781095819263</v>
      </c>
      <c r="U55" s="3">
        <f t="shared" si="32"/>
        <v>6.7792781095819263</v>
      </c>
      <c r="V55" s="3">
        <f t="shared" si="32"/>
        <v>6.7792781095819263</v>
      </c>
      <c r="W55" s="3">
        <f t="shared" si="32"/>
        <v>6.7792781095819263</v>
      </c>
      <c r="X55" s="3">
        <f t="shared" si="32"/>
        <v>6.7792781095819263</v>
      </c>
      <c r="Y55" s="3">
        <f t="shared" si="32"/>
        <v>6.7792781095819263</v>
      </c>
      <c r="Z55" s="3">
        <f t="shared" si="32"/>
        <v>6.7792781095819263</v>
      </c>
      <c r="AA55" s="3">
        <f t="shared" si="32"/>
        <v>6.7792781095819263</v>
      </c>
      <c r="AB55" s="3">
        <f t="shared" si="32"/>
        <v>6.7792781095819263</v>
      </c>
      <c r="AC55" s="3">
        <f t="shared" si="32"/>
        <v>6.7792781095819263</v>
      </c>
      <c r="AD55" s="3">
        <f t="shared" si="32"/>
        <v>6.7792781095819263</v>
      </c>
      <c r="AE55" s="3">
        <f t="shared" si="32"/>
        <v>6.7792781095819263</v>
      </c>
      <c r="AF55" s="3">
        <f t="shared" si="32"/>
        <v>6.7792781095819263</v>
      </c>
    </row>
    <row r="56" spans="2:32" ht="12.75" customHeight="1" outlineLevel="1">
      <c r="B56" s="21" t="s">
        <v>216</v>
      </c>
      <c r="C56" s="3">
        <f>C48/C67</f>
        <v>1.1141547861507128</v>
      </c>
      <c r="D56" s="3">
        <f t="shared" ref="D56:L56" si="33">D48/D67</f>
        <v>1.3505074765631051</v>
      </c>
      <c r="E56" s="3">
        <f t="shared" si="33"/>
        <v>1.1415363601149822</v>
      </c>
      <c r="F56" s="3">
        <f t="shared" si="33"/>
        <v>1.2249928304078945</v>
      </c>
      <c r="G56" s="3">
        <f t="shared" si="33"/>
        <v>1.2001954790851213</v>
      </c>
      <c r="H56" s="3">
        <f t="shared" si="33"/>
        <v>0.74883053115776965</v>
      </c>
      <c r="I56" s="3">
        <f t="shared" si="33"/>
        <v>1.2626498834933979</v>
      </c>
      <c r="J56" s="3">
        <f t="shared" si="33"/>
        <v>1.2037638974509304</v>
      </c>
      <c r="K56" s="3">
        <f t="shared" si="33"/>
        <v>1.4546151205918398</v>
      </c>
      <c r="L56" s="3">
        <f t="shared" si="33"/>
        <v>1.4892304343961542</v>
      </c>
      <c r="M56" s="3">
        <f t="shared" ref="M56:S56" si="34">M48/M67</f>
        <v>1.4722108112113601</v>
      </c>
      <c r="N56" s="556">
        <f t="shared" si="34"/>
        <v>1.3759202100652042</v>
      </c>
      <c r="O56" s="556">
        <f t="shared" si="34"/>
        <v>1.3174388604272425</v>
      </c>
      <c r="P56" s="556">
        <f t="shared" si="34"/>
        <v>2.138771284271284</v>
      </c>
      <c r="Q56" s="556">
        <f t="shared" si="34"/>
        <v>1.6240409207161126</v>
      </c>
      <c r="R56" s="556">
        <f t="shared" si="34"/>
        <v>2.1512287334593574</v>
      </c>
      <c r="S56" s="556">
        <f t="shared" si="34"/>
        <v>4.2721598002496881</v>
      </c>
      <c r="T56" s="3">
        <f t="shared" ref="T56:AF56" si="35">S56</f>
        <v>4.2721598002496881</v>
      </c>
      <c r="U56" s="3">
        <f t="shared" si="35"/>
        <v>4.2721598002496881</v>
      </c>
      <c r="V56" s="3">
        <f t="shared" si="35"/>
        <v>4.2721598002496881</v>
      </c>
      <c r="W56" s="3">
        <f t="shared" si="35"/>
        <v>4.2721598002496881</v>
      </c>
      <c r="X56" s="3">
        <f t="shared" si="35"/>
        <v>4.2721598002496881</v>
      </c>
      <c r="Y56" s="3">
        <f t="shared" si="35"/>
        <v>4.2721598002496881</v>
      </c>
      <c r="Z56" s="3">
        <f t="shared" si="35"/>
        <v>4.2721598002496881</v>
      </c>
      <c r="AA56" s="3">
        <f t="shared" si="35"/>
        <v>4.2721598002496881</v>
      </c>
      <c r="AB56" s="3">
        <f t="shared" si="35"/>
        <v>4.2721598002496881</v>
      </c>
      <c r="AC56" s="3">
        <f t="shared" si="35"/>
        <v>4.2721598002496881</v>
      </c>
      <c r="AD56" s="3">
        <f t="shared" si="35"/>
        <v>4.2721598002496881</v>
      </c>
      <c r="AE56" s="3">
        <f t="shared" si="35"/>
        <v>4.2721598002496881</v>
      </c>
      <c r="AF56" s="3">
        <f t="shared" si="35"/>
        <v>4.2721598002496881</v>
      </c>
    </row>
    <row r="57" spans="2:32" ht="12.75" customHeight="1" outlineLevel="1">
      <c r="B57" s="21" t="s">
        <v>217</v>
      </c>
      <c r="C57" s="3">
        <f>C48/C69</f>
        <v>2.2824658391571924</v>
      </c>
      <c r="D57" s="3">
        <f t="shared" ref="D57:L57" si="36">D48/D69</f>
        <v>2.8568384823404078</v>
      </c>
      <c r="E57" s="3">
        <f t="shared" si="36"/>
        <v>3.1413784397879323</v>
      </c>
      <c r="F57" s="3">
        <f t="shared" si="36"/>
        <v>3.5032806191117092</v>
      </c>
      <c r="G57" s="3">
        <f t="shared" si="36"/>
        <v>3.6713205844192478</v>
      </c>
      <c r="H57" s="3">
        <f t="shared" si="36"/>
        <v>1.1509962428037019</v>
      </c>
      <c r="I57" s="3">
        <f t="shared" si="36"/>
        <v>2.6092349130136774</v>
      </c>
      <c r="J57" s="3">
        <f t="shared" si="36"/>
        <v>1.8578409846972719</v>
      </c>
      <c r="K57" s="3">
        <f t="shared" si="36"/>
        <v>1.8875249215341796</v>
      </c>
      <c r="L57" s="3">
        <f t="shared" si="36"/>
        <v>2.2324946296815167</v>
      </c>
      <c r="M57" s="3">
        <f t="shared" ref="M57:S57" si="37">M48/M69</f>
        <v>1.6967328108572435</v>
      </c>
      <c r="N57" s="556">
        <f t="shared" si="37"/>
        <v>1.8088491334918964</v>
      </c>
      <c r="O57" s="556">
        <f t="shared" si="37"/>
        <v>2.1564971805394317</v>
      </c>
      <c r="P57" s="556">
        <f t="shared" si="37"/>
        <v>3.1040178010471204</v>
      </c>
      <c r="Q57" s="556">
        <f t="shared" si="37"/>
        <v>2.6952461799660443</v>
      </c>
      <c r="R57" s="556">
        <f t="shared" si="37"/>
        <v>2.8308457711442787</v>
      </c>
      <c r="S57" s="556">
        <f t="shared" si="37"/>
        <v>4.2039312039312042</v>
      </c>
      <c r="T57" s="3">
        <f t="shared" ref="T57:AF57" si="38">S57</f>
        <v>4.2039312039312042</v>
      </c>
      <c r="U57" s="3">
        <f t="shared" si="38"/>
        <v>4.2039312039312042</v>
      </c>
      <c r="V57" s="3">
        <f t="shared" si="38"/>
        <v>4.2039312039312042</v>
      </c>
      <c r="W57" s="3">
        <f t="shared" si="38"/>
        <v>4.2039312039312042</v>
      </c>
      <c r="X57" s="3">
        <f t="shared" si="38"/>
        <v>4.2039312039312042</v>
      </c>
      <c r="Y57" s="3">
        <f t="shared" si="38"/>
        <v>4.2039312039312042</v>
      </c>
      <c r="Z57" s="3">
        <f t="shared" si="38"/>
        <v>4.2039312039312042</v>
      </c>
      <c r="AA57" s="3">
        <f t="shared" si="38"/>
        <v>4.2039312039312042</v>
      </c>
      <c r="AB57" s="3">
        <f t="shared" si="38"/>
        <v>4.2039312039312042</v>
      </c>
      <c r="AC57" s="3">
        <f t="shared" si="38"/>
        <v>4.2039312039312042</v>
      </c>
      <c r="AD57" s="3">
        <f t="shared" si="38"/>
        <v>4.2039312039312042</v>
      </c>
      <c r="AE57" s="3">
        <f t="shared" si="38"/>
        <v>4.2039312039312042</v>
      </c>
      <c r="AF57" s="3">
        <f t="shared" si="38"/>
        <v>4.2039312039312042</v>
      </c>
    </row>
    <row r="58" spans="2:32" ht="12.75" customHeight="1" outlineLevel="1">
      <c r="B58" s="21" t="s">
        <v>218</v>
      </c>
      <c r="C58" s="115">
        <f>365/(C47/C65)</f>
        <v>115.89740299184236</v>
      </c>
      <c r="D58" s="115">
        <f t="shared" ref="D58:AF58" si="39">365/(D47/D65)</f>
        <v>97.770175025171923</v>
      </c>
      <c r="E58" s="115">
        <f t="shared" si="39"/>
        <v>98.925874330540253</v>
      </c>
      <c r="F58" s="115">
        <f t="shared" si="39"/>
        <v>102.29667407003657</v>
      </c>
      <c r="G58" s="115">
        <f t="shared" si="39"/>
        <v>71.280627588246887</v>
      </c>
      <c r="H58" s="115">
        <f t="shared" si="39"/>
        <v>73.49756689992482</v>
      </c>
      <c r="I58" s="115">
        <f t="shared" si="39"/>
        <v>68.62004763800789</v>
      </c>
      <c r="J58" s="115">
        <f t="shared" si="39"/>
        <v>70.007010260975505</v>
      </c>
      <c r="K58" s="115">
        <f t="shared" si="39"/>
        <v>72.336643141588482</v>
      </c>
      <c r="L58" s="115">
        <f t="shared" si="39"/>
        <v>74.473054637948422</v>
      </c>
      <c r="M58" s="115">
        <f t="shared" si="39"/>
        <v>84.930620955388449</v>
      </c>
      <c r="N58" s="115">
        <f t="shared" si="39"/>
        <v>65.885648023085139</v>
      </c>
      <c r="O58" s="115">
        <f t="shared" si="39"/>
        <v>68.43650006708809</v>
      </c>
      <c r="P58" s="115">
        <f t="shared" si="39"/>
        <v>67.970059813854078</v>
      </c>
      <c r="Q58" s="115">
        <f>365/(Q47/Q65)</f>
        <v>65.464934587456725</v>
      </c>
      <c r="R58" s="695">
        <f>365/(R47/R65)</f>
        <v>54.215531424810791</v>
      </c>
      <c r="S58" s="115">
        <f t="shared" si="39"/>
        <v>53.840540851112735</v>
      </c>
      <c r="T58" s="115">
        <f t="shared" si="39"/>
        <v>53.840540851112735</v>
      </c>
      <c r="U58" s="115">
        <f t="shared" si="39"/>
        <v>53.840540851112735</v>
      </c>
      <c r="V58" s="115">
        <f t="shared" si="39"/>
        <v>53.840540851112735</v>
      </c>
      <c r="W58" s="115">
        <f t="shared" si="39"/>
        <v>53.840540851112735</v>
      </c>
      <c r="X58" s="115">
        <f t="shared" si="39"/>
        <v>53.840540851112735</v>
      </c>
      <c r="Y58" s="115">
        <f t="shared" si="39"/>
        <v>53.840540851112735</v>
      </c>
      <c r="Z58" s="115">
        <f t="shared" si="39"/>
        <v>53.840540851112735</v>
      </c>
      <c r="AA58" s="115">
        <f t="shared" si="39"/>
        <v>53.840540851112735</v>
      </c>
      <c r="AB58" s="115">
        <f t="shared" si="39"/>
        <v>53.840540851112735</v>
      </c>
      <c r="AC58" s="115">
        <f t="shared" si="39"/>
        <v>53.840540851112735</v>
      </c>
      <c r="AD58" s="115">
        <f t="shared" si="39"/>
        <v>53.840540851112735</v>
      </c>
      <c r="AE58" s="115">
        <f t="shared" si="39"/>
        <v>53.840540851112735</v>
      </c>
      <c r="AF58" s="115">
        <f t="shared" si="39"/>
        <v>53.840540851112735</v>
      </c>
    </row>
    <row r="59" spans="2:32" ht="12.75" customHeight="1" outlineLevel="1">
      <c r="B59" s="21" t="s">
        <v>219</v>
      </c>
      <c r="C59" s="116">
        <f>365/(C48/C67)</f>
        <v>327.60259574079151</v>
      </c>
      <c r="D59" s="116">
        <f t="shared" ref="D59:AF59" si="40">365/(D48/D67)</f>
        <v>270.26877402329188</v>
      </c>
      <c r="E59" s="116">
        <f t="shared" si="40"/>
        <v>319.74452391795484</v>
      </c>
      <c r="F59" s="116">
        <f t="shared" si="40"/>
        <v>297.96092755780734</v>
      </c>
      <c r="G59" s="116">
        <f t="shared" si="40"/>
        <v>304.11712621866423</v>
      </c>
      <c r="H59" s="116">
        <f t="shared" si="40"/>
        <v>487.42670712914463</v>
      </c>
      <c r="I59" s="116">
        <f t="shared" si="40"/>
        <v>289.07459207151504</v>
      </c>
      <c r="J59" s="116">
        <f t="shared" si="40"/>
        <v>303.21560629365752</v>
      </c>
      <c r="K59" s="116">
        <f t="shared" si="40"/>
        <v>250.92548182194909</v>
      </c>
      <c r="L59" s="116">
        <f t="shared" si="40"/>
        <v>245.09303031266506</v>
      </c>
      <c r="M59" s="116">
        <f t="shared" si="40"/>
        <v>247.92644994888457</v>
      </c>
      <c r="N59" s="116">
        <f t="shared" si="40"/>
        <v>265.27701049082117</v>
      </c>
      <c r="O59" s="116">
        <f t="shared" si="40"/>
        <v>277.05270503530716</v>
      </c>
      <c r="P59" s="116">
        <f t="shared" si="40"/>
        <v>170.65873414527434</v>
      </c>
      <c r="Q59" s="116">
        <f>365/(Q48/Q67)</f>
        <v>224.74803149606299</v>
      </c>
      <c r="R59" s="696">
        <f>365/(R48/R67)</f>
        <v>169.67047451669595</v>
      </c>
      <c r="S59" s="116">
        <f t="shared" si="40"/>
        <v>85.436879018118049</v>
      </c>
      <c r="T59" s="116">
        <f t="shared" si="40"/>
        <v>85.436879018118049</v>
      </c>
      <c r="U59" s="116">
        <f t="shared" si="40"/>
        <v>85.436879018118049</v>
      </c>
      <c r="V59" s="116">
        <f t="shared" si="40"/>
        <v>85.436879018118049</v>
      </c>
      <c r="W59" s="116">
        <f t="shared" si="40"/>
        <v>85.436879018118049</v>
      </c>
      <c r="X59" s="116">
        <f t="shared" si="40"/>
        <v>85.436879018118049</v>
      </c>
      <c r="Y59" s="116">
        <f t="shared" si="40"/>
        <v>85.436879018118049</v>
      </c>
      <c r="Z59" s="116">
        <f t="shared" si="40"/>
        <v>85.436879018118049</v>
      </c>
      <c r="AA59" s="116">
        <f t="shared" si="40"/>
        <v>85.436879018118049</v>
      </c>
      <c r="AB59" s="116">
        <f t="shared" si="40"/>
        <v>85.436879018118049</v>
      </c>
      <c r="AC59" s="116">
        <f t="shared" si="40"/>
        <v>85.436879018118049</v>
      </c>
      <c r="AD59" s="116">
        <f t="shared" si="40"/>
        <v>85.436879018118049</v>
      </c>
      <c r="AE59" s="116">
        <f t="shared" si="40"/>
        <v>85.436879018118049</v>
      </c>
      <c r="AF59" s="116">
        <f t="shared" si="40"/>
        <v>85.436879018118049</v>
      </c>
    </row>
    <row r="60" spans="2:32" ht="12.75" customHeight="1" outlineLevel="1">
      <c r="B60" s="21" t="s">
        <v>220</v>
      </c>
      <c r="C60" s="117">
        <f>365/C55</f>
        <v>115.89740299184236</v>
      </c>
      <c r="D60" s="117">
        <f t="shared" ref="D60:AF60" si="41">365/D55</f>
        <v>97.770175025171923</v>
      </c>
      <c r="E60" s="117">
        <f t="shared" si="41"/>
        <v>98.925874330540253</v>
      </c>
      <c r="F60" s="117">
        <f t="shared" si="41"/>
        <v>102.29667407003657</v>
      </c>
      <c r="G60" s="117">
        <f t="shared" si="41"/>
        <v>71.280627588246887</v>
      </c>
      <c r="H60" s="117">
        <f t="shared" si="41"/>
        <v>73.49756689992482</v>
      </c>
      <c r="I60" s="117">
        <f t="shared" si="41"/>
        <v>68.62004763800789</v>
      </c>
      <c r="J60" s="117">
        <f t="shared" si="41"/>
        <v>70.007010260975505</v>
      </c>
      <c r="K60" s="117">
        <f t="shared" si="41"/>
        <v>72.336643141588482</v>
      </c>
      <c r="L60" s="117">
        <f t="shared" si="41"/>
        <v>74.473054637948422</v>
      </c>
      <c r="M60" s="117">
        <f t="shared" si="41"/>
        <v>84.930620955388449</v>
      </c>
      <c r="N60" s="117">
        <f t="shared" si="41"/>
        <v>65.885648023085139</v>
      </c>
      <c r="O60" s="117">
        <f t="shared" si="41"/>
        <v>68.43650006708809</v>
      </c>
      <c r="P60" s="117">
        <f t="shared" si="41"/>
        <v>67.970059813854078</v>
      </c>
      <c r="Q60" s="117">
        <f>365/Q55</f>
        <v>65.464934587456725</v>
      </c>
      <c r="R60" s="117">
        <f>365/R55</f>
        <v>54.215531424810791</v>
      </c>
      <c r="S60" s="117">
        <f t="shared" si="41"/>
        <v>53.840540851112735</v>
      </c>
      <c r="T60" s="117">
        <f t="shared" si="41"/>
        <v>53.840540851112735</v>
      </c>
      <c r="U60" s="117">
        <f t="shared" si="41"/>
        <v>53.840540851112735</v>
      </c>
      <c r="V60" s="117">
        <f t="shared" si="41"/>
        <v>53.840540851112735</v>
      </c>
      <c r="W60" s="117">
        <f t="shared" si="41"/>
        <v>53.840540851112735</v>
      </c>
      <c r="X60" s="117">
        <f t="shared" si="41"/>
        <v>53.840540851112735</v>
      </c>
      <c r="Y60" s="117">
        <f t="shared" si="41"/>
        <v>53.840540851112735</v>
      </c>
      <c r="Z60" s="117">
        <f t="shared" si="41"/>
        <v>53.840540851112735</v>
      </c>
      <c r="AA60" s="117">
        <f t="shared" si="41"/>
        <v>53.840540851112735</v>
      </c>
      <c r="AB60" s="117">
        <f t="shared" si="41"/>
        <v>53.840540851112735</v>
      </c>
      <c r="AC60" s="117">
        <f t="shared" si="41"/>
        <v>53.840540851112735</v>
      </c>
      <c r="AD60" s="117">
        <f t="shared" si="41"/>
        <v>53.840540851112735</v>
      </c>
      <c r="AE60" s="117">
        <f t="shared" si="41"/>
        <v>53.840540851112735</v>
      </c>
      <c r="AF60" s="117">
        <f t="shared" si="41"/>
        <v>53.840540851112735</v>
      </c>
    </row>
    <row r="61" spans="2:32" ht="12.75" customHeight="1" outlineLevel="1">
      <c r="B61" s="21" t="s">
        <v>221</v>
      </c>
      <c r="C61" s="116">
        <f>365/(C48/C69)</f>
        <v>159.91477013070102</v>
      </c>
      <c r="D61" s="116">
        <f t="shared" ref="D61:AF61" si="42">365/(D48/D69)</f>
        <v>127.76361080833</v>
      </c>
      <c r="E61" s="116">
        <f t="shared" si="42"/>
        <v>116.19103110182432</v>
      </c>
      <c r="F61" s="116">
        <f t="shared" si="42"/>
        <v>104.18805676279204</v>
      </c>
      <c r="G61" s="116">
        <f t="shared" si="42"/>
        <v>99.419266611863577</v>
      </c>
      <c r="H61" s="116">
        <f t="shared" si="42"/>
        <v>317.11658685427125</v>
      </c>
      <c r="I61" s="116">
        <f t="shared" si="42"/>
        <v>139.88774953897251</v>
      </c>
      <c r="J61" s="116">
        <f t="shared" si="42"/>
        <v>196.46460757752922</v>
      </c>
      <c r="K61" s="116">
        <f t="shared" si="42"/>
        <v>193.37493022520101</v>
      </c>
      <c r="L61" s="116">
        <f t="shared" si="42"/>
        <v>163.4942342737327</v>
      </c>
      <c r="M61" s="116">
        <f t="shared" si="42"/>
        <v>215.11931499432157</v>
      </c>
      <c r="N61" s="116">
        <f t="shared" si="42"/>
        <v>201.78576158830063</v>
      </c>
      <c r="O61" s="116">
        <f t="shared" si="42"/>
        <v>169.25595975446532</v>
      </c>
      <c r="P61" s="116">
        <f t="shared" si="42"/>
        <v>117.58953182448555</v>
      </c>
      <c r="Q61" s="116">
        <f>365/(Q48/Q69)</f>
        <v>135.42362204724409</v>
      </c>
      <c r="R61" s="696">
        <f>365/(R48/R69)</f>
        <v>128.93673110720562</v>
      </c>
      <c r="S61" s="116">
        <f t="shared" si="42"/>
        <v>86.823495032144933</v>
      </c>
      <c r="T61" s="116">
        <f t="shared" si="42"/>
        <v>86.823495032144933</v>
      </c>
      <c r="U61" s="116">
        <f t="shared" si="42"/>
        <v>86.823495032144933</v>
      </c>
      <c r="V61" s="116">
        <f t="shared" si="42"/>
        <v>86.823495032144933</v>
      </c>
      <c r="W61" s="116">
        <f t="shared" si="42"/>
        <v>86.823495032144933</v>
      </c>
      <c r="X61" s="116">
        <f t="shared" si="42"/>
        <v>86.823495032144933</v>
      </c>
      <c r="Y61" s="116">
        <f t="shared" si="42"/>
        <v>86.823495032144933</v>
      </c>
      <c r="Z61" s="116">
        <f t="shared" si="42"/>
        <v>86.823495032144933</v>
      </c>
      <c r="AA61" s="116">
        <f t="shared" si="42"/>
        <v>86.823495032144933</v>
      </c>
      <c r="AB61" s="116">
        <f t="shared" si="42"/>
        <v>86.823495032144933</v>
      </c>
      <c r="AC61" s="116">
        <f t="shared" si="42"/>
        <v>86.823495032144933</v>
      </c>
      <c r="AD61" s="116">
        <f t="shared" si="42"/>
        <v>86.823495032144933</v>
      </c>
      <c r="AE61" s="116">
        <f t="shared" si="42"/>
        <v>86.823495032144933</v>
      </c>
      <c r="AF61" s="116">
        <f t="shared" si="42"/>
        <v>86.823495032144933</v>
      </c>
    </row>
    <row r="62" spans="2:32" ht="12.75" customHeight="1" outlineLevel="1">
      <c r="B62" s="21" t="s">
        <v>222</v>
      </c>
      <c r="C62" s="3">
        <f t="shared" ref="C62:P62" si="43">C9</f>
        <v>11.4</v>
      </c>
      <c r="D62" s="3">
        <f t="shared" si="43"/>
        <v>64.721999999999994</v>
      </c>
      <c r="E62" s="3">
        <f t="shared" si="43"/>
        <v>28.012</v>
      </c>
      <c r="F62" s="3">
        <f t="shared" si="43"/>
        <v>13.692</v>
      </c>
      <c r="G62" s="3">
        <f t="shared" si="43"/>
        <v>34.924999999999997</v>
      </c>
      <c r="H62" s="3">
        <f t="shared" si="43"/>
        <v>22.863</v>
      </c>
      <c r="I62" s="3">
        <f t="shared" si="43"/>
        <v>35.241999999999997</v>
      </c>
      <c r="J62" s="3">
        <f t="shared" si="43"/>
        <v>126.066</v>
      </c>
      <c r="K62" s="3">
        <f t="shared" si="43"/>
        <v>66.891000000000005</v>
      </c>
      <c r="L62" s="3">
        <f t="shared" si="43"/>
        <v>116.244</v>
      </c>
      <c r="M62" s="3">
        <f t="shared" si="43"/>
        <v>126.846</v>
      </c>
      <c r="N62" s="556">
        <f t="shared" si="43"/>
        <v>0</v>
      </c>
      <c r="O62" s="556">
        <f t="shared" si="43"/>
        <v>91.924999999999997</v>
      </c>
      <c r="P62" s="556">
        <f t="shared" si="43"/>
        <v>472</v>
      </c>
      <c r="Q62" s="556">
        <f>Q9</f>
        <v>0</v>
      </c>
      <c r="R62" s="556">
        <f>R9</f>
        <v>0</v>
      </c>
      <c r="S62" s="556">
        <f>S9</f>
        <v>0</v>
      </c>
      <c r="T62" s="3">
        <f t="shared" ref="T62:AF62" si="44">T63*T47</f>
        <v>0</v>
      </c>
      <c r="U62" s="3">
        <f t="shared" si="44"/>
        <v>0</v>
      </c>
      <c r="V62" s="3">
        <f t="shared" si="44"/>
        <v>0</v>
      </c>
      <c r="W62" s="3">
        <f t="shared" si="44"/>
        <v>0</v>
      </c>
      <c r="X62" s="3">
        <f t="shared" si="44"/>
        <v>0</v>
      </c>
      <c r="Y62" s="3">
        <f t="shared" si="44"/>
        <v>0</v>
      </c>
      <c r="Z62" s="3">
        <f t="shared" si="44"/>
        <v>0</v>
      </c>
      <c r="AA62" s="3">
        <f t="shared" si="44"/>
        <v>0</v>
      </c>
      <c r="AB62" s="3">
        <f t="shared" si="44"/>
        <v>0</v>
      </c>
      <c r="AC62" s="3">
        <f t="shared" si="44"/>
        <v>0</v>
      </c>
      <c r="AD62" s="3">
        <f t="shared" si="44"/>
        <v>0</v>
      </c>
      <c r="AE62" s="3">
        <f t="shared" si="44"/>
        <v>0</v>
      </c>
      <c r="AF62" s="3">
        <f t="shared" si="44"/>
        <v>0</v>
      </c>
    </row>
    <row r="63" spans="2:32" ht="12.75" customHeight="1" outlineLevel="1">
      <c r="B63" s="22" t="s">
        <v>223</v>
      </c>
      <c r="C63" s="77">
        <f>C62/C47</f>
        <v>4.8766089601273051E-2</v>
      </c>
      <c r="D63" s="77">
        <f t="shared" ref="D63:L63" si="45">D62/D47</f>
        <v>0.13865335589879815</v>
      </c>
      <c r="E63" s="77">
        <f t="shared" si="45"/>
        <v>3.2276946618364159E-2</v>
      </c>
      <c r="F63" s="77">
        <f t="shared" si="45"/>
        <v>1.033653374321127E-2</v>
      </c>
      <c r="G63" s="77">
        <f t="shared" si="45"/>
        <v>1.7218004338394793E-2</v>
      </c>
      <c r="H63" s="77">
        <f t="shared" si="45"/>
        <v>7.5555812589330699E-3</v>
      </c>
      <c r="I63" s="77">
        <f t="shared" si="45"/>
        <v>8.3326318935375166E-3</v>
      </c>
      <c r="J63" s="77">
        <f t="shared" si="45"/>
        <v>2.362666916553437E-2</v>
      </c>
      <c r="K63" s="77">
        <f t="shared" si="45"/>
        <v>9.5403431819371456E-3</v>
      </c>
      <c r="L63" s="77">
        <f t="shared" si="45"/>
        <v>1.4622953624289571E-2</v>
      </c>
      <c r="M63" s="77">
        <f t="shared" ref="M63:S63" si="46">M62/M47</f>
        <v>1.5127033523207342E-2</v>
      </c>
      <c r="N63" s="557">
        <f t="shared" si="46"/>
        <v>0</v>
      </c>
      <c r="O63" s="557">
        <f t="shared" si="46"/>
        <v>8.2063517385637108E-3</v>
      </c>
      <c r="P63" s="557">
        <f t="shared" si="46"/>
        <v>1.8963436764427376E-2</v>
      </c>
      <c r="Q63" s="557">
        <f t="shared" si="46"/>
        <v>0</v>
      </c>
      <c r="R63" s="557">
        <f t="shared" si="46"/>
        <v>0</v>
      </c>
      <c r="S63" s="557">
        <f t="shared" si="46"/>
        <v>0</v>
      </c>
      <c r="T63" s="403">
        <f t="shared" ref="T63:AF63" si="47">S63</f>
        <v>0</v>
      </c>
      <c r="U63" s="403">
        <f t="shared" si="47"/>
        <v>0</v>
      </c>
      <c r="V63" s="403">
        <f t="shared" si="47"/>
        <v>0</v>
      </c>
      <c r="W63" s="403">
        <f t="shared" si="47"/>
        <v>0</v>
      </c>
      <c r="X63" s="403">
        <f t="shared" si="47"/>
        <v>0</v>
      </c>
      <c r="Y63" s="403">
        <f t="shared" si="47"/>
        <v>0</v>
      </c>
      <c r="Z63" s="403">
        <f t="shared" si="47"/>
        <v>0</v>
      </c>
      <c r="AA63" s="403">
        <f t="shared" si="47"/>
        <v>0</v>
      </c>
      <c r="AB63" s="403">
        <f t="shared" si="47"/>
        <v>0</v>
      </c>
      <c r="AC63" s="403">
        <f t="shared" si="47"/>
        <v>0</v>
      </c>
      <c r="AD63" s="403">
        <f t="shared" si="47"/>
        <v>0</v>
      </c>
      <c r="AE63" s="403">
        <f t="shared" si="47"/>
        <v>0</v>
      </c>
      <c r="AF63" s="403">
        <f t="shared" si="47"/>
        <v>0</v>
      </c>
    </row>
    <row r="64" spans="2:32" ht="12.75" customHeight="1" outlineLevel="1">
      <c r="B64" s="22" t="s">
        <v>224</v>
      </c>
      <c r="C64" s="77">
        <f>C62/C49</f>
        <v>3.6457367266401017E-2</v>
      </c>
      <c r="D64" s="77">
        <f t="shared" ref="D64:AF64" si="48">D62/D49</f>
        <v>0.20477822178770419</v>
      </c>
      <c r="E64" s="77">
        <f t="shared" si="48"/>
        <v>6.5405809283646213E-2</v>
      </c>
      <c r="F64" s="77">
        <f t="shared" si="48"/>
        <v>2.6013405681455472E-2</v>
      </c>
      <c r="G64" s="77">
        <f t="shared" si="48"/>
        <v>5.2996321744197335E-2</v>
      </c>
      <c r="H64" s="77">
        <f t="shared" si="48"/>
        <v>2.7395110027379529E-2</v>
      </c>
      <c r="I64" s="77">
        <f t="shared" si="48"/>
        <v>3.1371229479448738E-2</v>
      </c>
      <c r="J64" s="77">
        <f t="shared" si="48"/>
        <v>9.1613737773062226E-2</v>
      </c>
      <c r="K64" s="77">
        <f t="shared" si="48"/>
        <v>4.0505974981015949E-2</v>
      </c>
      <c r="L64" s="77">
        <f t="shared" si="48"/>
        <v>6.6370680972641885E-2</v>
      </c>
      <c r="M64" s="77">
        <f>M62/M49</f>
        <v>5.7314428238356023E-2</v>
      </c>
      <c r="N64" s="77">
        <f t="shared" si="48"/>
        <v>0</v>
      </c>
      <c r="O64" s="77">
        <f t="shared" si="48"/>
        <v>2.6227769165958367E-2</v>
      </c>
      <c r="P64" s="77">
        <f t="shared" si="48"/>
        <v>8.8361548498696096E-2</v>
      </c>
      <c r="Q64" s="77">
        <f>Q62/Q49</f>
        <v>0</v>
      </c>
      <c r="R64" s="694">
        <f>R62/R49</f>
        <v>0</v>
      </c>
      <c r="S64" s="77">
        <f t="shared" si="48"/>
        <v>0</v>
      </c>
      <c r="T64" s="77">
        <f t="shared" si="48"/>
        <v>0</v>
      </c>
      <c r="U64" s="77">
        <f t="shared" si="48"/>
        <v>0</v>
      </c>
      <c r="V64" s="77">
        <f t="shared" si="48"/>
        <v>0</v>
      </c>
      <c r="W64" s="77">
        <f t="shared" si="48"/>
        <v>0</v>
      </c>
      <c r="X64" s="77">
        <f t="shared" si="48"/>
        <v>0</v>
      </c>
      <c r="Y64" s="77">
        <f t="shared" si="48"/>
        <v>0</v>
      </c>
      <c r="Z64" s="77">
        <f t="shared" si="48"/>
        <v>0</v>
      </c>
      <c r="AA64" s="77">
        <f t="shared" si="48"/>
        <v>0</v>
      </c>
      <c r="AB64" s="77">
        <f t="shared" si="48"/>
        <v>0</v>
      </c>
      <c r="AC64" s="77">
        <f t="shared" si="48"/>
        <v>0</v>
      </c>
      <c r="AD64" s="77">
        <f t="shared" si="48"/>
        <v>0</v>
      </c>
      <c r="AE64" s="77">
        <f t="shared" si="48"/>
        <v>0</v>
      </c>
      <c r="AF64" s="77">
        <f t="shared" si="48"/>
        <v>0</v>
      </c>
    </row>
    <row r="65" spans="2:32" ht="12.75" customHeight="1" outlineLevel="1">
      <c r="B65" s="21" t="s">
        <v>225</v>
      </c>
      <c r="C65" s="3">
        <f t="shared" ref="C65:P65" si="49">C5</f>
        <v>74.227999999999994</v>
      </c>
      <c r="D65" s="3">
        <f t="shared" si="49"/>
        <v>125.036</v>
      </c>
      <c r="E65" s="3">
        <f t="shared" si="49"/>
        <v>235.21700000000001</v>
      </c>
      <c r="F65" s="3">
        <f t="shared" si="49"/>
        <v>371.245</v>
      </c>
      <c r="G65" s="3">
        <f t="shared" si="49"/>
        <v>396.125</v>
      </c>
      <c r="H65" s="3">
        <f t="shared" si="49"/>
        <v>609.32000000000005</v>
      </c>
      <c r="I65" s="3">
        <f t="shared" si="49"/>
        <v>795.12699999999995</v>
      </c>
      <c r="J65" s="3">
        <f t="shared" si="49"/>
        <v>1023.397</v>
      </c>
      <c r="K65" s="3">
        <f t="shared" si="49"/>
        <v>1389.5340000000001</v>
      </c>
      <c r="L65" s="3">
        <f t="shared" si="49"/>
        <v>1621.9659999999999</v>
      </c>
      <c r="M65" s="3">
        <f t="shared" si="49"/>
        <v>1951.1669999999999</v>
      </c>
      <c r="N65" s="556">
        <f t="shared" si="49"/>
        <v>1751.3879999999999</v>
      </c>
      <c r="O65" s="556">
        <f t="shared" si="49"/>
        <v>2100.2860000000001</v>
      </c>
      <c r="P65" s="556">
        <f t="shared" si="49"/>
        <v>4635</v>
      </c>
      <c r="Q65" s="556">
        <f>Q5</f>
        <v>5854</v>
      </c>
      <c r="R65" s="556">
        <f>R5</f>
        <v>4514</v>
      </c>
      <c r="S65" s="556">
        <f>S5</f>
        <v>3851</v>
      </c>
      <c r="T65" s="3">
        <f t="shared" ref="T65:AF65" si="50">T47/T55</f>
        <v>3103.4401761839472</v>
      </c>
      <c r="U65" s="3">
        <f t="shared" si="50"/>
        <v>3147.9802915323012</v>
      </c>
      <c r="V65" s="3">
        <f t="shared" si="50"/>
        <v>3348.2422743464663</v>
      </c>
      <c r="W65" s="3">
        <f t="shared" si="50"/>
        <v>3166.6680802675555</v>
      </c>
      <c r="X65" s="3">
        <f t="shared" si="50"/>
        <v>3271.8308827071019</v>
      </c>
      <c r="Y65" s="3">
        <f t="shared" si="50"/>
        <v>3396.9522524868062</v>
      </c>
      <c r="Z65" s="3">
        <f t="shared" si="50"/>
        <v>3527.0647340980081</v>
      </c>
      <c r="AA65" s="3">
        <f t="shared" si="50"/>
        <v>2733.4762803843</v>
      </c>
      <c r="AB65" s="3">
        <f t="shared" si="50"/>
        <v>2493.2731923375659</v>
      </c>
      <c r="AC65" s="3">
        <f t="shared" si="50"/>
        <v>2471.7239683804219</v>
      </c>
      <c r="AD65" s="3">
        <f t="shared" si="50"/>
        <v>2463.2686010162156</v>
      </c>
      <c r="AE65" s="3">
        <f t="shared" si="50"/>
        <v>2071.9061204421068</v>
      </c>
      <c r="AF65" s="3">
        <f t="shared" si="50"/>
        <v>1987.7667136152841</v>
      </c>
    </row>
    <row r="66" spans="2:32" ht="12.75" customHeight="1" outlineLevel="1">
      <c r="B66" s="22" t="s">
        <v>223</v>
      </c>
      <c r="C66" s="77">
        <f>C65/C47</f>
        <v>0.31752713148449963</v>
      </c>
      <c r="D66" s="77">
        <f t="shared" ref="D66:AF66" si="51">D65/D47</f>
        <v>0.26786349321964908</v>
      </c>
      <c r="E66" s="77">
        <f t="shared" si="51"/>
        <v>0.27102979268641164</v>
      </c>
      <c r="F66" s="77">
        <f t="shared" si="51"/>
        <v>0.28026486046585364</v>
      </c>
      <c r="G66" s="77">
        <f t="shared" si="51"/>
        <v>0.19528939065273121</v>
      </c>
      <c r="H66" s="77">
        <f t="shared" si="51"/>
        <v>0.20136319698609539</v>
      </c>
      <c r="I66" s="77">
        <f t="shared" si="51"/>
        <v>0.1880001305150901</v>
      </c>
      <c r="J66" s="77">
        <f t="shared" si="51"/>
        <v>0.19180002811226168</v>
      </c>
      <c r="K66" s="77">
        <f t="shared" si="51"/>
        <v>0.19818258394955748</v>
      </c>
      <c r="L66" s="77">
        <f t="shared" si="51"/>
        <v>0.20403576613136554</v>
      </c>
      <c r="M66" s="77">
        <f t="shared" si="51"/>
        <v>0.23268663275448889</v>
      </c>
      <c r="N66" s="77">
        <f t="shared" si="51"/>
        <v>0.18050862472078116</v>
      </c>
      <c r="O66" s="77">
        <f t="shared" si="51"/>
        <v>0.18749726045777562</v>
      </c>
      <c r="P66" s="77">
        <f t="shared" si="51"/>
        <v>0.18621934195576462</v>
      </c>
      <c r="Q66" s="77">
        <f>Q65/Q47</f>
        <v>0.17935598517111431</v>
      </c>
      <c r="R66" s="694">
        <f>R65/R47</f>
        <v>0.14853570253372819</v>
      </c>
      <c r="S66" s="77">
        <f t="shared" si="51"/>
        <v>0.14750833109893899</v>
      </c>
      <c r="T66" s="77">
        <f t="shared" si="51"/>
        <v>0.14750833109893899</v>
      </c>
      <c r="U66" s="77">
        <f t="shared" si="51"/>
        <v>0.14750833109893899</v>
      </c>
      <c r="V66" s="77">
        <f t="shared" si="51"/>
        <v>0.14750833109893899</v>
      </c>
      <c r="W66" s="77">
        <f t="shared" si="51"/>
        <v>0.14750833109893899</v>
      </c>
      <c r="X66" s="77">
        <f t="shared" si="51"/>
        <v>0.14750833109893899</v>
      </c>
      <c r="Y66" s="77">
        <f t="shared" si="51"/>
        <v>0.14750833109893899</v>
      </c>
      <c r="Z66" s="77">
        <f t="shared" si="51"/>
        <v>0.14750833109893899</v>
      </c>
      <c r="AA66" s="77">
        <f t="shared" si="51"/>
        <v>0.14750833109893899</v>
      </c>
      <c r="AB66" s="77">
        <f t="shared" si="51"/>
        <v>0.14750833109893899</v>
      </c>
      <c r="AC66" s="77">
        <f t="shared" si="51"/>
        <v>0.14750833109893899</v>
      </c>
      <c r="AD66" s="77">
        <f t="shared" si="51"/>
        <v>0.14750833109893899</v>
      </c>
      <c r="AE66" s="77">
        <f t="shared" si="51"/>
        <v>0.14750833109893899</v>
      </c>
      <c r="AF66" s="77">
        <f t="shared" si="51"/>
        <v>0.14750833109893899</v>
      </c>
    </row>
    <row r="67" spans="2:32" ht="12.75" customHeight="1" outlineLevel="1">
      <c r="B67" s="21" t="s">
        <v>178</v>
      </c>
      <c r="C67" s="3">
        <f t="shared" ref="C67:P67" si="52">C6</f>
        <v>39.28</v>
      </c>
      <c r="D67" s="3">
        <f t="shared" si="52"/>
        <v>51.628</v>
      </c>
      <c r="E67" s="3">
        <f t="shared" si="52"/>
        <v>98.102000000000004</v>
      </c>
      <c r="F67" s="3">
        <f t="shared" si="52"/>
        <v>135.99100000000001</v>
      </c>
      <c r="G67" s="3">
        <f t="shared" si="52"/>
        <v>216.90299999999999</v>
      </c>
      <c r="H67" s="3">
        <f t="shared" si="52"/>
        <v>564.14499999999998</v>
      </c>
      <c r="I67" s="3">
        <f t="shared" si="52"/>
        <v>599.96600000000001</v>
      </c>
      <c r="J67" s="3">
        <f t="shared" si="52"/>
        <v>927.86800000000005</v>
      </c>
      <c r="K67" s="3">
        <f t="shared" si="52"/>
        <v>1051.771</v>
      </c>
      <c r="L67" s="3">
        <f t="shared" si="52"/>
        <v>1203.809</v>
      </c>
      <c r="M67" s="3">
        <f t="shared" si="52"/>
        <v>1389.9829999999999</v>
      </c>
      <c r="N67" s="556">
        <f t="shared" si="52"/>
        <v>1744.982</v>
      </c>
      <c r="O67" s="556">
        <f t="shared" si="52"/>
        <v>2055.788</v>
      </c>
      <c r="P67" s="556">
        <f t="shared" si="52"/>
        <v>1386</v>
      </c>
      <c r="Q67" s="556">
        <f>Q6</f>
        <v>1955</v>
      </c>
      <c r="R67" s="556">
        <f>R6</f>
        <v>1587</v>
      </c>
      <c r="S67" s="556">
        <f>S6</f>
        <v>801</v>
      </c>
      <c r="T67" s="3">
        <f t="shared" ref="T67:AF67" si="53">T48/T56</f>
        <v>686.80732087102638</v>
      </c>
      <c r="U67" s="3">
        <f t="shared" si="53"/>
        <v>704.62157791317929</v>
      </c>
      <c r="V67" s="3">
        <f t="shared" si="53"/>
        <v>760.29475569760882</v>
      </c>
      <c r="W67" s="3">
        <f t="shared" si="53"/>
        <v>729.85115390369981</v>
      </c>
      <c r="X67" s="3">
        <f t="shared" si="53"/>
        <v>735.31260776831425</v>
      </c>
      <c r="Y67" s="3">
        <f t="shared" si="53"/>
        <v>761.60394409962839</v>
      </c>
      <c r="Z67" s="3">
        <f t="shared" si="53"/>
        <v>787.56581246500195</v>
      </c>
      <c r="AA67" s="3">
        <f t="shared" si="53"/>
        <v>580.40081278963282</v>
      </c>
      <c r="AB67" s="3">
        <f t="shared" si="53"/>
        <v>521.72605767373943</v>
      </c>
      <c r="AC67" s="3">
        <f t="shared" si="53"/>
        <v>518.40616956774898</v>
      </c>
      <c r="AD67" s="3">
        <f t="shared" si="53"/>
        <v>517.51194439196968</v>
      </c>
      <c r="AE67" s="3">
        <f t="shared" si="53"/>
        <v>427.6590300700102</v>
      </c>
      <c r="AF67" s="3">
        <f t="shared" si="53"/>
        <v>425.8929341310901</v>
      </c>
    </row>
    <row r="68" spans="2:32" ht="12.75" customHeight="1" outlineLevel="1">
      <c r="B68" s="22" t="s">
        <v>223</v>
      </c>
      <c r="C68" s="77">
        <f>C67/C47</f>
        <v>0.16802912276649171</v>
      </c>
      <c r="D68" s="77">
        <f t="shared" ref="D68:AF68" si="54">D67/D47</f>
        <v>0.11060219799053107</v>
      </c>
      <c r="E68" s="77">
        <f t="shared" si="54"/>
        <v>0.11303844842048984</v>
      </c>
      <c r="F68" s="77">
        <f t="shared" si="54"/>
        <v>0.102664005278487</v>
      </c>
      <c r="G68" s="77">
        <f t="shared" si="54"/>
        <v>0.10693305068033918</v>
      </c>
      <c r="H68" s="77">
        <f t="shared" si="54"/>
        <v>0.18643412453837191</v>
      </c>
      <c r="I68" s="77">
        <f t="shared" si="54"/>
        <v>0.14185618939441946</v>
      </c>
      <c r="J68" s="77">
        <f t="shared" si="54"/>
        <v>0.17389645316965754</v>
      </c>
      <c r="K68" s="77">
        <f t="shared" si="54"/>
        <v>0.15000906383234236</v>
      </c>
      <c r="L68" s="77">
        <f t="shared" si="54"/>
        <v>0.15143356370653455</v>
      </c>
      <c r="M68" s="77">
        <f t="shared" si="54"/>
        <v>0.16576257381145887</v>
      </c>
      <c r="N68" s="77">
        <f t="shared" si="54"/>
        <v>0.17984838367198941</v>
      </c>
      <c r="O68" s="77">
        <f t="shared" si="54"/>
        <v>0.18352482380112498</v>
      </c>
      <c r="P68" s="77">
        <f t="shared" si="54"/>
        <v>5.5685007109102423E-2</v>
      </c>
      <c r="Q68" s="77">
        <f>Q67/Q47</f>
        <v>5.9897668433469164E-2</v>
      </c>
      <c r="R68" s="694">
        <f>R67/R47</f>
        <v>5.2221125370187561E-2</v>
      </c>
      <c r="S68" s="77">
        <f>S67/S47</f>
        <v>3.0681426437353967E-2</v>
      </c>
      <c r="T68" s="77">
        <f t="shared" si="54"/>
        <v>3.2644354631250268E-2</v>
      </c>
      <c r="U68" s="77">
        <f t="shared" si="54"/>
        <v>3.3017218466663834E-2</v>
      </c>
      <c r="V68" s="77">
        <f t="shared" si="54"/>
        <v>3.3495130091241686E-2</v>
      </c>
      <c r="W68" s="77">
        <f t="shared" si="54"/>
        <v>3.3997603453871733E-2</v>
      </c>
      <c r="X68" s="77">
        <f t="shared" si="54"/>
        <v>3.3151082527275798E-2</v>
      </c>
      <c r="Y68" s="77">
        <f t="shared" si="54"/>
        <v>3.3071682614986109E-2</v>
      </c>
      <c r="Z68" s="77">
        <f t="shared" si="54"/>
        <v>3.2937450085389973E-2</v>
      </c>
      <c r="AA68" s="77">
        <f t="shared" si="54"/>
        <v>3.1320540762486505E-2</v>
      </c>
      <c r="AB68" s="77">
        <f t="shared" si="54"/>
        <v>3.08666295754495E-2</v>
      </c>
      <c r="AC68" s="77">
        <f t="shared" si="54"/>
        <v>3.093760868226645E-2</v>
      </c>
      <c r="AD68" s="77">
        <f t="shared" si="54"/>
        <v>3.099025547174741E-2</v>
      </c>
      <c r="AE68" s="77">
        <f t="shared" si="54"/>
        <v>3.044697304700145E-2</v>
      </c>
      <c r="AF68" s="77">
        <f t="shared" si="54"/>
        <v>3.1604692598080339E-2</v>
      </c>
    </row>
    <row r="69" spans="2:32" ht="12.75" customHeight="1" outlineLevel="1">
      <c r="B69" s="21" t="s">
        <v>226</v>
      </c>
      <c r="C69" s="3">
        <f t="shared" ref="C69:P69" si="55">C22</f>
        <v>19.173999999999999</v>
      </c>
      <c r="D69" s="3">
        <f t="shared" si="55"/>
        <v>24.405999999999999</v>
      </c>
      <c r="E69" s="3">
        <f t="shared" si="55"/>
        <v>35.649000000000001</v>
      </c>
      <c r="F69" s="3">
        <f t="shared" si="55"/>
        <v>47.552</v>
      </c>
      <c r="G69" s="3">
        <f t="shared" si="55"/>
        <v>70.908000000000001</v>
      </c>
      <c r="H69" s="3">
        <f t="shared" si="55"/>
        <v>367.029</v>
      </c>
      <c r="I69" s="3">
        <f t="shared" si="55"/>
        <v>290.33300000000003</v>
      </c>
      <c r="J69" s="3">
        <f t="shared" si="55"/>
        <v>601.20000000000005</v>
      </c>
      <c r="K69" s="3">
        <f t="shared" si="55"/>
        <v>810.54399999999998</v>
      </c>
      <c r="L69" s="3">
        <f t="shared" si="55"/>
        <v>803.02499999999998</v>
      </c>
      <c r="M69" s="3">
        <f t="shared" si="55"/>
        <v>1206.0519999999999</v>
      </c>
      <c r="N69" s="556">
        <f t="shared" si="55"/>
        <v>1327.3389999999999</v>
      </c>
      <c r="O69" s="556">
        <f t="shared" si="55"/>
        <v>1255.914</v>
      </c>
      <c r="P69" s="556">
        <f t="shared" si="55"/>
        <v>955</v>
      </c>
      <c r="Q69" s="556">
        <f>Q22</f>
        <v>1178</v>
      </c>
      <c r="R69" s="556">
        <f>R22</f>
        <v>1206</v>
      </c>
      <c r="S69" s="556">
        <f>S22</f>
        <v>814</v>
      </c>
      <c r="T69" s="3">
        <f t="shared" ref="T69:AF69" si="56">T48/T57</f>
        <v>697.95400647817155</v>
      </c>
      <c r="U69" s="3">
        <f t="shared" si="56"/>
        <v>716.05738379691377</v>
      </c>
      <c r="V69" s="3">
        <f t="shared" si="56"/>
        <v>772.63412127072854</v>
      </c>
      <c r="W69" s="3">
        <f t="shared" si="56"/>
        <v>741.69642856131293</v>
      </c>
      <c r="X69" s="3">
        <f t="shared" si="56"/>
        <v>747.24652025394232</v>
      </c>
      <c r="Y69" s="3">
        <f t="shared" si="56"/>
        <v>773.96455742459113</v>
      </c>
      <c r="Z69" s="3">
        <f t="shared" si="56"/>
        <v>800.34777945881592</v>
      </c>
      <c r="AA69" s="3">
        <f t="shared" si="56"/>
        <v>589.82055132429605</v>
      </c>
      <c r="AB69" s="3">
        <f t="shared" si="56"/>
        <v>530.19352178080385</v>
      </c>
      <c r="AC69" s="3">
        <f t="shared" si="56"/>
        <v>526.81975284412943</v>
      </c>
      <c r="AD69" s="3">
        <f t="shared" si="56"/>
        <v>525.91101465051599</v>
      </c>
      <c r="AE69" s="3">
        <f t="shared" si="56"/>
        <v>434.59981332957341</v>
      </c>
      <c r="AF69" s="3">
        <f t="shared" si="56"/>
        <v>432.80505416068331</v>
      </c>
    </row>
    <row r="70" spans="2:32" ht="12.75" customHeight="1" outlineLevel="1">
      <c r="B70" s="22" t="s">
        <v>227</v>
      </c>
      <c r="C70" s="77">
        <f>C69/C49</f>
        <v>6.1318733330348513E-2</v>
      </c>
      <c r="D70" s="77">
        <f t="shared" ref="D70:AF70" si="57">D69/D49</f>
        <v>7.7219759601846488E-2</v>
      </c>
      <c r="E70" s="77">
        <f t="shared" si="57"/>
        <v>8.3237601569066968E-2</v>
      </c>
      <c r="F70" s="77">
        <f t="shared" si="57"/>
        <v>9.0343957563874561E-2</v>
      </c>
      <c r="G70" s="77">
        <f t="shared" si="57"/>
        <v>0.10759808682140429</v>
      </c>
      <c r="H70" s="77">
        <f t="shared" si="57"/>
        <v>0.43978479806845477</v>
      </c>
      <c r="I70" s="77">
        <f t="shared" si="57"/>
        <v>0.25844455957257795</v>
      </c>
      <c r="J70" s="77">
        <f t="shared" si="57"/>
        <v>0.4368995537985263</v>
      </c>
      <c r="K70" s="77">
        <f t="shared" si="57"/>
        <v>0.4908264936241436</v>
      </c>
      <c r="L70" s="77">
        <f t="shared" si="57"/>
        <v>0.45849520050975312</v>
      </c>
      <c r="M70" s="77">
        <f t="shared" si="57"/>
        <v>0.54494568851777547</v>
      </c>
      <c r="N70" s="77">
        <f t="shared" si="57"/>
        <v>0.48771256191302048</v>
      </c>
      <c r="O70" s="77">
        <f t="shared" si="57"/>
        <v>0.35833366858085869</v>
      </c>
      <c r="P70" s="77">
        <f t="shared" si="57"/>
        <v>0.17878237037342112</v>
      </c>
      <c r="Q70" s="77">
        <f>Q69/Q49</f>
        <v>0.1941011698797166</v>
      </c>
      <c r="R70" s="694">
        <f>R69/R49</f>
        <v>0.17370012962696241</v>
      </c>
      <c r="S70" s="77">
        <f t="shared" si="57"/>
        <v>0.12233243162007815</v>
      </c>
      <c r="T70" s="77">
        <f t="shared" si="57"/>
        <v>9.9707715211167364E-2</v>
      </c>
      <c r="U70" s="77">
        <f t="shared" si="57"/>
        <v>0.10103102416887673</v>
      </c>
      <c r="V70" s="77">
        <f t="shared" si="57"/>
        <v>0.10901363263079063</v>
      </c>
      <c r="W70" s="77">
        <f t="shared" si="57"/>
        <v>0.1033723245381621</v>
      </c>
      <c r="X70" s="77">
        <f t="shared" si="57"/>
        <v>0.10414585648138572</v>
      </c>
      <c r="Y70" s="77">
        <f t="shared" si="57"/>
        <v>0.10920050589374607</v>
      </c>
      <c r="Z70" s="77">
        <f t="shared" si="57"/>
        <v>0.11429791538587077</v>
      </c>
      <c r="AA70" s="77">
        <f t="shared" si="57"/>
        <v>8.3244223246635718E-2</v>
      </c>
      <c r="AB70" s="77">
        <f t="shared" si="57"/>
        <v>7.3939610365351932E-2</v>
      </c>
      <c r="AC70" s="77">
        <f t="shared" si="57"/>
        <v>7.2585048650626885E-2</v>
      </c>
      <c r="AD70" s="77">
        <f t="shared" si="57"/>
        <v>8.1813263495522967E-2</v>
      </c>
      <c r="AE70" s="77">
        <f t="shared" si="57"/>
        <v>0.2704338038378265</v>
      </c>
      <c r="AF70" s="77">
        <f t="shared" si="57"/>
        <v>0.53863399627440878</v>
      </c>
    </row>
    <row r="71" spans="2:32" ht="12.75" customHeight="1" outlineLevel="1">
      <c r="B71" s="21" t="s">
        <v>228</v>
      </c>
      <c r="C71" s="3">
        <f t="shared" ref="C71:P71" si="58">C24</f>
        <v>24.829000000000001</v>
      </c>
      <c r="D71" s="3">
        <f t="shared" si="58"/>
        <v>44.026000000000003</v>
      </c>
      <c r="E71" s="3">
        <f t="shared" si="58"/>
        <v>97.001999999999995</v>
      </c>
      <c r="F71" s="3">
        <f t="shared" si="58"/>
        <v>132.82400000000001</v>
      </c>
      <c r="G71" s="3">
        <f t="shared" si="58"/>
        <v>245.255</v>
      </c>
      <c r="H71" s="3">
        <f t="shared" si="58"/>
        <v>285.06400000000002</v>
      </c>
      <c r="I71" s="3">
        <f t="shared" si="58"/>
        <v>324.35599999999999</v>
      </c>
      <c r="J71" s="3">
        <f t="shared" si="58"/>
        <v>467.358</v>
      </c>
      <c r="K71" s="3">
        <f t="shared" si="58"/>
        <v>800.298</v>
      </c>
      <c r="L71" s="3">
        <f t="shared" si="58"/>
        <v>764.77299999999991</v>
      </c>
      <c r="M71" s="3">
        <f t="shared" si="58"/>
        <v>1059.1849999999999</v>
      </c>
      <c r="N71" s="556">
        <f t="shared" si="58"/>
        <v>1433.3129999999999</v>
      </c>
      <c r="O71" s="556">
        <f t="shared" si="58"/>
        <v>2018.2829999999999</v>
      </c>
      <c r="P71" s="556">
        <f t="shared" si="58"/>
        <v>3873</v>
      </c>
      <c r="Q71" s="556">
        <f>Q24</f>
        <v>4118</v>
      </c>
      <c r="R71" s="556">
        <f>R24</f>
        <v>5021</v>
      </c>
      <c r="S71" s="556">
        <f>S24</f>
        <v>8074</v>
      </c>
      <c r="T71" s="3">
        <f t="shared" ref="T71:AF71" si="59">T72*T49</f>
        <v>4200</v>
      </c>
      <c r="U71" s="3">
        <f t="shared" si="59"/>
        <v>4252.5</v>
      </c>
      <c r="V71" s="3">
        <f t="shared" si="59"/>
        <v>4252.5</v>
      </c>
      <c r="W71" s="3">
        <f>W72*W49</f>
        <v>4304.9999999999991</v>
      </c>
      <c r="X71" s="3">
        <f t="shared" si="59"/>
        <v>4304.9999999999991</v>
      </c>
      <c r="Y71" s="3">
        <f t="shared" si="59"/>
        <v>4252.5328124999987</v>
      </c>
      <c r="Z71" s="3">
        <f t="shared" si="59"/>
        <v>4201.3773046874994</v>
      </c>
      <c r="AA71" s="3">
        <f t="shared" si="59"/>
        <v>4251.253924804686</v>
      </c>
      <c r="AB71" s="3">
        <f t="shared" si="59"/>
        <v>4302.3774604248028</v>
      </c>
      <c r="AC71" s="3">
        <f t="shared" si="59"/>
        <v>4354.7790844354231</v>
      </c>
      <c r="AD71" s="3">
        <f t="shared" si="59"/>
        <v>3856.9126240463088</v>
      </c>
      <c r="AE71" s="3">
        <f t="shared" si="59"/>
        <v>964.2281560115772</v>
      </c>
      <c r="AF71" s="3">
        <f t="shared" si="59"/>
        <v>482.1140780057886</v>
      </c>
    </row>
    <row r="72" spans="2:32" ht="12.75" customHeight="1" outlineLevel="1">
      <c r="B72" s="22" t="s">
        <v>227</v>
      </c>
      <c r="C72" s="77">
        <f>C71/C49</f>
        <v>7.9403506303286922E-2</v>
      </c>
      <c r="D72" s="77">
        <f t="shared" ref="D72:L72" si="60">D71/D49</f>
        <v>0.13929677686761019</v>
      </c>
      <c r="E72" s="77">
        <f t="shared" si="60"/>
        <v>0.22649201456990753</v>
      </c>
      <c r="F72" s="77">
        <f t="shared" si="60"/>
        <v>0.25235207392883741</v>
      </c>
      <c r="G72" s="77">
        <f t="shared" si="60"/>
        <v>0.37215784937360391</v>
      </c>
      <c r="H72" s="77">
        <f t="shared" si="60"/>
        <v>0.34157195664807416</v>
      </c>
      <c r="I72" s="77">
        <f t="shared" si="60"/>
        <v>0.28873067672198161</v>
      </c>
      <c r="J72" s="77">
        <f t="shared" si="60"/>
        <v>0.33963489964100402</v>
      </c>
      <c r="K72" s="77">
        <f t="shared" si="60"/>
        <v>0.48462200842201641</v>
      </c>
      <c r="L72" s="77">
        <f t="shared" si="60"/>
        <v>0.43665483637426655</v>
      </c>
      <c r="M72" s="77">
        <f t="shared" ref="M72:S72" si="61">M71/M49</f>
        <v>0.47858491930090913</v>
      </c>
      <c r="N72" s="557">
        <f t="shared" si="61"/>
        <v>0.52665125883684349</v>
      </c>
      <c r="O72" s="557">
        <f t="shared" si="61"/>
        <v>0.57585053723772583</v>
      </c>
      <c r="P72" s="557">
        <f t="shared" si="61"/>
        <v>0.72505143503273306</v>
      </c>
      <c r="Q72" s="557">
        <f t="shared" si="61"/>
        <v>0.67853023562366122</v>
      </c>
      <c r="R72" s="557">
        <f t="shared" si="61"/>
        <v>0.72317442027941814</v>
      </c>
      <c r="S72" s="557">
        <f t="shared" si="61"/>
        <v>1.213405470393748</v>
      </c>
      <c r="T72" s="403">
        <v>0.6</v>
      </c>
      <c r="U72" s="719">
        <f t="shared" ref="U72:AF72" si="62">T72</f>
        <v>0.6</v>
      </c>
      <c r="V72" s="719">
        <f t="shared" si="62"/>
        <v>0.6</v>
      </c>
      <c r="W72" s="719">
        <f t="shared" si="62"/>
        <v>0.6</v>
      </c>
      <c r="X72" s="719">
        <f t="shared" si="62"/>
        <v>0.6</v>
      </c>
      <c r="Y72" s="719">
        <f t="shared" si="62"/>
        <v>0.6</v>
      </c>
      <c r="Z72" s="719">
        <f t="shared" si="62"/>
        <v>0.6</v>
      </c>
      <c r="AA72" s="719">
        <f t="shared" si="62"/>
        <v>0.6</v>
      </c>
      <c r="AB72" s="719">
        <f t="shared" si="62"/>
        <v>0.6</v>
      </c>
      <c r="AC72" s="719">
        <f t="shared" si="62"/>
        <v>0.6</v>
      </c>
      <c r="AD72" s="719">
        <f t="shared" si="62"/>
        <v>0.6</v>
      </c>
      <c r="AE72" s="719">
        <f t="shared" si="62"/>
        <v>0.6</v>
      </c>
      <c r="AF72" s="719">
        <f t="shared" si="62"/>
        <v>0.6</v>
      </c>
    </row>
    <row r="73" spans="2:32" ht="12.75" customHeight="1" outlineLevel="1">
      <c r="B73" s="22" t="s">
        <v>229</v>
      </c>
      <c r="C73" s="77">
        <f t="shared" ref="C73:AF73" si="63">C71/C27</f>
        <v>0.3099092577105983</v>
      </c>
      <c r="D73" s="77">
        <f t="shared" si="63"/>
        <v>0.41972695725126796</v>
      </c>
      <c r="E73" s="77">
        <f t="shared" si="63"/>
        <v>0.52181069958847737</v>
      </c>
      <c r="F73" s="77">
        <f t="shared" si="63"/>
        <v>0.52405771484259411</v>
      </c>
      <c r="G73" s="77">
        <f t="shared" si="63"/>
        <v>0.52724528821079919</v>
      </c>
      <c r="H73" s="77">
        <f t="shared" si="63"/>
        <v>0.37298567533194821</v>
      </c>
      <c r="I73" s="77">
        <f t="shared" si="63"/>
        <v>0.440536484329904</v>
      </c>
      <c r="J73" s="77">
        <f t="shared" si="63"/>
        <v>0.38276909267218778</v>
      </c>
      <c r="K73" s="77">
        <f t="shared" si="63"/>
        <v>0.42759390072081521</v>
      </c>
      <c r="L73" s="77">
        <f t="shared" si="63"/>
        <v>0.31025903162335949</v>
      </c>
      <c r="M73" s="77">
        <f t="shared" si="63"/>
        <v>0.42118228559839987</v>
      </c>
      <c r="N73" s="77">
        <f t="shared" si="63"/>
        <v>0.33566891958351486</v>
      </c>
      <c r="O73" s="77">
        <f t="shared" si="63"/>
        <v>0.3190748884540649</v>
      </c>
      <c r="P73" s="77">
        <f t="shared" si="63"/>
        <v>0.67227911820864428</v>
      </c>
      <c r="Q73" s="77">
        <f>Q71/Q27</f>
        <v>0.41633808512789405</v>
      </c>
      <c r="R73" s="694">
        <f>R71/R27</f>
        <v>0.54463607766569044</v>
      </c>
      <c r="S73" s="77">
        <f t="shared" si="63"/>
        <v>0.69394069617533305</v>
      </c>
      <c r="T73" s="77">
        <f t="shared" si="63"/>
        <v>0.85750090638763909</v>
      </c>
      <c r="U73" s="77">
        <f t="shared" si="63"/>
        <v>0.85588223532809204</v>
      </c>
      <c r="V73" s="77">
        <f t="shared" si="63"/>
        <v>0.84624606973169725</v>
      </c>
      <c r="W73" s="77">
        <f t="shared" si="63"/>
        <v>0.85303327849011268</v>
      </c>
      <c r="X73" s="77">
        <f t="shared" si="63"/>
        <v>0.85209618785261021</v>
      </c>
      <c r="Y73" s="77">
        <f t="shared" si="63"/>
        <v>0.84602308516950386</v>
      </c>
      <c r="Z73" s="77">
        <f t="shared" si="63"/>
        <v>0.83998565175130613</v>
      </c>
      <c r="AA73" s="77">
        <f t="shared" si="63"/>
        <v>0.87816329737692267</v>
      </c>
      <c r="AB73" s="77">
        <f t="shared" si="63"/>
        <v>0.89028748388113244</v>
      </c>
      <c r="AC73" s="77">
        <f t="shared" si="63"/>
        <v>0.89208049034653591</v>
      </c>
      <c r="AD73" s="77">
        <f t="shared" si="63"/>
        <v>0.88000634796090293</v>
      </c>
      <c r="AE73" s="77">
        <f t="shared" si="63"/>
        <v>0.68931146441526314</v>
      </c>
      <c r="AF73" s="77">
        <f t="shared" si="63"/>
        <v>0.52694720337104806</v>
      </c>
    </row>
    <row r="74" spans="2:32" ht="12.75" customHeight="1" outlineLevel="1">
      <c r="B74" s="21" t="s">
        <v>230</v>
      </c>
      <c r="C74" s="3">
        <f t="shared" ref="C74:P74" si="64">+C8</f>
        <v>0</v>
      </c>
      <c r="D74" s="3">
        <f t="shared" si="64"/>
        <v>0</v>
      </c>
      <c r="E74" s="3">
        <f t="shared" si="64"/>
        <v>0</v>
      </c>
      <c r="F74" s="3">
        <f t="shared" si="64"/>
        <v>21.681000000000001</v>
      </c>
      <c r="G74" s="3">
        <f t="shared" si="64"/>
        <v>48.383000000000003</v>
      </c>
      <c r="H74" s="3">
        <f t="shared" si="64"/>
        <v>50.110999999999997</v>
      </c>
      <c r="I74" s="3">
        <f t="shared" si="64"/>
        <v>273.44599999999997</v>
      </c>
      <c r="J74" s="3">
        <f t="shared" si="64"/>
        <v>270.13300000000004</v>
      </c>
      <c r="K74" s="3">
        <f t="shared" si="64"/>
        <v>352.30700000000002</v>
      </c>
      <c r="L74" s="3">
        <f t="shared" si="64"/>
        <v>388.05599999999998</v>
      </c>
      <c r="M74" s="3">
        <f t="shared" si="64"/>
        <v>342.36599999999999</v>
      </c>
      <c r="N74" s="556">
        <f t="shared" si="64"/>
        <v>535.08600000000001</v>
      </c>
      <c r="O74" s="556">
        <f t="shared" si="64"/>
        <v>563.66200000000003</v>
      </c>
      <c r="P74" s="556">
        <f t="shared" si="64"/>
        <v>585</v>
      </c>
      <c r="Q74" s="556">
        <f>+Q8</f>
        <v>1519</v>
      </c>
      <c r="R74" s="556">
        <f>+R8</f>
        <v>1592</v>
      </c>
      <c r="S74" s="556">
        <f>+S8</f>
        <v>1661</v>
      </c>
      <c r="T74" s="3">
        <f t="shared" ref="T74:AF74" si="65">+T75*T47</f>
        <v>1338.5650824828708</v>
      </c>
      <c r="U74" s="3">
        <f t="shared" si="65"/>
        <v>1357.7759709777076</v>
      </c>
      <c r="V74" s="3">
        <f t="shared" si="65"/>
        <v>1444.1522767305842</v>
      </c>
      <c r="W74" s="3">
        <f t="shared" si="65"/>
        <v>1365.8363233768914</v>
      </c>
      <c r="X74" s="3">
        <f t="shared" si="65"/>
        <v>1411.1947795836134</v>
      </c>
      <c r="Y74" s="3">
        <f t="shared" si="65"/>
        <v>1465.1616960219642</v>
      </c>
      <c r="Z74" s="3">
        <f t="shared" si="65"/>
        <v>1521.2813615520099</v>
      </c>
      <c r="AA74" s="3">
        <f t="shared" si="65"/>
        <v>1178.9935345931763</v>
      </c>
      <c r="AB74" s="3">
        <f t="shared" si="65"/>
        <v>1075.3899694813545</v>
      </c>
      <c r="AC74" s="3">
        <f t="shared" si="65"/>
        <v>1066.095432739517</v>
      </c>
      <c r="AD74" s="3">
        <f t="shared" si="65"/>
        <v>1062.4484929337661</v>
      </c>
      <c r="AE74" s="3">
        <f t="shared" si="65"/>
        <v>893.64738147347157</v>
      </c>
      <c r="AF74" s="3">
        <f t="shared" si="65"/>
        <v>857.35666354582872</v>
      </c>
    </row>
    <row r="75" spans="2:32" ht="12.75" customHeight="1" outlineLevel="1">
      <c r="B75" s="22" t="s">
        <v>223</v>
      </c>
      <c r="C75" s="77">
        <f>+C74/C47</f>
        <v>0</v>
      </c>
      <c r="D75" s="77">
        <f t="shared" ref="D75:L75" si="66">+D74/D47</f>
        <v>0</v>
      </c>
      <c r="E75" s="77">
        <f t="shared" si="66"/>
        <v>0</v>
      </c>
      <c r="F75" s="77">
        <f t="shared" si="66"/>
        <v>1.6367688291452204E-2</v>
      </c>
      <c r="G75" s="77">
        <f t="shared" si="66"/>
        <v>2.3852790376651549E-2</v>
      </c>
      <c r="H75" s="77">
        <f t="shared" si="66"/>
        <v>1.6560282223085119E-2</v>
      </c>
      <c r="I75" s="77">
        <f t="shared" si="66"/>
        <v>6.4653676316901984E-2</v>
      </c>
      <c r="J75" s="77">
        <f t="shared" si="66"/>
        <v>5.062699714192008E-2</v>
      </c>
      <c r="K75" s="77">
        <f t="shared" si="66"/>
        <v>5.0247861227948901E-2</v>
      </c>
      <c r="L75" s="77">
        <f t="shared" si="66"/>
        <v>4.88156368640731E-2</v>
      </c>
      <c r="M75" s="77">
        <f t="shared" ref="M75:S75" si="67">+M74/M47</f>
        <v>4.0828894558806776E-2</v>
      </c>
      <c r="N75" s="557">
        <f t="shared" si="67"/>
        <v>5.5149194791413399E-2</v>
      </c>
      <c r="O75" s="557">
        <f t="shared" si="67"/>
        <v>5.0319375944109859E-2</v>
      </c>
      <c r="P75" s="557">
        <f t="shared" si="67"/>
        <v>2.3503412091504271E-2</v>
      </c>
      <c r="Q75" s="557">
        <f t="shared" si="67"/>
        <v>4.6539416036030519E-2</v>
      </c>
      <c r="R75" s="557">
        <f t="shared" si="67"/>
        <v>5.238565317538664E-2</v>
      </c>
      <c r="S75" s="557">
        <f t="shared" si="67"/>
        <v>6.3622783161604163E-2</v>
      </c>
      <c r="T75" s="403">
        <f>S75</f>
        <v>6.3622783161604163E-2</v>
      </c>
      <c r="U75" s="403">
        <f>T75</f>
        <v>6.3622783161604163E-2</v>
      </c>
      <c r="V75" s="403">
        <f>U75</f>
        <v>6.3622783161604163E-2</v>
      </c>
      <c r="W75" s="403">
        <f t="shared" ref="W75:AF75" si="68">V75</f>
        <v>6.3622783161604163E-2</v>
      </c>
      <c r="X75" s="403">
        <f t="shared" si="68"/>
        <v>6.3622783161604163E-2</v>
      </c>
      <c r="Y75" s="403">
        <f t="shared" si="68"/>
        <v>6.3622783161604163E-2</v>
      </c>
      <c r="Z75" s="403">
        <f t="shared" si="68"/>
        <v>6.3622783161604163E-2</v>
      </c>
      <c r="AA75" s="403">
        <f t="shared" si="68"/>
        <v>6.3622783161604163E-2</v>
      </c>
      <c r="AB75" s="403">
        <f t="shared" si="68"/>
        <v>6.3622783161604163E-2</v>
      </c>
      <c r="AC75" s="403">
        <f t="shared" si="68"/>
        <v>6.3622783161604163E-2</v>
      </c>
      <c r="AD75" s="403">
        <f t="shared" si="68"/>
        <v>6.3622783161604163E-2</v>
      </c>
      <c r="AE75" s="403">
        <f t="shared" si="68"/>
        <v>6.3622783161604163E-2</v>
      </c>
      <c r="AF75" s="403">
        <f t="shared" si="68"/>
        <v>6.3622783161604163E-2</v>
      </c>
    </row>
    <row r="76" spans="2:32" ht="12.75" customHeight="1" outlineLevel="1">
      <c r="B76" s="22" t="s">
        <v>231</v>
      </c>
      <c r="C76" s="77">
        <f t="shared" ref="C76:V76" si="69">+C74/C10</f>
        <v>0</v>
      </c>
      <c r="D76" s="77">
        <f t="shared" si="69"/>
        <v>0</v>
      </c>
      <c r="E76" s="77">
        <f t="shared" si="69"/>
        <v>0</v>
      </c>
      <c r="F76" s="77">
        <f t="shared" si="69"/>
        <v>1.1721398242087611E-2</v>
      </c>
      <c r="G76" s="77">
        <f t="shared" si="69"/>
        <v>1.5646748213574251E-2</v>
      </c>
      <c r="H76" s="77">
        <f t="shared" si="69"/>
        <v>2.0628551057423703E-2</v>
      </c>
      <c r="I76" s="77">
        <f t="shared" si="69"/>
        <v>9.0297104770609954E-2</v>
      </c>
      <c r="J76" s="77">
        <f t="shared" si="69"/>
        <v>6.3138672141600349E-2</v>
      </c>
      <c r="K76" s="77">
        <f t="shared" si="69"/>
        <v>7.3205767078547437E-2</v>
      </c>
      <c r="L76" s="77">
        <f t="shared" si="69"/>
        <v>6.7983606402290647E-2</v>
      </c>
      <c r="M76" s="77">
        <f t="shared" si="69"/>
        <v>2.4597405592514002E-2</v>
      </c>
      <c r="N76" s="77">
        <f t="shared" si="69"/>
        <v>8.6916153361725715E-2</v>
      </c>
      <c r="O76" s="77">
        <f t="shared" si="69"/>
        <v>7.7492595638042699E-2</v>
      </c>
      <c r="P76" s="77">
        <f t="shared" si="69"/>
        <v>3.3024726205261375E-2</v>
      </c>
      <c r="Q76" s="77">
        <f>+Q74/Q10</f>
        <v>6.1341517586722127E-2</v>
      </c>
      <c r="R76" s="694">
        <f>+R74/R10</f>
        <v>7.786744925409636E-2</v>
      </c>
      <c r="S76" s="77">
        <f t="shared" si="69"/>
        <v>5.2194953335637749E-2</v>
      </c>
      <c r="T76" s="77">
        <f t="shared" si="69"/>
        <v>4.0865881631938571E-2</v>
      </c>
      <c r="U76" s="77">
        <f t="shared" si="69"/>
        <v>3.817658994301909E-2</v>
      </c>
      <c r="V76" s="77">
        <f t="shared" si="69"/>
        <v>4.3013584664237034E-2</v>
      </c>
      <c r="W76" s="77">
        <f t="shared" ref="W76:AF76" si="70">+W74/W10</f>
        <v>4.0148011605978591E-2</v>
      </c>
      <c r="X76" s="77">
        <f t="shared" si="70"/>
        <v>4.3167976498828087E-2</v>
      </c>
      <c r="Y76" s="77">
        <f t="shared" si="70"/>
        <v>4.2444650718827595E-2</v>
      </c>
      <c r="Z76" s="77">
        <f t="shared" si="70"/>
        <v>3.7267931096321559E-2</v>
      </c>
      <c r="AA76" s="77">
        <f t="shared" si="70"/>
        <v>2.6547845282540432E-2</v>
      </c>
      <c r="AB76" s="77">
        <f t="shared" si="70"/>
        <v>2.3261346568461121E-2</v>
      </c>
      <c r="AC76" s="77">
        <f t="shared" si="70"/>
        <v>2.1590994337972728E-2</v>
      </c>
      <c r="AD76" s="77">
        <f t="shared" si="70"/>
        <v>1.982435367687483E-2</v>
      </c>
      <c r="AE76" s="77">
        <f t="shared" si="70"/>
        <v>1.5686171189801926E-2</v>
      </c>
      <c r="AF76" s="77">
        <f t="shared" si="70"/>
        <v>1.3639565032705027E-2</v>
      </c>
    </row>
    <row r="77" spans="2:32" ht="12.75" customHeight="1" outlineLevel="1">
      <c r="B77" s="21" t="s">
        <v>232</v>
      </c>
      <c r="C77" s="3">
        <f t="shared" ref="C77:P77" si="71">+C13</f>
        <v>0</v>
      </c>
      <c r="D77" s="3">
        <f t="shared" si="71"/>
        <v>0</v>
      </c>
      <c r="E77" s="3">
        <f t="shared" si="71"/>
        <v>0</v>
      </c>
      <c r="F77" s="3">
        <f t="shared" si="71"/>
        <v>11.099</v>
      </c>
      <c r="G77" s="3">
        <f t="shared" si="71"/>
        <v>333.58199999999999</v>
      </c>
      <c r="H77" s="3">
        <f t="shared" si="71"/>
        <v>317.74299999999999</v>
      </c>
      <c r="I77" s="3">
        <f t="shared" si="71"/>
        <v>290.74200000000002</v>
      </c>
      <c r="J77" s="3">
        <f t="shared" si="71"/>
        <v>257.20800000000003</v>
      </c>
      <c r="K77" s="3">
        <f t="shared" si="71"/>
        <v>226.25</v>
      </c>
      <c r="L77" s="3">
        <f t="shared" si="71"/>
        <v>203.79</v>
      </c>
      <c r="M77" s="3">
        <f t="shared" si="71"/>
        <v>174.584</v>
      </c>
      <c r="N77" s="556">
        <f t="shared" si="71"/>
        <v>175.79</v>
      </c>
      <c r="O77" s="556">
        <f t="shared" si="71"/>
        <v>198.76599999999999</v>
      </c>
      <c r="P77" s="556">
        <f t="shared" si="71"/>
        <v>466</v>
      </c>
      <c r="Q77" s="556">
        <f>+Q13</f>
        <v>400</v>
      </c>
      <c r="R77" s="556">
        <f>+R13</f>
        <v>423</v>
      </c>
      <c r="S77" s="556">
        <f>+S13</f>
        <v>0</v>
      </c>
      <c r="T77" s="3">
        <f t="shared" ref="T77:AF77" si="72">+T79*S77</f>
        <v>0</v>
      </c>
      <c r="U77" s="3">
        <f t="shared" si="72"/>
        <v>0</v>
      </c>
      <c r="V77" s="3">
        <f t="shared" si="72"/>
        <v>0</v>
      </c>
      <c r="W77" s="3">
        <f t="shared" si="72"/>
        <v>0</v>
      </c>
      <c r="X77" s="3">
        <f t="shared" si="72"/>
        <v>0</v>
      </c>
      <c r="Y77" s="3">
        <f t="shared" si="72"/>
        <v>0</v>
      </c>
      <c r="Z77" s="3">
        <f t="shared" si="72"/>
        <v>0</v>
      </c>
      <c r="AA77" s="3">
        <f t="shared" si="72"/>
        <v>0</v>
      </c>
      <c r="AB77" s="3">
        <f t="shared" si="72"/>
        <v>0</v>
      </c>
      <c r="AC77" s="3">
        <f t="shared" si="72"/>
        <v>0</v>
      </c>
      <c r="AD77" s="3">
        <f t="shared" si="72"/>
        <v>0</v>
      </c>
      <c r="AE77" s="3">
        <f t="shared" si="72"/>
        <v>0</v>
      </c>
      <c r="AF77" s="3">
        <f t="shared" si="72"/>
        <v>0</v>
      </c>
    </row>
    <row r="78" spans="2:32" ht="12.75" customHeight="1" outlineLevel="1">
      <c r="B78" s="22" t="s">
        <v>223</v>
      </c>
      <c r="C78" s="77">
        <f>+C77/C47</f>
        <v>0</v>
      </c>
      <c r="D78" s="77">
        <f t="shared" ref="D78:AF78" si="73">+D77/D47</f>
        <v>0</v>
      </c>
      <c r="E78" s="77">
        <f t="shared" si="73"/>
        <v>0</v>
      </c>
      <c r="F78" s="77">
        <f t="shared" si="73"/>
        <v>8.3789941583334721E-3</v>
      </c>
      <c r="G78" s="77">
        <f t="shared" si="73"/>
        <v>0.1644557286531256</v>
      </c>
      <c r="H78" s="77">
        <f t="shared" si="73"/>
        <v>0.10500516362494731</v>
      </c>
      <c r="I78" s="77">
        <f t="shared" si="73"/>
        <v>6.8743149139971774E-2</v>
      </c>
      <c r="J78" s="77">
        <f t="shared" si="73"/>
        <v>4.8204657264676959E-2</v>
      </c>
      <c r="K78" s="77">
        <f t="shared" si="73"/>
        <v>3.2268954641331102E-2</v>
      </c>
      <c r="L78" s="77">
        <f t="shared" si="73"/>
        <v>2.5635832551305627E-2</v>
      </c>
      <c r="M78" s="77">
        <f t="shared" si="73"/>
        <v>2.0820033904227413E-2</v>
      </c>
      <c r="N78" s="77">
        <f t="shared" si="73"/>
        <v>1.8117979076975588E-2</v>
      </c>
      <c r="O78" s="77">
        <f t="shared" si="73"/>
        <v>1.7744288383653571E-2</v>
      </c>
      <c r="P78" s="77">
        <f t="shared" si="73"/>
        <v>1.8722376127591436E-2</v>
      </c>
      <c r="Q78" s="77">
        <f>+Q77/Q47</f>
        <v>1.2255277428842795E-2</v>
      </c>
      <c r="R78" s="694">
        <f>+R77/R47</f>
        <v>1.3919052319842053E-2</v>
      </c>
      <c r="S78" s="77">
        <f t="shared" si="73"/>
        <v>0</v>
      </c>
      <c r="T78" s="77">
        <f t="shared" si="73"/>
        <v>0</v>
      </c>
      <c r="U78" s="77">
        <f t="shared" si="73"/>
        <v>0</v>
      </c>
      <c r="V78" s="77">
        <f t="shared" si="73"/>
        <v>0</v>
      </c>
      <c r="W78" s="77">
        <f t="shared" si="73"/>
        <v>0</v>
      </c>
      <c r="X78" s="77">
        <f t="shared" si="73"/>
        <v>0</v>
      </c>
      <c r="Y78" s="77">
        <f t="shared" si="73"/>
        <v>0</v>
      </c>
      <c r="Z78" s="77">
        <f t="shared" si="73"/>
        <v>0</v>
      </c>
      <c r="AA78" s="77">
        <f t="shared" si="73"/>
        <v>0</v>
      </c>
      <c r="AB78" s="77">
        <f t="shared" si="73"/>
        <v>0</v>
      </c>
      <c r="AC78" s="77">
        <f t="shared" si="73"/>
        <v>0</v>
      </c>
      <c r="AD78" s="77">
        <f t="shared" si="73"/>
        <v>0</v>
      </c>
      <c r="AE78" s="77">
        <f t="shared" si="73"/>
        <v>0</v>
      </c>
      <c r="AF78" s="77">
        <f t="shared" si="73"/>
        <v>0</v>
      </c>
    </row>
    <row r="79" spans="2:32" ht="12.75" customHeight="1" outlineLevel="1">
      <c r="B79" s="22" t="s">
        <v>233</v>
      </c>
      <c r="C79" s="77">
        <f>+C77/C19</f>
        <v>0</v>
      </c>
      <c r="D79" s="77">
        <f>+D77/D19</f>
        <v>0</v>
      </c>
      <c r="E79" s="77">
        <f>+E77/E19</f>
        <v>0</v>
      </c>
      <c r="F79" s="77">
        <f>+F77/F19</f>
        <v>5.1480475314279505E-3</v>
      </c>
      <c r="G79" s="77">
        <f>+G77/G19</f>
        <v>8.8569838537180631E-2</v>
      </c>
      <c r="H79" s="77">
        <f t="shared" ref="H79:S79" si="74">H77/G77</f>
        <v>0.95251842125774178</v>
      </c>
      <c r="I79" s="77">
        <f t="shared" si="74"/>
        <v>0.91502251819867009</v>
      </c>
      <c r="J79" s="77">
        <f t="shared" si="74"/>
        <v>0.88466062694760306</v>
      </c>
      <c r="K79" s="77">
        <f t="shared" si="74"/>
        <v>0.87963826941619228</v>
      </c>
      <c r="L79" s="77">
        <f t="shared" si="74"/>
        <v>0.90072928176795575</v>
      </c>
      <c r="M79" s="77">
        <f t="shared" si="74"/>
        <v>0.85668580401393601</v>
      </c>
      <c r="N79" s="557">
        <f t="shared" si="74"/>
        <v>1.0069078495165651</v>
      </c>
      <c r="O79" s="557">
        <f t="shared" si="74"/>
        <v>1.1307014050856135</v>
      </c>
      <c r="P79" s="557">
        <f t="shared" si="74"/>
        <v>2.3444653512170088</v>
      </c>
      <c r="Q79" s="557">
        <f t="shared" si="74"/>
        <v>0.85836909871244638</v>
      </c>
      <c r="R79" s="557">
        <f t="shared" si="74"/>
        <v>1.0575000000000001</v>
      </c>
      <c r="S79" s="557">
        <f t="shared" si="74"/>
        <v>0</v>
      </c>
      <c r="T79" s="77">
        <f t="shared" ref="T79:AF79" si="75">S79</f>
        <v>0</v>
      </c>
      <c r="U79" s="77">
        <f t="shared" si="75"/>
        <v>0</v>
      </c>
      <c r="V79" s="77">
        <f t="shared" si="75"/>
        <v>0</v>
      </c>
      <c r="W79" s="77">
        <f t="shared" si="75"/>
        <v>0</v>
      </c>
      <c r="X79" s="77">
        <f t="shared" si="75"/>
        <v>0</v>
      </c>
      <c r="Y79" s="77">
        <f t="shared" si="75"/>
        <v>0</v>
      </c>
      <c r="Z79" s="77">
        <f t="shared" si="75"/>
        <v>0</v>
      </c>
      <c r="AA79" s="77">
        <f t="shared" si="75"/>
        <v>0</v>
      </c>
      <c r="AB79" s="77">
        <f t="shared" si="75"/>
        <v>0</v>
      </c>
      <c r="AC79" s="77">
        <f t="shared" si="75"/>
        <v>0</v>
      </c>
      <c r="AD79" s="77">
        <f t="shared" si="75"/>
        <v>0</v>
      </c>
      <c r="AE79" s="77">
        <f t="shared" si="75"/>
        <v>0</v>
      </c>
      <c r="AF79" s="77">
        <f t="shared" si="75"/>
        <v>0</v>
      </c>
    </row>
    <row r="80" spans="2:32" ht="12.75" customHeight="1" outlineLevel="1">
      <c r="B80" s="21" t="s">
        <v>234</v>
      </c>
      <c r="C80" s="3">
        <f t="shared" ref="C80:P80" si="76">C18</f>
        <v>24.199000000000002</v>
      </c>
      <c r="D80" s="3">
        <f t="shared" si="76"/>
        <v>36.695999999999998</v>
      </c>
      <c r="E80" s="3">
        <f t="shared" si="76"/>
        <v>38.130000000000003</v>
      </c>
      <c r="F80" s="3">
        <f t="shared" si="76"/>
        <v>26.617999999999999</v>
      </c>
      <c r="G80" s="3">
        <f t="shared" si="76"/>
        <v>31.064999999999998</v>
      </c>
      <c r="H80" s="3">
        <f t="shared" si="76"/>
        <v>222.47900000000001</v>
      </c>
      <c r="I80" s="3">
        <f t="shared" si="76"/>
        <v>220.18299999999999</v>
      </c>
      <c r="J80" s="3">
        <f t="shared" si="76"/>
        <v>73.102999999999994</v>
      </c>
      <c r="K80" s="3">
        <f t="shared" si="76"/>
        <v>85.635000000000005</v>
      </c>
      <c r="L80" s="3">
        <f t="shared" si="76"/>
        <v>181.149</v>
      </c>
      <c r="M80" s="3">
        <f t="shared" si="76"/>
        <v>160.67400000000001</v>
      </c>
      <c r="N80" s="556">
        <f t="shared" si="76"/>
        <v>159.18700000000001</v>
      </c>
      <c r="O80" s="556">
        <f t="shared" si="76"/>
        <v>195.16300000000001</v>
      </c>
      <c r="P80" s="556">
        <f t="shared" si="76"/>
        <v>731</v>
      </c>
      <c r="Q80" s="556">
        <f>Q18</f>
        <v>1056</v>
      </c>
      <c r="R80" s="556">
        <f>R18</f>
        <v>2214</v>
      </c>
      <c r="S80" s="556">
        <f>S18</f>
        <v>2722</v>
      </c>
      <c r="T80" s="3">
        <f t="shared" ref="T80:AF80" si="77">T81*T47</f>
        <v>2193.6027420339401</v>
      </c>
      <c r="U80" s="3">
        <f t="shared" si="77"/>
        <v>341.4565420764842</v>
      </c>
      <c r="V80" s="3">
        <f t="shared" si="77"/>
        <v>363.17864889686086</v>
      </c>
      <c r="W80" s="3">
        <f t="shared" si="77"/>
        <v>343.48357754991463</v>
      </c>
      <c r="X80" s="3">
        <f t="shared" si="77"/>
        <v>354.89042370224587</v>
      </c>
      <c r="Y80" s="3">
        <f t="shared" si="77"/>
        <v>368.46214471326118</v>
      </c>
      <c r="Z80" s="3">
        <f t="shared" si="77"/>
        <v>382.57524388718434</v>
      </c>
      <c r="AA80" s="3">
        <f t="shared" si="77"/>
        <v>296.49593457073144</v>
      </c>
      <c r="AB80" s="3">
        <f t="shared" si="77"/>
        <v>270.44147798434415</v>
      </c>
      <c r="AC80" s="3">
        <f t="shared" si="77"/>
        <v>268.10406706832583</v>
      </c>
      <c r="AD80" s="3">
        <f t="shared" si="77"/>
        <v>267.18692647823565</v>
      </c>
      <c r="AE80" s="3">
        <f t="shared" si="77"/>
        <v>224.73644491875183</v>
      </c>
      <c r="AF80" s="3">
        <f t="shared" si="77"/>
        <v>215.60997389708322</v>
      </c>
    </row>
    <row r="81" spans="2:32" ht="12.75" customHeight="1" outlineLevel="1">
      <c r="B81" s="22" t="s">
        <v>223</v>
      </c>
      <c r="C81" s="77">
        <f>C80/C47</f>
        <v>0.10351671949659708</v>
      </c>
      <c r="D81" s="77">
        <f t="shared" ref="D81:L81" si="78">D80/D47</f>
        <v>7.8613509286831335E-2</v>
      </c>
      <c r="E81" s="77">
        <f t="shared" si="78"/>
        <v>4.393545532479743E-2</v>
      </c>
      <c r="F81" s="77">
        <f t="shared" si="78"/>
        <v>2.0094789305930293E-2</v>
      </c>
      <c r="G81" s="77">
        <f t="shared" si="78"/>
        <v>1.5315026621968052E-2</v>
      </c>
      <c r="H81" s="77">
        <f t="shared" si="78"/>
        <v>7.3523079338064581E-2</v>
      </c>
      <c r="I81" s="77">
        <f t="shared" si="78"/>
        <v>5.2060152324350809E-2</v>
      </c>
      <c r="J81" s="77">
        <f t="shared" si="78"/>
        <v>1.3700604413625077E-2</v>
      </c>
      <c r="K81" s="77">
        <f t="shared" si="78"/>
        <v>1.2213710190985147E-2</v>
      </c>
      <c r="L81" s="77">
        <f t="shared" si="78"/>
        <v>2.2787700234734105E-2</v>
      </c>
      <c r="M81" s="77">
        <f t="shared" ref="M81:S81" si="79">M80/M47</f>
        <v>1.9161195341656941E-2</v>
      </c>
      <c r="N81" s="557">
        <f t="shared" si="79"/>
        <v>1.640677362379267E-2</v>
      </c>
      <c r="O81" s="557">
        <f t="shared" si="79"/>
        <v>1.7422640460737663E-2</v>
      </c>
      <c r="P81" s="557">
        <f t="shared" si="79"/>
        <v>2.936922092117884E-2</v>
      </c>
      <c r="Q81" s="557">
        <f t="shared" si="79"/>
        <v>3.235393241214498E-2</v>
      </c>
      <c r="R81" s="557">
        <f t="shared" si="79"/>
        <v>7.2852912142152018E-2</v>
      </c>
      <c r="S81" s="557">
        <f t="shared" si="79"/>
        <v>0.10426322442256866</v>
      </c>
      <c r="T81" s="77">
        <f>S81</f>
        <v>0.10426322442256866</v>
      </c>
      <c r="U81" s="77">
        <v>1.6E-2</v>
      </c>
      <c r="V81" s="77">
        <v>1.6E-2</v>
      </c>
      <c r="W81" s="77">
        <v>1.6E-2</v>
      </c>
      <c r="X81" s="77">
        <v>1.6E-2</v>
      </c>
      <c r="Y81" s="77">
        <v>1.6E-2</v>
      </c>
      <c r="Z81" s="77">
        <v>1.6E-2</v>
      </c>
      <c r="AA81" s="77">
        <v>1.6E-2</v>
      </c>
      <c r="AB81" s="77">
        <v>1.6E-2</v>
      </c>
      <c r="AC81" s="77">
        <v>1.6E-2</v>
      </c>
      <c r="AD81" s="77">
        <v>1.6E-2</v>
      </c>
      <c r="AE81" s="77">
        <v>1.6E-2</v>
      </c>
      <c r="AF81" s="77">
        <v>1.6E-2</v>
      </c>
    </row>
    <row r="82" spans="2:32" ht="12.75" customHeight="1" outlineLevel="1">
      <c r="B82" s="22" t="s">
        <v>235</v>
      </c>
      <c r="C82" s="77">
        <f t="shared" ref="C82:AF82" si="80">C80/(C19-C10)</f>
        <v>0.27806312983327036</v>
      </c>
      <c r="D82" s="77">
        <f t="shared" si="80"/>
        <v>0.35141683345623087</v>
      </c>
      <c r="E82" s="77">
        <f t="shared" si="80"/>
        <v>0.13201811483810208</v>
      </c>
      <c r="F82" s="77">
        <f t="shared" si="80"/>
        <v>8.6910526367343671E-2</v>
      </c>
      <c r="G82" s="77">
        <f t="shared" si="80"/>
        <v>4.6083120212191506E-2</v>
      </c>
      <c r="H82" s="77">
        <f t="shared" si="80"/>
        <v>0.13428437778213698</v>
      </c>
      <c r="I82" s="77">
        <f t="shared" si="80"/>
        <v>7.8456783436857705E-2</v>
      </c>
      <c r="J82" s="77">
        <f t="shared" si="80"/>
        <v>2.7498633588409368E-2</v>
      </c>
      <c r="K82" s="77">
        <f t="shared" si="80"/>
        <v>1.7526603044084519E-2</v>
      </c>
      <c r="L82" s="77">
        <f t="shared" si="80"/>
        <v>3.0783842701257599E-2</v>
      </c>
      <c r="M82" s="77">
        <f t="shared" si="80"/>
        <v>4.7475600181896158E-2</v>
      </c>
      <c r="N82" s="77">
        <f t="shared" si="80"/>
        <v>1.055372393565919E-2</v>
      </c>
      <c r="O82" s="77">
        <f t="shared" si="80"/>
        <v>1.2820245007696233E-2</v>
      </c>
      <c r="P82" s="77">
        <f t="shared" si="80"/>
        <v>4.3126843657817111E-2</v>
      </c>
      <c r="Q82" s="77">
        <f>Q80/(Q19-Q10)</f>
        <v>3.9001329590781501E-2</v>
      </c>
      <c r="R82" s="694">
        <f>R80/(R19-R10)</f>
        <v>6.06044016204971E-2</v>
      </c>
      <c r="S82" s="77">
        <f t="shared" si="80"/>
        <v>7.0774830993239723E-2</v>
      </c>
      <c r="T82" s="77">
        <f t="shared" si="80"/>
        <v>5.915974972250948E-2</v>
      </c>
      <c r="U82" s="77">
        <f t="shared" si="80"/>
        <v>9.9277920428250382E-3</v>
      </c>
      <c r="V82" s="77">
        <f t="shared" si="80"/>
        <v>1.0799811459863288E-2</v>
      </c>
      <c r="W82" s="77">
        <f t="shared" si="80"/>
        <v>1.0474937284935539E-2</v>
      </c>
      <c r="X82" s="77">
        <f t="shared" si="80"/>
        <v>1.1087578642155434E-2</v>
      </c>
      <c r="Y82" s="77">
        <f t="shared" si="80"/>
        <v>1.1789835198998988E-2</v>
      </c>
      <c r="Z82" s="77">
        <f t="shared" si="80"/>
        <v>1.2534358814501944E-2</v>
      </c>
      <c r="AA82" s="77">
        <f t="shared" si="80"/>
        <v>1.0062397191091931E-2</v>
      </c>
      <c r="AB82" s="77">
        <f t="shared" si="80"/>
        <v>9.5266761022563644E-3</v>
      </c>
      <c r="AC82" s="77">
        <f t="shared" si="80"/>
        <v>9.8163704801350962E-3</v>
      </c>
      <c r="AD82" s="77">
        <f t="shared" si="80"/>
        <v>1.0191462818785729E-2</v>
      </c>
      <c r="AE82" s="77">
        <f t="shared" si="80"/>
        <v>9.0149040037105048E-3</v>
      </c>
      <c r="AF82" s="77">
        <f t="shared" si="80"/>
        <v>9.1259228044160597E-3</v>
      </c>
    </row>
    <row r="83" spans="2:32" ht="12.75" customHeight="1" outlineLevel="1">
      <c r="B83" s="21" t="s">
        <v>236</v>
      </c>
      <c r="C83" s="3">
        <f t="shared" ref="C83:P83" si="81">C23</f>
        <v>30.626000000000001</v>
      </c>
      <c r="D83" s="3">
        <f t="shared" si="81"/>
        <v>28.573999999999998</v>
      </c>
      <c r="E83" s="3">
        <f t="shared" si="81"/>
        <v>47.631</v>
      </c>
      <c r="F83" s="3">
        <f t="shared" si="81"/>
        <v>53.015999999999998</v>
      </c>
      <c r="G83" s="3">
        <f t="shared" si="81"/>
        <v>70.441000000000003</v>
      </c>
      <c r="H83" s="3">
        <f t="shared" si="81"/>
        <v>75.659000000000006</v>
      </c>
      <c r="I83" s="3">
        <f t="shared" si="81"/>
        <v>90.552999999999997</v>
      </c>
      <c r="J83" s="3">
        <f t="shared" si="81"/>
        <v>103.84</v>
      </c>
      <c r="K83" s="3">
        <f t="shared" si="81"/>
        <v>132.48099999999999</v>
      </c>
      <c r="L83" s="3">
        <f t="shared" si="81"/>
        <v>147.63200000000001</v>
      </c>
      <c r="M83" s="3">
        <f t="shared" si="81"/>
        <v>173.316</v>
      </c>
      <c r="N83" s="556">
        <f t="shared" si="81"/>
        <v>236.71600000000001</v>
      </c>
      <c r="O83" s="556">
        <f t="shared" si="81"/>
        <v>243.54</v>
      </c>
      <c r="P83" s="556">
        <f t="shared" si="81"/>
        <v>316</v>
      </c>
      <c r="Q83" s="556">
        <f>Q23</f>
        <v>3172</v>
      </c>
      <c r="R83" s="556">
        <f>R23</f>
        <v>2790</v>
      </c>
      <c r="S83" s="556">
        <f>S23</f>
        <v>0</v>
      </c>
      <c r="T83" s="3">
        <f t="shared" ref="T83:AF83" si="82">T84*T47</f>
        <v>0</v>
      </c>
      <c r="U83" s="3">
        <f t="shared" si="82"/>
        <v>0</v>
      </c>
      <c r="V83" s="3">
        <f t="shared" si="82"/>
        <v>0</v>
      </c>
      <c r="W83" s="3">
        <f t="shared" si="82"/>
        <v>0</v>
      </c>
      <c r="X83" s="3">
        <f t="shared" si="82"/>
        <v>0</v>
      </c>
      <c r="Y83" s="3">
        <f t="shared" si="82"/>
        <v>0</v>
      </c>
      <c r="Z83" s="3">
        <f t="shared" si="82"/>
        <v>0</v>
      </c>
      <c r="AA83" s="3">
        <f t="shared" si="82"/>
        <v>0</v>
      </c>
      <c r="AB83" s="3">
        <f t="shared" si="82"/>
        <v>0</v>
      </c>
      <c r="AC83" s="3">
        <f t="shared" si="82"/>
        <v>0</v>
      </c>
      <c r="AD83" s="3">
        <f t="shared" si="82"/>
        <v>0</v>
      </c>
      <c r="AE83" s="3">
        <f t="shared" si="82"/>
        <v>0</v>
      </c>
      <c r="AF83" s="3">
        <f t="shared" si="82"/>
        <v>0</v>
      </c>
    </row>
    <row r="84" spans="2:32" ht="12.75" customHeight="1" outlineLevel="1">
      <c r="B84" s="22" t="s">
        <v>223</v>
      </c>
      <c r="C84" s="77">
        <f>C83/C47</f>
        <v>0.13100967194110424</v>
      </c>
      <c r="D84" s="77">
        <f t="shared" ref="D84:L84" si="83">D83/D47</f>
        <v>6.1213822061312359E-2</v>
      </c>
      <c r="E84" s="77">
        <f t="shared" si="83"/>
        <v>5.4883023146483773E-2</v>
      </c>
      <c r="F84" s="77">
        <f t="shared" si="83"/>
        <v>4.002349349474793E-2</v>
      </c>
      <c r="G84" s="77">
        <f t="shared" si="83"/>
        <v>3.4727371327154408E-2</v>
      </c>
      <c r="H84" s="77">
        <f t="shared" si="83"/>
        <v>2.5003180792967556E-2</v>
      </c>
      <c r="I84" s="77">
        <f t="shared" si="83"/>
        <v>2.1410385785582624E-2</v>
      </c>
      <c r="J84" s="77">
        <f t="shared" si="83"/>
        <v>1.9461181652063911E-2</v>
      </c>
      <c r="K84" s="77">
        <f t="shared" si="83"/>
        <v>1.8895130960610768E-2</v>
      </c>
      <c r="L84" s="77">
        <f t="shared" si="83"/>
        <v>1.8571417788970767E-2</v>
      </c>
      <c r="M84" s="77">
        <f t="shared" ref="M84:S84" si="84">M83/M47</f>
        <v>2.066881842634536E-2</v>
      </c>
      <c r="N84" s="557">
        <f t="shared" si="84"/>
        <v>2.4397380597220283E-2</v>
      </c>
      <c r="O84" s="557">
        <f t="shared" si="84"/>
        <v>2.1741364181776513E-2</v>
      </c>
      <c r="P84" s="557">
        <f t="shared" si="84"/>
        <v>1.2695860206692906E-2</v>
      </c>
      <c r="Q84" s="557">
        <f t="shared" si="84"/>
        <v>9.7184350010723369E-2</v>
      </c>
      <c r="R84" s="557">
        <f t="shared" si="84"/>
        <v>9.1806515301085884E-2</v>
      </c>
      <c r="S84" s="557">
        <f t="shared" si="84"/>
        <v>0</v>
      </c>
      <c r="T84" s="77">
        <f t="shared" ref="T84:AF84" si="85">S84</f>
        <v>0</v>
      </c>
      <c r="U84" s="77">
        <f t="shared" si="85"/>
        <v>0</v>
      </c>
      <c r="V84" s="77">
        <f t="shared" si="85"/>
        <v>0</v>
      </c>
      <c r="W84" s="77">
        <f t="shared" si="85"/>
        <v>0</v>
      </c>
      <c r="X84" s="77">
        <f t="shared" si="85"/>
        <v>0</v>
      </c>
      <c r="Y84" s="77">
        <f t="shared" si="85"/>
        <v>0</v>
      </c>
      <c r="Z84" s="77">
        <f t="shared" si="85"/>
        <v>0</v>
      </c>
      <c r="AA84" s="77">
        <f t="shared" si="85"/>
        <v>0</v>
      </c>
      <c r="AB84" s="77">
        <f t="shared" si="85"/>
        <v>0</v>
      </c>
      <c r="AC84" s="77">
        <f t="shared" si="85"/>
        <v>0</v>
      </c>
      <c r="AD84" s="77">
        <f t="shared" si="85"/>
        <v>0</v>
      </c>
      <c r="AE84" s="77">
        <f t="shared" si="85"/>
        <v>0</v>
      </c>
      <c r="AF84" s="77">
        <f t="shared" si="85"/>
        <v>0</v>
      </c>
    </row>
    <row r="85" spans="2:32" ht="12.75" customHeight="1" outlineLevel="1">
      <c r="B85" s="22" t="s">
        <v>229</v>
      </c>
      <c r="C85" s="77">
        <f t="shared" ref="C85:AF85" si="86">C23/C27</f>
        <v>0.3822659360684999</v>
      </c>
      <c r="D85" s="77">
        <f t="shared" si="86"/>
        <v>0.2724135301071578</v>
      </c>
      <c r="E85" s="77">
        <f t="shared" si="86"/>
        <v>0.25622528846929721</v>
      </c>
      <c r="F85" s="77">
        <f t="shared" si="86"/>
        <v>0.20917487660434084</v>
      </c>
      <c r="G85" s="77">
        <f t="shared" si="86"/>
        <v>0.15143293856132151</v>
      </c>
      <c r="H85" s="77">
        <f t="shared" si="86"/>
        <v>9.899434235799634E-2</v>
      </c>
      <c r="I85" s="77">
        <f t="shared" si="86"/>
        <v>0.12298801398933824</v>
      </c>
      <c r="J85" s="77">
        <f t="shared" si="86"/>
        <v>8.5045602264388287E-2</v>
      </c>
      <c r="K85" s="77">
        <f t="shared" si="86"/>
        <v>7.0783717516967826E-2</v>
      </c>
      <c r="L85" s="77">
        <f t="shared" si="86"/>
        <v>5.9892492748331617E-2</v>
      </c>
      <c r="M85" s="77">
        <f t="shared" si="86"/>
        <v>6.8918677106239487E-2</v>
      </c>
      <c r="N85" s="77">
        <f t="shared" si="86"/>
        <v>5.5436742685045982E-2</v>
      </c>
      <c r="O85" s="77">
        <f t="shared" si="86"/>
        <v>3.8501785098572883E-2</v>
      </c>
      <c r="P85" s="77">
        <f t="shared" si="86"/>
        <v>5.4851588265926052E-2</v>
      </c>
      <c r="Q85" s="77">
        <f>Q23/Q27</f>
        <v>0.32069558184207864</v>
      </c>
      <c r="R85" s="694">
        <f>R23/R27</f>
        <v>0.3026358607224211</v>
      </c>
      <c r="S85" s="77">
        <f t="shared" si="86"/>
        <v>0</v>
      </c>
      <c r="T85" s="77">
        <f t="shared" si="86"/>
        <v>0</v>
      </c>
      <c r="U85" s="77">
        <f t="shared" si="86"/>
        <v>0</v>
      </c>
      <c r="V85" s="77">
        <f t="shared" si="86"/>
        <v>0</v>
      </c>
      <c r="W85" s="77">
        <f t="shared" si="86"/>
        <v>0</v>
      </c>
      <c r="X85" s="77">
        <f t="shared" si="86"/>
        <v>0</v>
      </c>
      <c r="Y85" s="77">
        <f t="shared" si="86"/>
        <v>0</v>
      </c>
      <c r="Z85" s="77">
        <f t="shared" si="86"/>
        <v>0</v>
      </c>
      <c r="AA85" s="77">
        <f t="shared" si="86"/>
        <v>0</v>
      </c>
      <c r="AB85" s="77">
        <f t="shared" si="86"/>
        <v>0</v>
      </c>
      <c r="AC85" s="77">
        <f t="shared" si="86"/>
        <v>0</v>
      </c>
      <c r="AD85" s="77">
        <f t="shared" si="86"/>
        <v>0</v>
      </c>
      <c r="AE85" s="77">
        <f t="shared" si="86"/>
        <v>0</v>
      </c>
      <c r="AF85" s="77">
        <f t="shared" si="86"/>
        <v>0</v>
      </c>
    </row>
    <row r="87" spans="2:32" ht="12.75" customHeight="1">
      <c r="B87" s="9" t="s">
        <v>237</v>
      </c>
    </row>
    <row r="88" spans="2:32" ht="12.75" customHeight="1" outlineLevel="1">
      <c r="B88" s="9"/>
    </row>
    <row r="89" spans="2:32" ht="12.75" customHeight="1" outlineLevel="1">
      <c r="B89" s="21" t="s">
        <v>238</v>
      </c>
      <c r="C89" s="3">
        <f t="shared" ref="C89:AF89" si="87">IF(ISERROR(C10/C27),"NM",(C10/C27))</f>
        <v>8.8340676760238157</v>
      </c>
      <c r="D89" s="3">
        <f t="shared" si="87"/>
        <v>11.285512717843114</v>
      </c>
      <c r="E89" s="3">
        <f t="shared" si="87"/>
        <v>6.8097474380698779</v>
      </c>
      <c r="F89" s="3">
        <f t="shared" si="87"/>
        <v>7.2979763506448929</v>
      </c>
      <c r="G89" s="3">
        <f t="shared" si="87"/>
        <v>6.6475794506441819</v>
      </c>
      <c r="H89" s="3">
        <f t="shared" si="87"/>
        <v>3.178440772705148</v>
      </c>
      <c r="I89" s="3">
        <f t="shared" si="87"/>
        <v>4.1129903908186485</v>
      </c>
      <c r="J89" s="3">
        <f t="shared" si="87"/>
        <v>3.504042614529824</v>
      </c>
      <c r="K89" s="3">
        <f t="shared" si="87"/>
        <v>2.5713177437219192</v>
      </c>
      <c r="L89" s="3">
        <f t="shared" si="87"/>
        <v>2.31569889855778</v>
      </c>
      <c r="M89" s="3">
        <f t="shared" si="87"/>
        <v>5.5347702989116385</v>
      </c>
      <c r="N89" s="3">
        <f t="shared" si="87"/>
        <v>1.4417606943293007</v>
      </c>
      <c r="O89" s="3">
        <f t="shared" si="87"/>
        <v>1.1499239339168097</v>
      </c>
      <c r="P89" s="3">
        <f t="shared" si="87"/>
        <v>3.0748134004513106</v>
      </c>
      <c r="Q89" s="3">
        <f t="shared" si="87"/>
        <v>2.5035891214235164</v>
      </c>
      <c r="R89" s="3">
        <f t="shared" si="87"/>
        <v>2.2177025707777416</v>
      </c>
      <c r="S89" s="3">
        <f t="shared" si="87"/>
        <v>2.735109583154276</v>
      </c>
      <c r="T89" s="3">
        <f t="shared" si="87"/>
        <v>6.6875018711081404</v>
      </c>
      <c r="U89" s="3">
        <f t="shared" si="87"/>
        <v>7.1581480300972897</v>
      </c>
      <c r="V89" s="3">
        <f t="shared" si="87"/>
        <v>6.6812803348638585</v>
      </c>
      <c r="W89" s="3">
        <f t="shared" si="87"/>
        <v>6.7410482492542068</v>
      </c>
      <c r="X89" s="3">
        <f t="shared" si="87"/>
        <v>6.4705431274102576</v>
      </c>
      <c r="Y89" s="3">
        <f t="shared" si="87"/>
        <v>6.8674757188771434</v>
      </c>
      <c r="Z89" s="3">
        <f t="shared" si="87"/>
        <v>8.1612079349156872</v>
      </c>
      <c r="AA89" s="3">
        <f t="shared" si="87"/>
        <v>9.1736122949816981</v>
      </c>
      <c r="AB89" s="3">
        <f t="shared" si="87"/>
        <v>9.5664958558704818</v>
      </c>
      <c r="AC89" s="3">
        <f t="shared" si="87"/>
        <v>10.114894384732287</v>
      </c>
      <c r="AD89" s="3">
        <f t="shared" si="87"/>
        <v>12.22798373354167</v>
      </c>
      <c r="AE89" s="3">
        <f t="shared" si="87"/>
        <v>40.727235272420067</v>
      </c>
      <c r="AF89" s="3">
        <f t="shared" si="87"/>
        <v>68.703410666906336</v>
      </c>
    </row>
    <row r="90" spans="2:32" ht="12.75" customHeight="1" outlineLevel="1">
      <c r="B90" s="21" t="s">
        <v>239</v>
      </c>
      <c r="C90" s="3">
        <f t="shared" ref="C90:AF90" si="88">IF(ISERROR((C3+C4+C5)/C27),"NM",((C3+C4+C5)/C27))</f>
        <v>8.2014928167554952</v>
      </c>
      <c r="D90" s="3">
        <f t="shared" si="88"/>
        <v>10.176276551119246</v>
      </c>
      <c r="E90" s="3">
        <f t="shared" si="88"/>
        <v>5.0685440705774774</v>
      </c>
      <c r="F90" s="3">
        <f t="shared" si="88"/>
        <v>6.4125616978295774</v>
      </c>
      <c r="G90" s="3">
        <f t="shared" si="88"/>
        <v>5.8198051005776463</v>
      </c>
      <c r="H90" s="3">
        <f t="shared" si="88"/>
        <v>2.0230531902087727</v>
      </c>
      <c r="I90" s="3">
        <f t="shared" si="88"/>
        <v>2.6716987538623482</v>
      </c>
      <c r="J90" s="3">
        <f t="shared" si="88"/>
        <v>2.304240322622916</v>
      </c>
      <c r="K90" s="3">
        <f t="shared" si="88"/>
        <v>1.6277295043734583</v>
      </c>
      <c r="L90" s="3">
        <f t="shared" si="88"/>
        <v>1.5094156068074405</v>
      </c>
      <c r="M90" s="3">
        <f t="shared" si="88"/>
        <v>4.7126937040468588</v>
      </c>
      <c r="N90" s="3">
        <f t="shared" si="88"/>
        <v>0.84628128205488506</v>
      </c>
      <c r="O90" s="3">
        <f t="shared" si="88"/>
        <v>0.66902234649677861</v>
      </c>
      <c r="P90" s="3">
        <f t="shared" si="88"/>
        <v>2.5625759416767924</v>
      </c>
      <c r="Q90" s="3">
        <f t="shared" si="88"/>
        <v>2.0686482661004955</v>
      </c>
      <c r="R90" s="3">
        <f t="shared" si="88"/>
        <v>1.7799110532595726</v>
      </c>
      <c r="S90" s="3">
        <f t="shared" si="88"/>
        <v>2.5235066609368286</v>
      </c>
      <c r="T90" s="3">
        <f t="shared" si="88"/>
        <v>6.2739879016680264</v>
      </c>
      <c r="U90" s="3">
        <f t="shared" si="88"/>
        <v>6.7430582183912549</v>
      </c>
      <c r="V90" s="3">
        <f t="shared" si="88"/>
        <v>6.2425961168452666</v>
      </c>
      <c r="W90" s="3">
        <f t="shared" si="88"/>
        <v>6.3257889787698076</v>
      </c>
      <c r="X90" s="3">
        <f t="shared" si="88"/>
        <v>6.0456811617981687</v>
      </c>
      <c r="Y90" s="3">
        <f t="shared" si="88"/>
        <v>6.424470286616268</v>
      </c>
      <c r="Z90" s="3">
        <f t="shared" si="88"/>
        <v>7.6995977633900203</v>
      </c>
      <c r="AA90" s="3">
        <f t="shared" si="88"/>
        <v>8.8101817474744735</v>
      </c>
      <c r="AB90" s="3">
        <f t="shared" si="88"/>
        <v>9.2360059296933059</v>
      </c>
      <c r="AC90" s="3">
        <f t="shared" si="88"/>
        <v>9.7903077779413259</v>
      </c>
      <c r="AD90" s="3">
        <f t="shared" si="88"/>
        <v>11.867494567750022</v>
      </c>
      <c r="AE90" s="3">
        <f t="shared" si="88"/>
        <v>39.782654208484225</v>
      </c>
      <c r="AF90" s="3">
        <f t="shared" si="88"/>
        <v>67.300828129760944</v>
      </c>
    </row>
    <row r="91" spans="2:32" ht="12.75" customHeight="1" outlineLevel="1">
      <c r="B91" s="21" t="s">
        <v>240</v>
      </c>
    </row>
    <row r="92" spans="2:32" ht="12.75" customHeight="1" outlineLevel="1">
      <c r="B92" s="21" t="s">
        <v>241</v>
      </c>
      <c r="C92" s="77" t="str">
        <f>IF(ISERROR(C51/AVERAGE(C41,#REF!)),"NM",(C51/AVERAGE(C41,#REF!)))</f>
        <v>NM</v>
      </c>
      <c r="D92" s="77">
        <f t="shared" ref="D92:V92" si="89">IF(ISERROR(D51/AVERAGE(D41,C41)),"NM",(D51/AVERAGE(D41,C41)))</f>
        <v>0.1721955345787857</v>
      </c>
      <c r="E92" s="77">
        <f t="shared" si="89"/>
        <v>0.38467905088879939</v>
      </c>
      <c r="F92" s="77">
        <f t="shared" si="89"/>
        <v>0.30715354963348773</v>
      </c>
      <c r="G92" s="77">
        <f t="shared" si="89"/>
        <v>0.32206138425892844</v>
      </c>
      <c r="H92" s="77">
        <f t="shared" si="89"/>
        <v>0.53913041323870214</v>
      </c>
      <c r="I92" s="77">
        <f t="shared" si="89"/>
        <v>0.66189902852849314</v>
      </c>
      <c r="J92" s="77">
        <f t="shared" si="89"/>
        <v>0.54301969476356016</v>
      </c>
      <c r="K92" s="77">
        <f t="shared" si="89"/>
        <v>0.53817300926967626</v>
      </c>
      <c r="L92" s="77">
        <f t="shared" si="89"/>
        <v>0.52562163993605004</v>
      </c>
      <c r="M92" s="77">
        <f>IF(ISERROR(M51/AVERAGE(M41,L41)),"NM",(M51/AVERAGE(M41,L41)))</f>
        <v>0.48224455538288374</v>
      </c>
      <c r="N92" s="77">
        <f>IF(ISERROR(N51/AVERAGE(N41,M41)),"NM",(N51/AVERAGE(N41,M41)))</f>
        <v>0.38433769435891452</v>
      </c>
      <c r="O92" s="77">
        <f>IF(ISERROR(O51/AVERAGE(O41,N41)),"NM",(O51/AVERAGE(O41,N41)))</f>
        <v>0.33372884295157085</v>
      </c>
      <c r="P92" s="77">
        <f>IF(ISERROR(P51/AVERAGE(P41,O41)),"NM",(P51/AVERAGE(P41,O41)))</f>
        <v>0.99378763320416441</v>
      </c>
      <c r="Q92" s="77">
        <f t="shared" si="89"/>
        <v>1.1291519434628976</v>
      </c>
      <c r="R92" s="77">
        <f t="shared" si="89"/>
        <v>0.83990272841452662</v>
      </c>
      <c r="S92" s="77">
        <f t="shared" si="89"/>
        <v>0.59264156220600572</v>
      </c>
      <c r="T92" s="77">
        <f t="shared" si="89"/>
        <v>0.34781758927674483</v>
      </c>
      <c r="U92" s="77">
        <f t="shared" si="89"/>
        <v>0.29777088013679059</v>
      </c>
      <c r="V92" s="77">
        <f t="shared" si="89"/>
        <v>0.31244882441806132</v>
      </c>
      <c r="W92" s="77">
        <f t="shared" ref="W92:AF92" si="90">IF(ISERROR(W51/AVERAGE(W41,V41)),"NM",(W51/AVERAGE(W41,V41)))</f>
        <v>0.26933270749124361</v>
      </c>
      <c r="X92" s="77">
        <f t="shared" si="90"/>
        <v>0.27494874825164844</v>
      </c>
      <c r="Y92" s="77">
        <f t="shared" si="90"/>
        <v>0.27879923894492631</v>
      </c>
      <c r="Z92" s="77">
        <f t="shared" si="90"/>
        <v>0.2648416031905147</v>
      </c>
      <c r="AA92" s="77">
        <f t="shared" si="90"/>
        <v>0.15347307474459845</v>
      </c>
      <c r="AB92" s="77">
        <f t="shared" si="90"/>
        <v>0.12025385591328398</v>
      </c>
      <c r="AC92" s="77">
        <f t="shared" si="90"/>
        <v>0.11013669112027638</v>
      </c>
      <c r="AD92" s="77">
        <f t="shared" si="90"/>
        <v>0.11462040845413701</v>
      </c>
      <c r="AE92" s="77">
        <f t="shared" si="90"/>
        <v>0.13988776632434594</v>
      </c>
      <c r="AF92" s="77">
        <f t="shared" si="90"/>
        <v>0.13239528839427267</v>
      </c>
    </row>
    <row r="93" spans="2:32" ht="12.75" customHeight="1" outlineLevel="1">
      <c r="B93" s="21" t="s">
        <v>242</v>
      </c>
      <c r="C93" s="77" t="str">
        <f>IF(ISERROR(C51/AVERAGE(C19,#REF!)),"NM",(C51/AVERAGE(C19,#REF!)))</f>
        <v>NM</v>
      </c>
      <c r="D93" s="77">
        <f t="shared" ref="D93:V93" si="91">IF(ISERROR(D51/AVERAGE(D19,C19)),"NM",(D51/AVERAGE(D19,C19)))</f>
        <v>8.4634000794058903E-2</v>
      </c>
      <c r="E93" s="77">
        <f t="shared" si="91"/>
        <v>0.21302365010438276</v>
      </c>
      <c r="F93" s="77">
        <f t="shared" si="91"/>
        <v>0.23788384085418193</v>
      </c>
      <c r="G93" s="77">
        <f t="shared" si="91"/>
        <v>0.26639508202838796</v>
      </c>
      <c r="H93" s="77">
        <f t="shared" si="91"/>
        <v>0.33254931646115793</v>
      </c>
      <c r="I93" s="77">
        <f t="shared" si="91"/>
        <v>0.35198998618746236</v>
      </c>
      <c r="J93" s="77">
        <f t="shared" si="91"/>
        <v>0.32877254415616203</v>
      </c>
      <c r="K93" s="77">
        <f t="shared" si="91"/>
        <v>0.34420389302565191</v>
      </c>
      <c r="L93" s="77">
        <f t="shared" si="91"/>
        <v>0.30194509099515299</v>
      </c>
      <c r="M93" s="77">
        <f t="shared" si="91"/>
        <v>0.21032591489880664</v>
      </c>
      <c r="N93" s="77">
        <f t="shared" si="91"/>
        <v>0.16003125031458404</v>
      </c>
      <c r="O93" s="77">
        <f t="shared" si="91"/>
        <v>0.15778799382842157</v>
      </c>
      <c r="P93" s="77">
        <f t="shared" si="91"/>
        <v>0.46585445275947496</v>
      </c>
      <c r="Q93" s="77">
        <f t="shared" si="91"/>
        <v>0.44329098412771811</v>
      </c>
      <c r="R93" s="77">
        <f t="shared" si="91"/>
        <v>0.28883620055874137</v>
      </c>
      <c r="S93" s="77">
        <f t="shared" si="91"/>
        <v>0.18315260097438316</v>
      </c>
      <c r="T93" s="77">
        <f t="shared" si="91"/>
        <v>0.11684186475890236</v>
      </c>
      <c r="U93" s="77">
        <f t="shared" si="91"/>
        <v>0.11939575431344782</v>
      </c>
      <c r="V93" s="77">
        <f t="shared" si="91"/>
        <v>0.1356167746059416</v>
      </c>
      <c r="W93" s="77">
        <f t="shared" ref="W93:AF93" si="92">IF(ISERROR(W51/AVERAGE(W19,V19)),"NM",(W51/AVERAGE(W19,V19)))</f>
        <v>0.12469795776129401</v>
      </c>
      <c r="X93" s="77">
        <f t="shared" si="92"/>
        <v>0.13746584086848135</v>
      </c>
      <c r="Y93" s="77">
        <f t="shared" si="92"/>
        <v>0.14845045264031292</v>
      </c>
      <c r="Z93" s="77">
        <f t="shared" si="92"/>
        <v>0.15191939641326899</v>
      </c>
      <c r="AA93" s="77">
        <f t="shared" si="92"/>
        <v>9.5574020676726185E-2</v>
      </c>
      <c r="AB93" s="77">
        <f t="shared" si="92"/>
        <v>7.9669178647732167E-2</v>
      </c>
      <c r="AC93" s="77">
        <f t="shared" si="92"/>
        <v>7.6535230940619176E-2</v>
      </c>
      <c r="AD93" s="77">
        <f t="shared" si="92"/>
        <v>8.2051504493324226E-2</v>
      </c>
      <c r="AE93" s="77">
        <f t="shared" si="92"/>
        <v>0.10443292030148485</v>
      </c>
      <c r="AF93" s="77">
        <f t="shared" si="92"/>
        <v>0.10289620828055325</v>
      </c>
    </row>
    <row r="94" spans="2:32" ht="12.75" customHeight="1" outlineLevel="1">
      <c r="B94" s="21" t="s">
        <v>243</v>
      </c>
      <c r="C94" s="77">
        <f>IF(ISERROR(1-C48/C47),"NM",(1-C48/C47))</f>
        <v>0.81278954865700759</v>
      </c>
      <c r="D94" s="77">
        <f t="shared" ref="D94:AF94" si="93">IF(ISERROR(1-D48/D47),"NM",(1-D48/D47))</f>
        <v>0.85063090468947489</v>
      </c>
      <c r="E94" s="77">
        <f t="shared" si="93"/>
        <v>0.87096250103702888</v>
      </c>
      <c r="F94" s="77">
        <f t="shared" si="93"/>
        <v>0.87423732959289513</v>
      </c>
      <c r="G94" s="77">
        <f t="shared" si="93"/>
        <v>0.87165943600867679</v>
      </c>
      <c r="H94" s="77">
        <f t="shared" si="93"/>
        <v>0.8603924354959972</v>
      </c>
      <c r="I94" s="77">
        <f t="shared" si="93"/>
        <v>0.82088529898831886</v>
      </c>
      <c r="J94" s="77">
        <f t="shared" si="93"/>
        <v>0.79066972777959987</v>
      </c>
      <c r="K94" s="77">
        <f t="shared" si="93"/>
        <v>0.7817945475236483</v>
      </c>
      <c r="L94" s="77">
        <f t="shared" si="93"/>
        <v>0.7744805281391598</v>
      </c>
      <c r="M94" s="77">
        <f>IF(ISERROR(1-M48/M47),"NM",(1-M48/M47))</f>
        <v>0.75596254674054919</v>
      </c>
      <c r="N94" s="77">
        <f>IF(ISERROR(1-N48/N47),"NM",(1-N48/N47))</f>
        <v>0.75254297415814886</v>
      </c>
      <c r="O94" s="77">
        <f t="shared" si="93"/>
        <v>0.75821726527133548</v>
      </c>
      <c r="P94" s="77">
        <f t="shared" si="93"/>
        <v>0.88090250583060947</v>
      </c>
      <c r="Q94" s="77">
        <f t="shared" si="93"/>
        <v>0.90272373540856032</v>
      </c>
      <c r="R94" s="77">
        <f t="shared" si="93"/>
        <v>0.88766041461006906</v>
      </c>
      <c r="S94" s="77">
        <f t="shared" si="93"/>
        <v>0.86892404336001838</v>
      </c>
      <c r="T94" s="77">
        <f t="shared" si="93"/>
        <v>0.86053810043927781</v>
      </c>
      <c r="U94" s="77">
        <f t="shared" si="93"/>
        <v>0.85894516655065711</v>
      </c>
      <c r="V94" s="77">
        <f t="shared" si="93"/>
        <v>0.85690345172006355</v>
      </c>
      <c r="W94" s="77">
        <f t="shared" si="93"/>
        <v>0.85475680521953923</v>
      </c>
      <c r="X94" s="77">
        <f t="shared" si="93"/>
        <v>0.85837327789221252</v>
      </c>
      <c r="Y94" s="77">
        <f t="shared" si="93"/>
        <v>0.85871248700563985</v>
      </c>
      <c r="Z94" s="77">
        <f t="shared" si="93"/>
        <v>0.85928594982246631</v>
      </c>
      <c r="AA94" s="77">
        <f t="shared" si="93"/>
        <v>0.86619364483242345</v>
      </c>
      <c r="AB94" s="77">
        <f t="shared" si="93"/>
        <v>0.86813282595856656</v>
      </c>
      <c r="AC94" s="77">
        <f t="shared" si="93"/>
        <v>0.86782959187176556</v>
      </c>
      <c r="AD94" s="77">
        <f t="shared" si="93"/>
        <v>0.86760467637413274</v>
      </c>
      <c r="AE94" s="77">
        <f t="shared" si="93"/>
        <v>0.86992566570931462</v>
      </c>
      <c r="AF94" s="77">
        <f t="shared" si="93"/>
        <v>0.86497970278323233</v>
      </c>
    </row>
    <row r="95" spans="2:32" ht="12.75" customHeight="1" outlineLevel="1">
      <c r="B95" s="21" t="s">
        <v>244</v>
      </c>
      <c r="C95" s="77">
        <f>IF(ISERROR(C51/C47),"NM",(C51/C47))</f>
        <v>-0.49284977905539235</v>
      </c>
      <c r="D95" s="77">
        <f t="shared" ref="D95:AF95" si="94">IF(ISERROR(D51/D47),"NM",(D51/D47))</f>
        <v>0.18883223719445583</v>
      </c>
      <c r="E95" s="77">
        <f t="shared" si="94"/>
        <v>0.34890604979582063</v>
      </c>
      <c r="F95" s="77">
        <f t="shared" si="94"/>
        <v>0.33319392249260549</v>
      </c>
      <c r="G95" s="77">
        <f t="shared" si="94"/>
        <v>0.38889420232695709</v>
      </c>
      <c r="H95" s="77">
        <f t="shared" si="94"/>
        <v>0.43147679673493672</v>
      </c>
      <c r="I95" s="77">
        <f t="shared" si="94"/>
        <v>0.41282324946635401</v>
      </c>
      <c r="J95" s="77">
        <f t="shared" si="94"/>
        <v>0.393471770603945</v>
      </c>
      <c r="K95" s="77">
        <f t="shared" si="94"/>
        <v>0.40833356272221899</v>
      </c>
      <c r="L95" s="77">
        <f t="shared" si="94"/>
        <v>0.40435465732091147</v>
      </c>
      <c r="M95" s="77">
        <f>IF(ISERROR(M51/M47),"NM",(M51/M47))</f>
        <v>0.36238813125455771</v>
      </c>
      <c r="N95" s="77">
        <f>IF(ISERROR(N51/N47),"NM",(N51/N47))</f>
        <v>0.31785978834152023</v>
      </c>
      <c r="O95" s="77">
        <f t="shared" si="94"/>
        <v>0.30803899304828053</v>
      </c>
      <c r="P95" s="77">
        <f t="shared" si="94"/>
        <v>0.5349257310296992</v>
      </c>
      <c r="Q95" s="77">
        <f t="shared" si="94"/>
        <v>0.58742608535800733</v>
      </c>
      <c r="R95" s="77">
        <f t="shared" si="94"/>
        <v>0.51711089174070413</v>
      </c>
      <c r="S95" s="77">
        <f t="shared" si="94"/>
        <v>0.44639368751675795</v>
      </c>
      <c r="T95" s="77">
        <f t="shared" si="94"/>
        <v>0.38907532233819059</v>
      </c>
      <c r="U95" s="77">
        <f t="shared" si="94"/>
        <v>0.3910498825135918</v>
      </c>
      <c r="V95" s="77">
        <f t="shared" si="94"/>
        <v>0.40974878519928415</v>
      </c>
      <c r="W95" s="77">
        <f t="shared" si="94"/>
        <v>0.38921733554468946</v>
      </c>
      <c r="X95" s="77">
        <f t="shared" si="94"/>
        <v>0.40751946922476795</v>
      </c>
      <c r="Y95" s="77">
        <f t="shared" si="94"/>
        <v>0.42052444007204837</v>
      </c>
      <c r="Z95" s="77">
        <f t="shared" si="94"/>
        <v>0.43558059321284814</v>
      </c>
      <c r="AA95" s="77">
        <f t="shared" si="94"/>
        <v>0.3744828241601269</v>
      </c>
      <c r="AB95" s="77">
        <f t="shared" si="94"/>
        <v>0.34995908175191925</v>
      </c>
      <c r="AC95" s="77">
        <f t="shared" si="94"/>
        <v>0.34554775074033373</v>
      </c>
      <c r="AD95" s="77">
        <f t="shared" si="94"/>
        <v>0.38447832616683708</v>
      </c>
      <c r="AE95" s="77">
        <f t="shared" si="94"/>
        <v>0.60115972767868608</v>
      </c>
      <c r="AF95" s="77">
        <f t="shared" si="94"/>
        <v>0.64286727628481366</v>
      </c>
    </row>
    <row r="96" spans="2:32" ht="12.75" customHeight="1" outlineLevel="1">
      <c r="B96" s="21" t="s">
        <v>245</v>
      </c>
      <c r="C96" s="3" t="str">
        <f>IF(ISERROR(C47/AVERAGE(C12,#REF!)),"NM",(C47/AVERAGE(C12,#REF!)))</f>
        <v>NM</v>
      </c>
      <c r="D96" s="3">
        <f t="shared" ref="D96:V96" si="95">IF(ISERROR(D47/AVERAGE(D12,C12)),"NM",(D47/AVERAGE(D12,C12)))</f>
        <v>7.1508559610891957</v>
      </c>
      <c r="E96" s="3">
        <f t="shared" si="95"/>
        <v>6.5270845006336335</v>
      </c>
      <c r="F96" s="3">
        <f t="shared" si="95"/>
        <v>6.2881705933454546</v>
      </c>
      <c r="G96" s="3">
        <f t="shared" si="95"/>
        <v>8.7116738319081595</v>
      </c>
      <c r="H96" s="3">
        <f t="shared" si="95"/>
        <v>10.021991597487528</v>
      </c>
      <c r="I96" s="3">
        <f t="shared" si="95"/>
        <v>10.455926180013472</v>
      </c>
      <c r="J96" s="3">
        <f t="shared" si="95"/>
        <v>10.928371369029025</v>
      </c>
      <c r="K96" s="3">
        <f t="shared" si="95"/>
        <v>11.412044086398664</v>
      </c>
      <c r="L96" s="3">
        <f t="shared" si="95"/>
        <v>11.346548149628356</v>
      </c>
      <c r="M96" s="3">
        <f t="shared" si="95"/>
        <v>11.365074567594693</v>
      </c>
      <c r="N96" s="3">
        <f t="shared" si="95"/>
        <v>10.351200881224115</v>
      </c>
      <c r="O96" s="3">
        <f t="shared" si="95"/>
        <v>9.8848317184659642</v>
      </c>
      <c r="P96" s="3">
        <f t="shared" si="95"/>
        <v>17.52705416150485</v>
      </c>
      <c r="Q96" s="3">
        <f t="shared" si="95"/>
        <v>16.52607594936709</v>
      </c>
      <c r="R96" s="3">
        <f t="shared" si="95"/>
        <v>11.82260260649679</v>
      </c>
      <c r="S96" s="3">
        <f t="shared" si="95"/>
        <v>8.4762987012987008</v>
      </c>
      <c r="T96" s="3">
        <f t="shared" si="95"/>
        <v>6.1964331617242978</v>
      </c>
      <c r="U96" s="3">
        <f t="shared" si="95"/>
        <v>5.9188104656611094</v>
      </c>
      <c r="V96" s="3">
        <f t="shared" si="95"/>
        <v>5.8983534452393886</v>
      </c>
      <c r="W96" s="3">
        <f t="shared" ref="W96:AF96" si="96">IF(ISERROR(W47/AVERAGE(W12,V12)),"NM",(W47/AVERAGE(W12,V12)))</f>
        <v>5.2375830072635576</v>
      </c>
      <c r="X96" s="3">
        <f t="shared" si="96"/>
        <v>5.1039601280427345</v>
      </c>
      <c r="Y96" s="3">
        <f t="shared" si="96"/>
        <v>4.9877901488616736</v>
      </c>
      <c r="Z96" s="3">
        <f t="shared" si="96"/>
        <v>4.8665705752124158</v>
      </c>
      <c r="AA96" s="3">
        <f t="shared" si="96"/>
        <v>3.6272032088740218</v>
      </c>
      <c r="AB96" s="3">
        <f t="shared" si="96"/>
        <v>3.2815441971062254</v>
      </c>
      <c r="AC96" s="3">
        <f t="shared" si="96"/>
        <v>3.2593228698466814</v>
      </c>
      <c r="AD96" s="3">
        <f t="shared" si="96"/>
        <v>3.2678193915109119</v>
      </c>
      <c r="AE96" s="3">
        <f t="shared" si="96"/>
        <v>2.8127921128586495</v>
      </c>
      <c r="AF96" s="3">
        <f t="shared" si="96"/>
        <v>2.820883162096397</v>
      </c>
    </row>
    <row r="97" spans="2:32" ht="12.75" customHeight="1" outlineLevel="1">
      <c r="B97" s="21" t="s">
        <v>246</v>
      </c>
      <c r="C97" s="3" t="str">
        <f>IF(ISERROR(C47/AVERAGE(C19,#REF!)),"NM",(C47/AVERAGE(C19,#REF!)))</f>
        <v>NM</v>
      </c>
      <c r="D97" s="3">
        <f t="shared" ref="D97:V97" si="97">IF(ISERROR(D47/AVERAGE(D19,C19)),"NM",(D47/AVERAGE(D19,C19)))</f>
        <v>0.44819678065300061</v>
      </c>
      <c r="E97" s="3">
        <f t="shared" si="97"/>
        <v>0.61054730988196948</v>
      </c>
      <c r="F97" s="3">
        <f t="shared" si="97"/>
        <v>0.71395011972183031</v>
      </c>
      <c r="G97" s="3">
        <f t="shared" si="97"/>
        <v>0.68500656588451847</v>
      </c>
      <c r="H97" s="3">
        <f t="shared" si="97"/>
        <v>0.77072352204711581</v>
      </c>
      <c r="I97" s="3">
        <f t="shared" si="97"/>
        <v>0.85264089811431587</v>
      </c>
      <c r="J97" s="3">
        <f t="shared" si="97"/>
        <v>0.83556831447278856</v>
      </c>
      <c r="K97" s="3">
        <f t="shared" si="97"/>
        <v>0.84294783590886657</v>
      </c>
      <c r="L97" s="3">
        <f t="shared" si="97"/>
        <v>0.74673330831829077</v>
      </c>
      <c r="M97" s="3">
        <f t="shared" si="97"/>
        <v>0.58038853030499571</v>
      </c>
      <c r="N97" s="3">
        <f t="shared" si="97"/>
        <v>0.50346491183918052</v>
      </c>
      <c r="O97" s="3">
        <f t="shared" si="97"/>
        <v>0.51223383204505746</v>
      </c>
      <c r="P97" s="3">
        <f t="shared" si="97"/>
        <v>0.87087688203507008</v>
      </c>
      <c r="Q97" s="3">
        <f t="shared" si="97"/>
        <v>0.75463278730217453</v>
      </c>
      <c r="R97" s="3">
        <f t="shared" si="97"/>
        <v>0.55855756506396115</v>
      </c>
      <c r="S97" s="3">
        <f t="shared" si="97"/>
        <v>0.41029388653151028</v>
      </c>
      <c r="T97" s="3">
        <f t="shared" si="97"/>
        <v>0.30030654233408699</v>
      </c>
      <c r="U97" s="3">
        <f t="shared" si="97"/>
        <v>0.30532103358782614</v>
      </c>
      <c r="V97" s="3">
        <f t="shared" si="97"/>
        <v>0.33097541592462182</v>
      </c>
      <c r="W97" s="3">
        <f t="shared" ref="W97:AF97" si="98">IF(ISERROR(W47/AVERAGE(W19,V19)),"NM",(W47/AVERAGE(W19,V19)))</f>
        <v>0.32038130466821496</v>
      </c>
      <c r="X97" s="3">
        <f t="shared" si="98"/>
        <v>0.33732337041463373</v>
      </c>
      <c r="Y97" s="3">
        <f t="shared" si="98"/>
        <v>0.35301266346107951</v>
      </c>
      <c r="Z97" s="3">
        <f t="shared" si="98"/>
        <v>0.348774483483549</v>
      </c>
      <c r="AA97" s="3">
        <f t="shared" si="98"/>
        <v>0.25521603264735909</v>
      </c>
      <c r="AB97" s="3">
        <f t="shared" si="98"/>
        <v>0.22765283943740727</v>
      </c>
      <c r="AC97" s="3">
        <f t="shared" si="98"/>
        <v>0.22148959377290967</v>
      </c>
      <c r="AD97" s="3">
        <f t="shared" si="98"/>
        <v>0.21340996074176502</v>
      </c>
      <c r="AE97" s="3">
        <f t="shared" si="98"/>
        <v>0.17371908910921458</v>
      </c>
      <c r="AF97" s="3">
        <f t="shared" si="98"/>
        <v>0.1600582454207336</v>
      </c>
    </row>
    <row r="98" spans="2:32" ht="12.75" customHeight="1" outlineLevel="1">
      <c r="B98" s="21" t="s">
        <v>247</v>
      </c>
      <c r="C98" s="3" t="str">
        <f>IF(ISERROR(AVERAGE(C19,#REF!)/AVERAGE(C41,#REF!)),"NM",(AVERAGE(C19,#REF!)/AVERAGE(C41,#REF!)))</f>
        <v>NM</v>
      </c>
      <c r="D98" s="3">
        <f t="shared" ref="D98:V98" si="99">IF(ISERROR(AVERAGE(D19,C19)/AVERAGE(D41,C41)),"NM",(AVERAGE(D19,C19)/AVERAGE(D41,C41)))</f>
        <v>2.0345905069263064</v>
      </c>
      <c r="E98" s="3">
        <f t="shared" si="99"/>
        <v>1.8058044292279498</v>
      </c>
      <c r="F98" s="3">
        <f t="shared" si="99"/>
        <v>1.2911913164449313</v>
      </c>
      <c r="G98" s="3">
        <f t="shared" si="99"/>
        <v>1.2089614485623592</v>
      </c>
      <c r="H98" s="3">
        <f t="shared" si="99"/>
        <v>1.6212043945117327</v>
      </c>
      <c r="I98" s="3">
        <f t="shared" si="99"/>
        <v>1.8804484630309337</v>
      </c>
      <c r="J98" s="3">
        <f t="shared" si="99"/>
        <v>1.6516576715896139</v>
      </c>
      <c r="K98" s="3">
        <f t="shared" si="99"/>
        <v>1.5635296990367531</v>
      </c>
      <c r="L98" s="3">
        <f t="shared" si="99"/>
        <v>1.7407855123714782</v>
      </c>
      <c r="M98" s="3">
        <f t="shared" si="99"/>
        <v>2.2928442061688137</v>
      </c>
      <c r="N98" s="3">
        <f t="shared" si="99"/>
        <v>2.4016415144129439</v>
      </c>
      <c r="O98" s="3">
        <f t="shared" si="99"/>
        <v>2.1150458590307393</v>
      </c>
      <c r="P98" s="3">
        <f t="shared" si="99"/>
        <v>2.1332577746493415</v>
      </c>
      <c r="Q98" s="3">
        <f t="shared" si="99"/>
        <v>2.5472025912838632</v>
      </c>
      <c r="R98" s="3">
        <f t="shared" si="99"/>
        <v>2.9078859463937361</v>
      </c>
      <c r="S98" s="3">
        <f t="shared" si="99"/>
        <v>3.2357802130743218</v>
      </c>
      <c r="T98" s="3">
        <f t="shared" si="99"/>
        <v>2.9768233329248033</v>
      </c>
      <c r="U98" s="3">
        <f t="shared" si="99"/>
        <v>2.4939821507811519</v>
      </c>
      <c r="V98" s="3">
        <f t="shared" si="99"/>
        <v>2.3039098616372229</v>
      </c>
      <c r="W98" s="3">
        <f t="shared" ref="W98:AF98" si="100">IF(ISERROR(AVERAGE(W19,V19)/AVERAGE(W41,V41)),"NM",(AVERAGE(W19,V19)/AVERAGE(W41,V41)))</f>
        <v>2.1598806614525321</v>
      </c>
      <c r="X98" s="3">
        <f t="shared" si="100"/>
        <v>2.0001241509496319</v>
      </c>
      <c r="Y98" s="3">
        <f t="shared" si="100"/>
        <v>1.878062572301084</v>
      </c>
      <c r="Z98" s="3">
        <f t="shared" si="100"/>
        <v>1.7433034190713965</v>
      </c>
      <c r="AA98" s="3">
        <f t="shared" si="100"/>
        <v>1.605803268062904</v>
      </c>
      <c r="AB98" s="3">
        <f t="shared" si="100"/>
        <v>1.5094150329452041</v>
      </c>
      <c r="AC98" s="3">
        <f t="shared" si="100"/>
        <v>1.4390325836440911</v>
      </c>
      <c r="AD98" s="3">
        <f t="shared" si="100"/>
        <v>1.396932440933641</v>
      </c>
      <c r="AE98" s="3">
        <f t="shared" si="100"/>
        <v>1.3394987511649332</v>
      </c>
      <c r="AF98" s="3">
        <f t="shared" si="100"/>
        <v>1.2866877274358668</v>
      </c>
    </row>
    <row r="99" spans="2:32" ht="12.75" customHeight="1" outlineLevel="1">
      <c r="B99" s="21" t="s">
        <v>248</v>
      </c>
    </row>
    <row r="100" spans="2:32" ht="12.75" customHeight="1" outlineLevel="1">
      <c r="B100" s="21" t="s">
        <v>249</v>
      </c>
      <c r="C100" s="3">
        <f>(C30+C26+C32)/IS!C110</f>
        <v>-2.3322746717531806</v>
      </c>
      <c r="D100" s="3">
        <f>(D30+D26+D32)/IS!H110</f>
        <v>6.2395033268716906</v>
      </c>
      <c r="E100" s="3">
        <f>(E30+E26+E32)/IS!M110</f>
        <v>0.99140781045526516</v>
      </c>
      <c r="F100" s="3">
        <f>(F30+F26+F32)/IS!R110</f>
        <v>6.3252745778831824E-4</v>
      </c>
      <c r="G100" s="3">
        <f>(G30+G26+G32)/IS!W110</f>
        <v>0.26279236541604395</v>
      </c>
      <c r="H100" s="3">
        <f>(H30+H26+H32)/IS!AB110</f>
        <v>0.77665403070620953</v>
      </c>
      <c r="I100" s="3">
        <f>(I30+I26+I32)/IS!AG110</f>
        <v>0.54667960139048288</v>
      </c>
      <c r="J100" s="3">
        <f>(J30+J26+J32)/IS!AL110</f>
        <v>0.3752437160773569</v>
      </c>
      <c r="K100" s="3">
        <f>(K30+K26+K32)/IS!AQ110</f>
        <v>0.29605302374290104</v>
      </c>
      <c r="L100" s="3">
        <f>(L30+L26+L32)/IS!AV110</f>
        <v>0.75198791961482514</v>
      </c>
      <c r="M100" s="3">
        <f>(M30+M26+M32)/IS!BA110</f>
        <v>1.7513213879784806</v>
      </c>
      <c r="N100" s="3">
        <f>(N30+N26+N32)/IS!BF110</f>
        <v>1.7397539874278716</v>
      </c>
      <c r="O100" s="3">
        <f>(O30+O26+O32)/IS!BK110</f>
        <v>1.3012051988085831</v>
      </c>
      <c r="P100" s="3">
        <f>(P30+P26+P32)/IS!BP110</f>
        <v>0.73749674608512583</v>
      </c>
      <c r="Q100" s="3">
        <f>(Q30+Q26+Q32)/IS!BU110</f>
        <v>0.92169191197485001</v>
      </c>
      <c r="R100" s="3">
        <f>(R30+R26+R32)/IS!BZ110</f>
        <v>1.2572318437072343</v>
      </c>
      <c r="S100" s="3">
        <f>(S30+S26+S32)/IS!CE110</f>
        <v>1.9691632499855634</v>
      </c>
      <c r="T100" s="3">
        <f>(T30+T26+T32)/IS!CJ110</f>
        <v>2.5194445216253487</v>
      </c>
      <c r="U100" s="3">
        <f>(U30+U26+U32)/IS!CO110</f>
        <v>2.2670364479966567</v>
      </c>
      <c r="V100" s="3">
        <f>(V30+V26+V32)/IS!CT110</f>
        <v>1.8227138717231937</v>
      </c>
      <c r="W100" s="3">
        <f>(W30+W26+W32)/IS!CY110</f>
        <v>1.8101067667305164</v>
      </c>
      <c r="X100" s="3">
        <f>(X30+X26+X32)/IS!DD110</f>
        <v>1.412488909270599</v>
      </c>
      <c r="Y100" s="3">
        <f>(Y30+Y26+Y32)/IS!DI110</f>
        <v>1.2731734863222479</v>
      </c>
      <c r="Z100" s="3">
        <f>(Z30+Z26+Z32)/IS!DN110</f>
        <v>1.081694047503861</v>
      </c>
      <c r="AA100" s="3">
        <f>(AA30+AA26+AA32)/IS!DS110</f>
        <v>1.3745459650511929</v>
      </c>
      <c r="AB100" s="3">
        <f>(AB30+AB26+AB32)/IS!DX110</f>
        <v>1.2871849073112667</v>
      </c>
      <c r="AC100" s="3">
        <f>(AC30+AC26+AC32)/IS!EC110</f>
        <v>1.1741174017124354</v>
      </c>
      <c r="AD100" s="3">
        <f>(AD30+AD26+AD32)/IS!EH110</f>
        <v>1.0758686432580484</v>
      </c>
      <c r="AE100" s="3">
        <f>(AE30+AE26+AE32)/IS!EM110</f>
        <v>0.85339185510314997</v>
      </c>
      <c r="AF100" s="3">
        <f>(AF30+AF26+AF32)/IS!ER110</f>
        <v>0.83394623314106453</v>
      </c>
    </row>
    <row r="101" spans="2:32" ht="12.75" customHeight="1" outlineLevel="1">
      <c r="B101" s="21" t="s">
        <v>250</v>
      </c>
      <c r="C101" s="3" t="str">
        <f>IF(OR((IS!C22)&gt;0,(IS!C110&lt;0)),"NM", IS!C110/-IS!C22)</f>
        <v>NM</v>
      </c>
      <c r="D101" s="3">
        <f>IF(OR((IS!H22)&gt;0,(IS!H110&lt;0)),"NM", IS!H110/-IS!H22)</f>
        <v>6.8891214899299813</v>
      </c>
      <c r="E101" s="3">
        <f>IF(OR((IS!M22)&gt;0,(IS!M110&lt;0)),"NM", IS!M110/-IS!M22)</f>
        <v>15.913412796273469</v>
      </c>
      <c r="F101" s="3">
        <f>IF(OR((IS!R22)&gt;0,(IS!R110&lt;0)),"NM", IS!R110/-IS!R22)</f>
        <v>89.301483598747808</v>
      </c>
      <c r="G101" s="3">
        <f>IF(OR((IS!W22)&gt;0,(IS!W110&lt;0)),"NM", IS!W110/-IS!W22)</f>
        <v>2590.142533936651</v>
      </c>
      <c r="H101" s="3">
        <f>IF(OR((IS!AB22)&gt;0,(IS!AB110&lt;0)),"NM", IS!AB110/-IS!AB22)</f>
        <v>89.197770356546528</v>
      </c>
      <c r="I101" s="3">
        <f>IF(OR((IS!AG22)&gt;0,(IS!AG110&lt;0)),"NM", IS!AG110/-IS!AG22)</f>
        <v>183.18641221374045</v>
      </c>
      <c r="J101" s="3">
        <f>IF(OR((IS!AL22)&gt;0,(IS!AL110&lt;0)),"NM", IS!AL110/-IS!AL22)</f>
        <v>45.956195205689404</v>
      </c>
      <c r="K101" s="3">
        <f>IF(OR((IS!AQ22)&gt;0,(IS!AQ110&lt;0)),"NM", IS!AQ110/-IS!AQ22)</f>
        <v>58.037653239929931</v>
      </c>
      <c r="L101" s="3">
        <f>IF(OR((IS!AV22)&gt;0,(IS!AV110&lt;0)),"NM", IS!AV110/-IS!AV22)</f>
        <v>42.865906149906849</v>
      </c>
      <c r="M101" s="3">
        <f>IF(OR((IS!BA22)&gt;0,(IS!BA110&lt;0)),"NM", IS!BA110/-IS!BA22)</f>
        <v>24.383725860540409</v>
      </c>
      <c r="N101" s="3">
        <f>IF(OR((IS!BF22)&gt;0,(IS!BF110&lt;0)),"NM", IS!BF110/-IS!BF22)</f>
        <v>13.739933763783897</v>
      </c>
      <c r="O101" s="3">
        <f>IF(OR((IS!BK22)&gt;0,(IS!BK110&lt;0)),"NM", IS!BK110/-IS!BK22)</f>
        <v>17.377807972785391</v>
      </c>
      <c r="P101" s="3">
        <f>IF(OR((IS!BP22)&gt;0,(IS!BP110&lt;0)),"NM", IS!BP110/-IS!BP22)</f>
        <v>42.83844851371834</v>
      </c>
      <c r="Q101" s="3">
        <f>IF(OR((IS!BU22)&gt;0,(IS!BU110&lt;0)),"NM", IS!BU110/-IS!BU22)</f>
        <v>35.600290697674417</v>
      </c>
      <c r="R101" s="3">
        <f>IF(OR((IS!BZ22)&gt;0,(IS!BZ110&lt;0)),"NM", IS!BZ110/-IS!BZ22)</f>
        <v>21.982365145228215</v>
      </c>
      <c r="S101" s="3">
        <f>IF(OR((IS!CE22)&gt;0,(IS!CE110&lt;0)),"NM", IS!CE110/-IS!CE22)</f>
        <v>15.742727272727272</v>
      </c>
      <c r="T101" s="3">
        <f>IF(OR((IS!CJ22)&gt;0,(IS!CJ110&lt;0)),"NM", IS!CJ110/-IS!CJ22)</f>
        <v>11.463725927330358</v>
      </c>
      <c r="U101" s="3">
        <f>IF(OR((IS!CO22)&gt;0,(IS!CO110&lt;0)),"NM", IS!CO110/-IS!CO22)</f>
        <v>12.131891390534351</v>
      </c>
      <c r="V101" s="3">
        <f>IF(OR((IS!CT22)&gt;0,(IS!CT110&lt;0)),"NM", IS!CT110/-IS!CT22)</f>
        <v>14.316839172589205</v>
      </c>
      <c r="W101" s="3">
        <f>IF(OR((IS!CY22)&gt;0,(IS!CY110&lt;0)),"NM", IS!CY110/-IS!CY22)</f>
        <v>13.135272818460576</v>
      </c>
      <c r="X101" s="3">
        <f>IF(OR((IS!DD22)&gt;0,(IS!DD110&lt;0)),"NM", IS!DD110/-IS!DD22)</f>
        <v>17.073763265622077</v>
      </c>
      <c r="Y101" s="3">
        <f>IF(OR((IS!DI22)&gt;0,(IS!DI110&lt;0)),"NM", IS!DI110/-IS!DI22)</f>
        <v>18.639643761515789</v>
      </c>
      <c r="Z101" s="3">
        <f>IF(OR((IS!DN22)&gt;0,(IS!DN110&lt;0)),"NM", IS!DN110/-IS!DN22)</f>
        <v>21.660240630542493</v>
      </c>
      <c r="AA101" s="3">
        <f>IF(OR((IS!DS22)&gt;0,(IS!DS110&lt;0)),"NM", IS!DS110/-IS!DS22)</f>
        <v>16.688953715507552</v>
      </c>
      <c r="AB101" s="3">
        <f>IF(OR((IS!DX22)&gt;0,(IS!DX110&lt;0)),"NM", IS!DX110/-IS!DX22)</f>
        <v>17.180669475856956</v>
      </c>
      <c r="AC101" s="3">
        <f>IF(OR((IS!EC22)&gt;0,(IS!EC110&lt;0)),"NM", IS!EC110/-IS!EC22)</f>
        <v>18.106729942351055</v>
      </c>
      <c r="AD101" s="3">
        <f>IF(OR((IS!EH22)&gt;0,(IS!EH110&lt;0)),"NM", IS!EH110/-IS!EH22)</f>
        <v>19.760243824043563</v>
      </c>
      <c r="AE101" s="3">
        <f>IF(OR((IS!EM22)&gt;0,(IS!EM110&lt;0)),"NM", IS!EM110/-IS!EM22)</f>
        <v>24.911682231666408</v>
      </c>
      <c r="AF101" s="3">
        <f>IF(OR((IS!ER22)&gt;0,(IS!ER110&lt;0)),"NM", IS!ER110/-IS!ER22)</f>
        <v>25.49256279190589</v>
      </c>
    </row>
    <row r="102" spans="2:32" ht="12.75" customHeight="1" outlineLevel="1">
      <c r="B102" s="21" t="s">
        <v>251</v>
      </c>
      <c r="C102" s="3">
        <f t="shared" ref="C102:AF102" si="101">IF(ISERROR((C30+C32)/C41),"NM",(C30+C32)/C41)</f>
        <v>0.55342290749872369</v>
      </c>
      <c r="D102" s="3">
        <f t="shared" si="101"/>
        <v>1.0418874192469996</v>
      </c>
      <c r="E102" s="3">
        <f t="shared" si="101"/>
        <v>0.34429905461158516</v>
      </c>
      <c r="F102" s="3">
        <f t="shared" si="101"/>
        <v>1.2507536592562185E-4</v>
      </c>
      <c r="G102" s="3">
        <f t="shared" si="101"/>
        <v>7.9480728111506208E-2</v>
      </c>
      <c r="H102" s="3">
        <f t="shared" si="101"/>
        <v>0.76655460814950338</v>
      </c>
      <c r="I102" s="3">
        <f t="shared" si="101"/>
        <v>0.37907739617744562</v>
      </c>
      <c r="J102" s="3">
        <f t="shared" si="101"/>
        <v>0.2620170562328602</v>
      </c>
      <c r="K102" s="3">
        <f t="shared" si="101"/>
        <v>0.18711305758618765</v>
      </c>
      <c r="L102" s="3">
        <f t="shared" si="101"/>
        <v>0.48876303799169435</v>
      </c>
      <c r="M102" s="3">
        <f t="shared" si="101"/>
        <v>1.1505617570697459</v>
      </c>
      <c r="N102" s="3">
        <f t="shared" si="101"/>
        <v>0.78225554980649825</v>
      </c>
      <c r="O102" s="3">
        <f t="shared" si="101"/>
        <v>0.37315920470870656</v>
      </c>
      <c r="P102" s="3">
        <f t="shared" si="101"/>
        <v>0.81174640217814076</v>
      </c>
      <c r="Q102" s="3">
        <f t="shared" si="101"/>
        <v>1.1649940649616921</v>
      </c>
      <c r="R102" s="3">
        <f t="shared" si="101"/>
        <v>1.4105998835177636</v>
      </c>
      <c r="S102" s="3">
        <f t="shared" si="101"/>
        <v>1.5337540358086292</v>
      </c>
      <c r="T102" s="3">
        <f t="shared" si="101"/>
        <v>1.1813380452664686</v>
      </c>
      <c r="U102" s="3">
        <f t="shared" si="101"/>
        <v>0.9757989700337234</v>
      </c>
      <c r="V102" s="3">
        <f t="shared" si="101"/>
        <v>0.83744512854662023</v>
      </c>
      <c r="W102" s="3">
        <f t="shared" si="101"/>
        <v>0.7193465422475106</v>
      </c>
      <c r="X102" s="3">
        <f t="shared" si="101"/>
        <v>0.56131491679402934</v>
      </c>
      <c r="Y102" s="3">
        <f t="shared" si="101"/>
        <v>0.51139485867404955</v>
      </c>
      <c r="Z102" s="3">
        <f t="shared" si="101"/>
        <v>0.38360705787135729</v>
      </c>
      <c r="AA102" s="3">
        <f t="shared" si="101"/>
        <v>0.31077935285028774</v>
      </c>
      <c r="AB102" s="3">
        <f t="shared" si="101"/>
        <v>0.23543379746185331</v>
      </c>
      <c r="AC102" s="3">
        <f t="shared" si="101"/>
        <v>0.19830203617458575</v>
      </c>
      <c r="AD102" s="3">
        <f t="shared" si="101"/>
        <v>0.18588841770223613</v>
      </c>
      <c r="AE102" s="3">
        <f t="shared" si="101"/>
        <v>0.17089301680831309</v>
      </c>
      <c r="AF102" s="3">
        <f t="shared" si="101"/>
        <v>0.15814970470029199</v>
      </c>
    </row>
    <row r="103" spans="2:32" ht="12.75" customHeight="1" outlineLevel="1">
      <c r="B103" s="21" t="s">
        <v>252</v>
      </c>
      <c r="C103" s="3" t="str">
        <f>IF(ISERROR(C52/AVERAGE(C27,#REF!)),"NM",(C52/AVERAGE(C27,#REF!)))</f>
        <v>NM</v>
      </c>
      <c r="D103" s="3">
        <f t="shared" ref="D103:V103" si="102">IF(ISERROR(D52/AVERAGE(D27,C27)),"NM",(D52/AVERAGE(D27,C27)))</f>
        <v>0.80438248950051083</v>
      </c>
      <c r="E103" s="3">
        <f t="shared" si="102"/>
        <v>1.6136003328897093</v>
      </c>
      <c r="F103" s="3">
        <f t="shared" si="102"/>
        <v>2.3278949716397936</v>
      </c>
      <c r="G103" s="3">
        <f t="shared" si="102"/>
        <v>1.9638917029400957</v>
      </c>
      <c r="H103" s="3">
        <f t="shared" si="102"/>
        <v>1.9814874914493512</v>
      </c>
      <c r="I103" s="3">
        <f t="shared" si="102"/>
        <v>2.3529996647898006</v>
      </c>
      <c r="J103" s="3">
        <f t="shared" si="102"/>
        <v>2.1901804914710152</v>
      </c>
      <c r="K103" s="3">
        <f t="shared" si="102"/>
        <v>1.9918716248310899</v>
      </c>
      <c r="L103" s="3">
        <f t="shared" si="102"/>
        <v>1.3069803146764696</v>
      </c>
      <c r="M103" s="3">
        <f t="shared" si="102"/>
        <v>1.4615261037724863</v>
      </c>
      <c r="N103" s="3">
        <f t="shared" si="102"/>
        <v>0.94172600264414197</v>
      </c>
      <c r="O103" s="3">
        <f t="shared" si="102"/>
        <v>0.58609887025938812</v>
      </c>
      <c r="P103" s="3">
        <f t="shared" si="102"/>
        <v>2.1210580038540772</v>
      </c>
      <c r="Q103" s="3">
        <f t="shared" si="102"/>
        <v>2.5976233069256325</v>
      </c>
      <c r="R103" s="3">
        <f t="shared" si="102"/>
        <v>1.7445316588173732</v>
      </c>
      <c r="S103" s="3">
        <f t="shared" si="102"/>
        <v>1.1410760525558645</v>
      </c>
      <c r="T103" s="3">
        <f t="shared" si="102"/>
        <v>0.81779556133991549</v>
      </c>
      <c r="U103" s="3">
        <f t="shared" si="102"/>
        <v>1.9777208777721627</v>
      </c>
      <c r="V103" s="3">
        <f t="shared" si="102"/>
        <v>2.0984675346979738</v>
      </c>
      <c r="W103" s="3">
        <f t="shared" ref="W103:AF103" si="103">IF(ISERROR(W52/AVERAGE(W27,V27)),"NM",(W52/AVERAGE(W27,V27)))</f>
        <v>2.0224511042693165</v>
      </c>
      <c r="X103" s="3">
        <f t="shared" si="103"/>
        <v>2.0718227406693139</v>
      </c>
      <c r="Y103" s="3">
        <f t="shared" si="103"/>
        <v>2.2002588623162889</v>
      </c>
      <c r="Z103" s="3">
        <f t="shared" si="103"/>
        <v>2.3696144217258999</v>
      </c>
      <c r="AA103" s="3">
        <f t="shared" si="103"/>
        <v>2.0078934133346089</v>
      </c>
      <c r="AB103" s="3">
        <f t="shared" si="103"/>
        <v>1.6794824982131724</v>
      </c>
      <c r="AC103" s="3">
        <f t="shared" si="103"/>
        <v>1.5944750320810741</v>
      </c>
      <c r="AD103" s="3">
        <f t="shared" si="103"/>
        <v>1.698020661889764</v>
      </c>
      <c r="AE103" s="3">
        <f t="shared" si="103"/>
        <v>2.7997517103948302</v>
      </c>
      <c r="AF103" s="3">
        <f t="shared" si="103"/>
        <v>8.9361776841837717</v>
      </c>
    </row>
    <row r="104" spans="2:32" ht="12.75" customHeight="1" outlineLevel="1">
      <c r="B104" s="21" t="s">
        <v>253</v>
      </c>
      <c r="C104" s="3" t="str">
        <f>IF(ISERROR(C52/AVERAGE(C33,#REF!)),"NM",(C52/AVERAGE(C33,#REF!)))</f>
        <v>NM</v>
      </c>
      <c r="D104" s="3">
        <f t="shared" ref="D104:V104" si="104">IF(ISERROR(D52/AVERAGE(D33,C33)),"NM",(D52/AVERAGE(D33,C33)))</f>
        <v>0.1405015714823861</v>
      </c>
      <c r="E104" s="3">
        <f t="shared" si="104"/>
        <v>0.36987048613027046</v>
      </c>
      <c r="F104" s="3">
        <f t="shared" si="104"/>
        <v>1.2221657929422505</v>
      </c>
      <c r="G104" s="3">
        <f t="shared" si="104"/>
        <v>1.3787065430932495</v>
      </c>
      <c r="H104" s="3">
        <f t="shared" si="104"/>
        <v>0.82420738164434215</v>
      </c>
      <c r="I104" s="3">
        <f t="shared" si="104"/>
        <v>0.79315230325103414</v>
      </c>
      <c r="J104" s="3">
        <f t="shared" si="104"/>
        <v>0.91097833998310562</v>
      </c>
      <c r="K104" s="3">
        <f t="shared" si="104"/>
        <v>1.0874650838913409</v>
      </c>
      <c r="L104" s="3">
        <f t="shared" si="104"/>
        <v>0.6541665618290633</v>
      </c>
      <c r="M104" s="3">
        <f t="shared" si="104"/>
        <v>0.45754781449536158</v>
      </c>
      <c r="N104" s="3">
        <f t="shared" si="104"/>
        <v>0.28879109797107805</v>
      </c>
      <c r="O104" s="3">
        <f t="shared" si="104"/>
        <v>0.27672144688177619</v>
      </c>
      <c r="P104" s="3">
        <f t="shared" si="104"/>
        <v>0.86616055716463713</v>
      </c>
      <c r="Q104" s="3">
        <f t="shared" si="104"/>
        <v>0.78838882317581582</v>
      </c>
      <c r="R104" s="3">
        <f t="shared" si="104"/>
        <v>0.47395507534830822</v>
      </c>
      <c r="S104" s="3">
        <f t="shared" si="104"/>
        <v>0.27227790745571878</v>
      </c>
      <c r="T104" s="3">
        <f t="shared" si="104"/>
        <v>0.14549212411524812</v>
      </c>
      <c r="U104" s="3">
        <f t="shared" si="104"/>
        <v>0.23334592440461849</v>
      </c>
      <c r="V104" s="3">
        <f t="shared" si="104"/>
        <v>0.27056535470535648</v>
      </c>
      <c r="W104" s="3">
        <f t="shared" ref="W104:AF104" si="105">IF(ISERROR(W52/AVERAGE(W33,V33)),"NM",(W52/AVERAGE(W33,V33)))</f>
        <v>0.28350892647297049</v>
      </c>
      <c r="X104" s="3">
        <f t="shared" si="105"/>
        <v>0.31875257603158946</v>
      </c>
      <c r="Y104" s="3">
        <f t="shared" si="105"/>
        <v>0.36424458546035304</v>
      </c>
      <c r="Z104" s="3">
        <f t="shared" si="105"/>
        <v>0.40729003750368559</v>
      </c>
      <c r="AA104" s="3">
        <f t="shared" si="105"/>
        <v>0.36152276271557954</v>
      </c>
      <c r="AB104" s="3">
        <f t="shared" si="105"/>
        <v>0.32494966697444677</v>
      </c>
      <c r="AC104" s="3">
        <f t="shared" si="105"/>
        <v>0.33639440770218648</v>
      </c>
      <c r="AD104" s="3">
        <f t="shared" si="105"/>
        <v>0.35470193757917512</v>
      </c>
      <c r="AE104" s="3">
        <f t="shared" si="105"/>
        <v>0.39608806333583396</v>
      </c>
      <c r="AF104" s="3">
        <f t="shared" si="105"/>
        <v>0.55283943924058854</v>
      </c>
    </row>
    <row r="105" spans="2:32" ht="12.75" customHeight="1" outlineLevel="1">
      <c r="B105" s="21" t="s">
        <v>254</v>
      </c>
      <c r="C105" s="3">
        <f>IF(ISERROR(-C52/C53),"NM",(-C52/C53))</f>
        <v>-4.8224146443355718</v>
      </c>
      <c r="D105" s="3">
        <f t="shared" ref="D105:V105" si="106">IF(ISERROR(-D52/D53),"NM",(-D52/D53))</f>
        <v>4.2285048587827472</v>
      </c>
      <c r="E105" s="3">
        <f t="shared" si="106"/>
        <v>1.4516951407409235</v>
      </c>
      <c r="F105" s="3">
        <f t="shared" si="106"/>
        <v>9.9555737258108472</v>
      </c>
      <c r="G105" s="3">
        <f t="shared" si="106"/>
        <v>14.715897478676148</v>
      </c>
      <c r="H105" s="3">
        <f t="shared" si="106"/>
        <v>11.577627176640553</v>
      </c>
      <c r="I105" s="3">
        <f t="shared" si="106"/>
        <v>22.446826365578271</v>
      </c>
      <c r="J105" s="3">
        <f t="shared" si="106"/>
        <v>18.637311421242554</v>
      </c>
      <c r="K105" s="3">
        <f t="shared" si="106"/>
        <v>13.388221179968443</v>
      </c>
      <c r="L105" s="3">
        <f t="shared" si="106"/>
        <v>45.79395320276646</v>
      </c>
      <c r="M105" s="3">
        <f t="shared" si="106"/>
        <v>27.588321809801069</v>
      </c>
      <c r="N105" s="3">
        <f t="shared" si="106"/>
        <v>8.0462112702306552</v>
      </c>
      <c r="O105" s="3">
        <f t="shared" si="106"/>
        <v>16.275057395351762</v>
      </c>
      <c r="P105" s="3">
        <f t="shared" si="106"/>
        <v>23.012567324955118</v>
      </c>
      <c r="Q105" s="3">
        <f t="shared" si="106"/>
        <v>27.214190093708165</v>
      </c>
      <c r="R105" s="3">
        <f t="shared" si="106"/>
        <v>22.28475935828877</v>
      </c>
      <c r="S105" s="3">
        <f t="shared" si="106"/>
        <v>20.166101694915255</v>
      </c>
      <c r="T105" s="3">
        <f t="shared" si="106"/>
        <v>12.801967584037969</v>
      </c>
      <c r="U105" s="3">
        <f t="shared" si="106"/>
        <v>16.564756511372973</v>
      </c>
      <c r="V105" s="3">
        <f t="shared" si="106"/>
        <v>15.347634042863499</v>
      </c>
      <c r="W105" s="3">
        <f t="shared" ref="W105:AF105" si="107">IF(ISERROR(-W52/W53),"NM",(-W52/W53))</f>
        <v>14.553321975775615</v>
      </c>
      <c r="X105" s="3">
        <f t="shared" si="107"/>
        <v>13.43772441197147</v>
      </c>
      <c r="Y105" s="3">
        <f t="shared" si="107"/>
        <v>12.80552850071196</v>
      </c>
      <c r="Z105" s="3">
        <f t="shared" si="107"/>
        <v>12.391901263847117</v>
      </c>
      <c r="AA105" s="3">
        <f t="shared" si="107"/>
        <v>12.517801150886514</v>
      </c>
      <c r="AB105" s="3">
        <f t="shared" si="107"/>
        <v>10.656448889194714</v>
      </c>
      <c r="AC105" s="3">
        <f t="shared" si="107"/>
        <v>9.7097803818557704</v>
      </c>
      <c r="AD105" s="3">
        <f t="shared" si="107"/>
        <v>9.4016574187346436</v>
      </c>
      <c r="AE105" s="3">
        <f t="shared" si="107"/>
        <v>10.954887682014398</v>
      </c>
      <c r="AF105" s="3">
        <f t="shared" si="107"/>
        <v>13.923317260234787</v>
      </c>
    </row>
    <row r="106" spans="2:32" ht="12.75" customHeight="1" outlineLevel="1">
      <c r="B106" s="21" t="s">
        <v>255</v>
      </c>
      <c r="C106" s="3">
        <f t="shared" ref="C106:V106" si="108">+(C26+C30+C32-C3-C4-C16)/(C26+C30+C32+C41)</f>
        <v>-0.46991557790657057</v>
      </c>
      <c r="D106" s="3">
        <f t="shared" si="108"/>
        <v>-0.29731283981597662</v>
      </c>
      <c r="E106" s="3">
        <f t="shared" si="108"/>
        <v>-0.26811654390716355</v>
      </c>
      <c r="F106" s="3">
        <f t="shared" si="108"/>
        <v>-0.66992556459805475</v>
      </c>
      <c r="G106" s="3">
        <f t="shared" si="108"/>
        <v>-0.60390448454230772</v>
      </c>
      <c r="H106" s="3">
        <f t="shared" si="108"/>
        <v>6.5176585525516858E-3</v>
      </c>
      <c r="I106" s="3">
        <f t="shared" si="108"/>
        <v>-0.29559251280417781</v>
      </c>
      <c r="J106" s="3">
        <f t="shared" si="108"/>
        <v>-0.39174547042429808</v>
      </c>
      <c r="K106" s="3">
        <f t="shared" si="108"/>
        <v>-0.35799753384876526</v>
      </c>
      <c r="L106" s="3">
        <f t="shared" si="108"/>
        <v>-0.19259201744700971</v>
      </c>
      <c r="M106" s="3">
        <f t="shared" si="108"/>
        <v>-0.15240413586462384</v>
      </c>
      <c r="N106" s="3">
        <f t="shared" si="108"/>
        <v>0.3304840201096465</v>
      </c>
      <c r="O106" s="3">
        <f t="shared" si="108"/>
        <v>0.23862720561170686</v>
      </c>
      <c r="P106" s="3">
        <f t="shared" si="108"/>
        <v>4.4986106714501775E-2</v>
      </c>
      <c r="Q106" s="3">
        <f t="shared" si="108"/>
        <v>-8.8374808436108884E-2</v>
      </c>
      <c r="R106" s="3">
        <f t="shared" si="108"/>
        <v>-0.12602956357486436</v>
      </c>
      <c r="S106" s="3">
        <f t="shared" si="108"/>
        <v>-4.7559678779656042E-2</v>
      </c>
      <c r="T106" s="3">
        <f t="shared" si="108"/>
        <v>-0.12661551816241512</v>
      </c>
      <c r="U106" s="3">
        <f t="shared" si="108"/>
        <v>-0.22061758813887369</v>
      </c>
      <c r="V106" s="3">
        <f t="shared" si="108"/>
        <v>-0.25288356539520424</v>
      </c>
      <c r="W106" s="3">
        <f t="shared" ref="W106:AF106" si="109">+(W26+W30+W32-W3-W4-W16)/(W26+W30+W32+W41)</f>
        <v>-0.30900129284797989</v>
      </c>
      <c r="X106" s="3">
        <f t="shared" si="109"/>
        <v>-0.36891767260579034</v>
      </c>
      <c r="Y106" s="3">
        <f t="shared" si="109"/>
        <v>-0.40533803452409084</v>
      </c>
      <c r="Z106" s="3">
        <f t="shared" si="109"/>
        <v>-0.4988476281371505</v>
      </c>
      <c r="AA106" s="3">
        <f t="shared" si="109"/>
        <v>-0.58470917353724206</v>
      </c>
      <c r="AB106" s="3">
        <f t="shared" si="109"/>
        <v>-0.65675201371638714</v>
      </c>
      <c r="AC106" s="3">
        <f t="shared" si="109"/>
        <v>-0.70442922145905207</v>
      </c>
      <c r="AD106" s="3">
        <f t="shared" si="109"/>
        <v>-0.7289185159683037</v>
      </c>
      <c r="AE106" s="3">
        <f t="shared" si="109"/>
        <v>-0.73338288478088842</v>
      </c>
      <c r="AF106" s="3">
        <f t="shared" si="109"/>
        <v>-0.76251156584103363</v>
      </c>
    </row>
    <row r="108" spans="2:32" ht="12.75" customHeight="1">
      <c r="B108" s="9" t="s">
        <v>256</v>
      </c>
    </row>
    <row r="109" spans="2:32" ht="12.75" customHeight="1" outlineLevel="1">
      <c r="B109" s="9"/>
    </row>
    <row r="110" spans="2:32" ht="12.75" customHeight="1" outlineLevel="1">
      <c r="B110" s="21" t="s">
        <v>257</v>
      </c>
    </row>
    <row r="111" spans="2:32" ht="12.75" customHeight="1" outlineLevel="1">
      <c r="B111" s="21" t="s">
        <v>258</v>
      </c>
      <c r="C111" s="3">
        <v>55.173999999999999</v>
      </c>
      <c r="D111" s="3">
        <f t="shared" ref="D111:V111" si="110">C116</f>
        <v>62.828000000000003</v>
      </c>
      <c r="E111" s="3">
        <f t="shared" si="110"/>
        <v>67.727000000000004</v>
      </c>
      <c r="F111" s="3">
        <f t="shared" si="110"/>
        <v>198.2</v>
      </c>
      <c r="G111" s="3">
        <f t="shared" si="110"/>
        <v>223.10599999999999</v>
      </c>
      <c r="H111" s="3">
        <f t="shared" si="110"/>
        <v>242.56800000000001</v>
      </c>
      <c r="I111" s="3">
        <f t="shared" si="110"/>
        <v>361.29899999999998</v>
      </c>
      <c r="J111" s="3">
        <f t="shared" si="110"/>
        <v>447.69600000000003</v>
      </c>
      <c r="K111" s="3">
        <f t="shared" si="110"/>
        <v>528.79899999999998</v>
      </c>
      <c r="L111" s="3">
        <f t="shared" si="110"/>
        <v>699.97</v>
      </c>
      <c r="M111" s="3">
        <f t="shared" si="110"/>
        <v>701.23500000000001</v>
      </c>
      <c r="N111" s="3">
        <f t="shared" si="110"/>
        <v>774.40599999999995</v>
      </c>
      <c r="O111" s="3">
        <f>N116</f>
        <v>1100.259</v>
      </c>
      <c r="P111" s="3">
        <f>O116</f>
        <v>1166.181</v>
      </c>
      <c r="Q111" s="3">
        <f t="shared" si="110"/>
        <v>1674</v>
      </c>
      <c r="R111" s="691">
        <f t="shared" si="110"/>
        <v>2276</v>
      </c>
      <c r="S111" s="3">
        <f t="shared" si="110"/>
        <v>2865</v>
      </c>
      <c r="T111" s="3">
        <f t="shared" si="110"/>
        <v>3295</v>
      </c>
      <c r="U111" s="3">
        <f t="shared" si="110"/>
        <v>3495.7079772151724</v>
      </c>
      <c r="V111" s="3">
        <f t="shared" si="110"/>
        <v>3715.5497589781239</v>
      </c>
      <c r="W111" s="3">
        <f t="shared" ref="W111:AF111" si="111">V116</f>
        <v>3981.0610890456032</v>
      </c>
      <c r="X111" s="3">
        <f t="shared" si="111"/>
        <v>4216.5077388270656</v>
      </c>
      <c r="Y111" s="3">
        <f t="shared" si="111"/>
        <v>4475.0380119020647</v>
      </c>
      <c r="Z111" s="3">
        <f t="shared" si="111"/>
        <v>4759.0650105895838</v>
      </c>
      <c r="AA111" s="3">
        <f t="shared" si="111"/>
        <v>5067.5479495668023</v>
      </c>
      <c r="AB111" s="3">
        <f t="shared" si="111"/>
        <v>5150.2396093625002</v>
      </c>
      <c r="AC111" s="3">
        <f t="shared" si="111"/>
        <v>5151.3692423036</v>
      </c>
      <c r="AD111" s="3">
        <f t="shared" si="111"/>
        <v>5130.8303806865533</v>
      </c>
      <c r="AE111" s="3">
        <f t="shared" si="111"/>
        <v>5089.5526357497856</v>
      </c>
      <c r="AF111" s="3">
        <f t="shared" si="111"/>
        <v>4897.6965059203148</v>
      </c>
    </row>
    <row r="112" spans="2:32" ht="12.75" customHeight="1" outlineLevel="1">
      <c r="B112" s="21" t="s">
        <v>259</v>
      </c>
      <c r="C112" s="3">
        <f>-CF!C26</f>
        <v>26.331</v>
      </c>
      <c r="D112" s="3">
        <f>-CF!D26</f>
        <v>17.597000000000001</v>
      </c>
      <c r="E112" s="3">
        <f>-CF!E26</f>
        <v>161.60900000000001</v>
      </c>
      <c r="F112" s="3">
        <f>-CF!F26</f>
        <v>51.366</v>
      </c>
      <c r="G112" s="3">
        <f>-CF!G26</f>
        <v>47.951000000000001</v>
      </c>
      <c r="H112" s="3">
        <f>-CF!H26</f>
        <v>105.208</v>
      </c>
      <c r="I112" s="3">
        <f>-CF!I26</f>
        <v>78.647999999999996</v>
      </c>
      <c r="J112" s="3">
        <f>-CF!J26</f>
        <v>115.005</v>
      </c>
      <c r="K112" s="3">
        <f>-CF!K26</f>
        <v>230.05699999999999</v>
      </c>
      <c r="L112" s="3">
        <f>-CF!L26</f>
        <v>61.884</v>
      </c>
      <c r="M112" s="3">
        <f>-CF!M26</f>
        <v>131.904</v>
      </c>
      <c r="N112" s="3">
        <f>-CF!N26</f>
        <v>397.04599999999999</v>
      </c>
      <c r="O112" s="556">
        <f>-CF!O26</f>
        <v>190.78200000000001</v>
      </c>
      <c r="P112" s="556">
        <f>-CF!P26</f>
        <v>557</v>
      </c>
      <c r="Q112" s="556">
        <f>-CF!Q26</f>
        <v>747</v>
      </c>
      <c r="R112" s="556">
        <f>-CF!R26</f>
        <v>748</v>
      </c>
      <c r="S112" s="556">
        <f>-CF!S26</f>
        <v>590</v>
      </c>
      <c r="T112" s="3">
        <f t="shared" ref="T112:AF112" si="112">T113*T47</f>
        <v>528.06634267660718</v>
      </c>
      <c r="U112" s="3">
        <f t="shared" si="112"/>
        <v>588.99765758484205</v>
      </c>
      <c r="V112" s="3">
        <f t="shared" si="112"/>
        <v>683.21400929294691</v>
      </c>
      <c r="W112" s="3">
        <f t="shared" si="112"/>
        <v>699.83282344152383</v>
      </c>
      <c r="X112" s="3">
        <f t="shared" si="112"/>
        <v>778.52540417621879</v>
      </c>
      <c r="Y112" s="3">
        <f t="shared" si="112"/>
        <v>865.86998592633381</v>
      </c>
      <c r="Z112" s="3">
        <f t="shared" si="112"/>
        <v>958.81253592495887</v>
      </c>
      <c r="AA112" s="3">
        <f t="shared" si="112"/>
        <v>789.40750726216459</v>
      </c>
      <c r="AB112" s="3">
        <f t="shared" si="112"/>
        <v>762.2951327466094</v>
      </c>
      <c r="AC112" s="3">
        <f t="shared" si="112"/>
        <v>797.59791804911481</v>
      </c>
      <c r="AD112" s="3">
        <f t="shared" si="112"/>
        <v>836.61742201626907</v>
      </c>
      <c r="AE112" s="3">
        <f t="shared" si="112"/>
        <v>738.81127074845654</v>
      </c>
      <c r="AF112" s="3">
        <f t="shared" si="112"/>
        <v>742.4974533327786</v>
      </c>
    </row>
    <row r="113" spans="2:32" ht="12.75" customHeight="1" outlineLevel="1">
      <c r="B113" s="22" t="s">
        <v>223</v>
      </c>
      <c r="C113" s="77">
        <f t="shared" ref="C113:P113" si="113">C112/C47</f>
        <v>0.11263683379746672</v>
      </c>
      <c r="D113" s="77">
        <f t="shared" si="113"/>
        <v>3.7697894127980462E-2</v>
      </c>
      <c r="E113" s="77">
        <f t="shared" si="113"/>
        <v>0.18621466036153128</v>
      </c>
      <c r="F113" s="77">
        <f t="shared" si="113"/>
        <v>3.8777855116403019E-2</v>
      </c>
      <c r="G113" s="77">
        <f t="shared" si="113"/>
        <v>2.363981463222244E-2</v>
      </c>
      <c r="H113" s="77">
        <f t="shared" si="113"/>
        <v>3.4768297821363356E-2</v>
      </c>
      <c r="I113" s="77">
        <f t="shared" si="113"/>
        <v>1.8595563054393582E-2</v>
      </c>
      <c r="J113" s="77">
        <f t="shared" si="113"/>
        <v>2.1553670992831377E-2</v>
      </c>
      <c r="K113" s="77">
        <f t="shared" si="113"/>
        <v>3.2811928830588769E-2</v>
      </c>
      <c r="L113" s="77">
        <f t="shared" si="113"/>
        <v>7.7847188851513692E-3</v>
      </c>
      <c r="M113" s="77">
        <f t="shared" si="113"/>
        <v>1.5730225863213196E-2</v>
      </c>
      <c r="N113" s="77">
        <f t="shared" si="113"/>
        <v>4.0921958704117696E-2</v>
      </c>
      <c r="O113" s="557">
        <f t="shared" si="113"/>
        <v>1.703153872599034E-2</v>
      </c>
      <c r="P113" s="557">
        <f t="shared" si="113"/>
        <v>2.2378462452936544E-2</v>
      </c>
      <c r="Q113" s="557">
        <f>Q112/Q47</f>
        <v>2.2886730598363922E-2</v>
      </c>
      <c r="R113" s="557">
        <f>R112/R47</f>
        <v>2.4613359657782167E-2</v>
      </c>
      <c r="S113" s="557">
        <f>S112/S47</f>
        <v>2.2599302868962348E-2</v>
      </c>
      <c r="T113" s="77">
        <f t="shared" ref="T113:AF113" si="114">S113+0.25%</f>
        <v>2.5099302868962347E-2</v>
      </c>
      <c r="U113" s="77">
        <f t="shared" si="114"/>
        <v>2.7599302868962346E-2</v>
      </c>
      <c r="V113" s="77">
        <f t="shared" si="114"/>
        <v>3.0099302868962344E-2</v>
      </c>
      <c r="W113" s="77">
        <f t="shared" si="114"/>
        <v>3.2599302868962343E-2</v>
      </c>
      <c r="X113" s="77">
        <f t="shared" si="114"/>
        <v>3.5099302868962345E-2</v>
      </c>
      <c r="Y113" s="77">
        <f t="shared" si="114"/>
        <v>3.7599302868962348E-2</v>
      </c>
      <c r="Z113" s="77">
        <f t="shared" si="114"/>
        <v>4.009930286896235E-2</v>
      </c>
      <c r="AA113" s="77">
        <f t="shared" si="114"/>
        <v>4.2599302868962352E-2</v>
      </c>
      <c r="AB113" s="77">
        <f t="shared" si="114"/>
        <v>4.5099302868962354E-2</v>
      </c>
      <c r="AC113" s="77">
        <f t="shared" si="114"/>
        <v>4.7599302868962357E-2</v>
      </c>
      <c r="AD113" s="77">
        <f t="shared" si="114"/>
        <v>5.0099302868962359E-2</v>
      </c>
      <c r="AE113" s="77">
        <f t="shared" si="114"/>
        <v>5.2599302868962361E-2</v>
      </c>
      <c r="AF113" s="77">
        <f t="shared" si="114"/>
        <v>5.5099302868962363E-2</v>
      </c>
    </row>
    <row r="114" spans="2:32" ht="12.75" customHeight="1" outlineLevel="1">
      <c r="B114" s="21" t="s">
        <v>260</v>
      </c>
      <c r="C114" s="3">
        <f>-CF!C4</f>
        <v>-13.509</v>
      </c>
      <c r="D114" s="3">
        <f>-CF!D4</f>
        <v>-13.189</v>
      </c>
      <c r="E114" s="3">
        <f>-CF!E4</f>
        <v>-16.533000000000001</v>
      </c>
      <c r="F114" s="3">
        <f>-CF!F4</f>
        <v>-20.265000000000001</v>
      </c>
      <c r="G114" s="3">
        <f>-CF!G4</f>
        <v>-25.285</v>
      </c>
      <c r="H114" s="3">
        <f>-CF!H4</f>
        <v>-27.62</v>
      </c>
      <c r="I114" s="3">
        <f>-CF!I4</f>
        <v>-36.887999999999998</v>
      </c>
      <c r="J114" s="3">
        <f>-CF!J4</f>
        <v>-51.722000000000001</v>
      </c>
      <c r="K114" s="3">
        <f>-CF!K4</f>
        <v>-64.56</v>
      </c>
      <c r="L114" s="3">
        <f>-CF!L4</f>
        <v>-67.239999999999995</v>
      </c>
      <c r="M114" s="3">
        <f>-CF!M4</f>
        <v>-72.186999999999998</v>
      </c>
      <c r="N114" s="3">
        <f>-CF!N4</f>
        <v>-82.846999999999994</v>
      </c>
      <c r="O114" s="556">
        <f>-CF!O4</f>
        <v>-102.64400000000001</v>
      </c>
      <c r="P114" s="556">
        <f>-CF!P4</f>
        <v>-125</v>
      </c>
      <c r="Q114" s="556">
        <f>-CF!Q4</f>
        <v>-161</v>
      </c>
      <c r="R114" s="556">
        <f>-CF!R4</f>
        <v>-177</v>
      </c>
      <c r="S114" s="556">
        <f>-CF!S4</f>
        <v>-233</v>
      </c>
      <c r="T114" s="3">
        <f t="shared" ref="T114:AF114" si="115">-T151</f>
        <v>-327.35836546143503</v>
      </c>
      <c r="U114" s="3">
        <f t="shared" si="115"/>
        <v>-369.15587582189033</v>
      </c>
      <c r="V114" s="3">
        <f t="shared" si="115"/>
        <v>-417.70267922546776</v>
      </c>
      <c r="W114" s="3">
        <f t="shared" si="115"/>
        <v>-464.38617366006127</v>
      </c>
      <c r="X114" s="3">
        <f t="shared" si="115"/>
        <v>-519.99513110121973</v>
      </c>
      <c r="Y114" s="3">
        <f t="shared" si="115"/>
        <v>-581.842987238815</v>
      </c>
      <c r="Z114" s="3">
        <f t="shared" si="115"/>
        <v>-650.32959694774058</v>
      </c>
      <c r="AA114" s="3">
        <f t="shared" si="115"/>
        <v>-706.71584746646658</v>
      </c>
      <c r="AB114" s="3">
        <f t="shared" si="115"/>
        <v>-761.16549980551008</v>
      </c>
      <c r="AC114" s="3">
        <f t="shared" si="115"/>
        <v>-818.13677966616115</v>
      </c>
      <c r="AD114" s="3">
        <f t="shared" si="115"/>
        <v>-877.89516695303746</v>
      </c>
      <c r="AE114" s="3">
        <f t="shared" si="115"/>
        <v>-930.6674005779272</v>
      </c>
      <c r="AF114" s="3">
        <f t="shared" si="115"/>
        <v>-983.70293295883994</v>
      </c>
    </row>
    <row r="115" spans="2:32" ht="12.75" customHeight="1" outlineLevel="1">
      <c r="B115" s="21" t="s">
        <v>261</v>
      </c>
      <c r="C115" s="3">
        <f>+C116-C111-C112-C114</f>
        <v>-5.1679999999999957</v>
      </c>
      <c r="D115" s="3">
        <f t="shared" ref="D115:K115" si="116">+D116-D111-D112-D114</f>
        <v>0.49099999999999966</v>
      </c>
      <c r="E115" s="3">
        <f t="shared" si="116"/>
        <v>-14.603000000000023</v>
      </c>
      <c r="F115" s="3">
        <f t="shared" si="116"/>
        <v>-6.1949999999999932</v>
      </c>
      <c r="G115" s="3">
        <f t="shared" si="116"/>
        <v>-3.2039999999999829</v>
      </c>
      <c r="H115" s="3">
        <f t="shared" si="116"/>
        <v>41.142999999999972</v>
      </c>
      <c r="I115" s="3">
        <f t="shared" si="116"/>
        <v>44.63700000000005</v>
      </c>
      <c r="J115" s="3">
        <f t="shared" si="116"/>
        <v>17.819999999999958</v>
      </c>
      <c r="K115" s="3">
        <f t="shared" si="116"/>
        <v>5.6740000000000634</v>
      </c>
      <c r="L115" s="3">
        <f t="shared" ref="L115:Q115" si="117">+L116-L111-L112-L114</f>
        <v>6.6209999999999809</v>
      </c>
      <c r="M115" s="3">
        <f t="shared" si="117"/>
        <v>13.453999999999937</v>
      </c>
      <c r="N115" s="3">
        <f t="shared" si="117"/>
        <v>11.654000000000067</v>
      </c>
      <c r="O115" s="556">
        <f t="shared" si="117"/>
        <v>-22.21599999999998</v>
      </c>
      <c r="P115" s="556">
        <f t="shared" si="117"/>
        <v>75.81899999999996</v>
      </c>
      <c r="Q115" s="556">
        <f t="shared" si="117"/>
        <v>16</v>
      </c>
      <c r="R115" s="556">
        <f t="shared" ref="R115:S115" si="118">+R116-R111-R112-R114</f>
        <v>18</v>
      </c>
      <c r="S115" s="556">
        <f t="shared" si="118"/>
        <v>73</v>
      </c>
      <c r="T115" s="3">
        <v>0</v>
      </c>
      <c r="U115" s="3">
        <v>0</v>
      </c>
      <c r="V115" s="3">
        <v>0</v>
      </c>
      <c r="W115" s="3">
        <v>0</v>
      </c>
      <c r="X115" s="3">
        <v>0</v>
      </c>
      <c r="Y115" s="3">
        <v>0</v>
      </c>
      <c r="Z115" s="3">
        <v>0</v>
      </c>
      <c r="AA115" s="3">
        <v>0</v>
      </c>
      <c r="AB115" s="3">
        <v>0</v>
      </c>
      <c r="AC115" s="3">
        <v>0</v>
      </c>
      <c r="AD115" s="3">
        <v>0</v>
      </c>
      <c r="AE115" s="3">
        <v>0</v>
      </c>
      <c r="AF115" s="3">
        <v>0</v>
      </c>
    </row>
    <row r="116" spans="2:32" ht="12.75" customHeight="1" outlineLevel="1">
      <c r="B116" s="21" t="s">
        <v>262</v>
      </c>
      <c r="C116" s="8">
        <f t="shared" ref="C116:P116" si="119">+C12</f>
        <v>62.828000000000003</v>
      </c>
      <c r="D116" s="8">
        <f t="shared" si="119"/>
        <v>67.727000000000004</v>
      </c>
      <c r="E116" s="8">
        <f t="shared" si="119"/>
        <v>198.2</v>
      </c>
      <c r="F116" s="8">
        <f t="shared" si="119"/>
        <v>223.10599999999999</v>
      </c>
      <c r="G116" s="8">
        <f t="shared" si="119"/>
        <v>242.56800000000001</v>
      </c>
      <c r="H116" s="8">
        <f t="shared" si="119"/>
        <v>361.29899999999998</v>
      </c>
      <c r="I116" s="8">
        <f t="shared" si="119"/>
        <v>447.69600000000003</v>
      </c>
      <c r="J116" s="8">
        <f t="shared" si="119"/>
        <v>528.79899999999998</v>
      </c>
      <c r="K116" s="8">
        <f t="shared" si="119"/>
        <v>699.97</v>
      </c>
      <c r="L116" s="8">
        <f t="shared" si="119"/>
        <v>701.23500000000001</v>
      </c>
      <c r="M116" s="8">
        <f t="shared" si="119"/>
        <v>774.40599999999995</v>
      </c>
      <c r="N116" s="8">
        <f t="shared" si="119"/>
        <v>1100.259</v>
      </c>
      <c r="O116" s="555">
        <f t="shared" si="119"/>
        <v>1166.181</v>
      </c>
      <c r="P116" s="555">
        <f t="shared" si="119"/>
        <v>1674</v>
      </c>
      <c r="Q116" s="555">
        <f>+Q12</f>
        <v>2276</v>
      </c>
      <c r="R116" s="555">
        <f>+R12</f>
        <v>2865</v>
      </c>
      <c r="S116" s="555">
        <f>+S12</f>
        <v>3295</v>
      </c>
      <c r="T116" s="8">
        <f>T111+T112+T114+T115</f>
        <v>3495.7079772151724</v>
      </c>
      <c r="U116" s="8">
        <f>U111+U112+U114+U115</f>
        <v>3715.5497589781239</v>
      </c>
      <c r="V116" s="8">
        <f>V111+V112+V114+V115</f>
        <v>3981.0610890456032</v>
      </c>
      <c r="W116" s="8">
        <f t="shared" ref="W116:AF116" si="120">W111+W112+W114+W115</f>
        <v>4216.5077388270656</v>
      </c>
      <c r="X116" s="8">
        <f t="shared" si="120"/>
        <v>4475.0380119020647</v>
      </c>
      <c r="Y116" s="8">
        <f t="shared" si="120"/>
        <v>4759.0650105895838</v>
      </c>
      <c r="Z116" s="8">
        <f t="shared" si="120"/>
        <v>5067.5479495668023</v>
      </c>
      <c r="AA116" s="8">
        <f t="shared" si="120"/>
        <v>5150.2396093625002</v>
      </c>
      <c r="AB116" s="8">
        <f t="shared" si="120"/>
        <v>5151.3692423036</v>
      </c>
      <c r="AC116" s="8">
        <f t="shared" si="120"/>
        <v>5130.8303806865533</v>
      </c>
      <c r="AD116" s="8">
        <f t="shared" si="120"/>
        <v>5089.5526357497856</v>
      </c>
      <c r="AE116" s="8">
        <f t="shared" si="120"/>
        <v>4897.6965059203148</v>
      </c>
      <c r="AF116" s="8">
        <f t="shared" si="120"/>
        <v>4656.491026294254</v>
      </c>
    </row>
    <row r="117" spans="2:32" ht="12.75" customHeight="1" outlineLevel="1">
      <c r="B117" s="21" t="s">
        <v>263</v>
      </c>
      <c r="C117" s="3"/>
      <c r="D117" s="3">
        <f t="shared" ref="D117:U117" si="121">+D47/AVERAGE(C111,D111)</f>
        <v>7.9115608210030333</v>
      </c>
      <c r="E117" s="3">
        <f t="shared" si="121"/>
        <v>13.294994446784882</v>
      </c>
      <c r="F117" s="3">
        <f t="shared" si="121"/>
        <v>9.9622979238663234</v>
      </c>
      <c r="G117" s="3">
        <f t="shared" si="121"/>
        <v>9.6291056856536592</v>
      </c>
      <c r="H117" s="3">
        <f t="shared" si="121"/>
        <v>12.99610886585895</v>
      </c>
      <c r="I117" s="3">
        <f t="shared" si="121"/>
        <v>14.007706995083355</v>
      </c>
      <c r="J117" s="3">
        <f t="shared" si="121"/>
        <v>13.19105804114982</v>
      </c>
      <c r="K117" s="3">
        <f t="shared" si="121"/>
        <v>14.360304968279406</v>
      </c>
      <c r="L117" s="3">
        <f t="shared" si="121"/>
        <v>12.938835533774045</v>
      </c>
      <c r="M117" s="3">
        <f t="shared" si="121"/>
        <v>11.968819694477254</v>
      </c>
      <c r="N117" s="3">
        <f t="shared" si="121"/>
        <v>13.150240471767864</v>
      </c>
      <c r="O117" s="3">
        <f t="shared" si="121"/>
        <v>11.950603441148152</v>
      </c>
      <c r="P117" s="3">
        <f t="shared" si="121"/>
        <v>21.963963844388999</v>
      </c>
      <c r="Q117" s="3">
        <f t="shared" si="121"/>
        <v>22.983746458412334</v>
      </c>
      <c r="R117" s="691">
        <f t="shared" si="121"/>
        <v>15.387341772151899</v>
      </c>
      <c r="S117" s="3">
        <f t="shared" si="121"/>
        <v>10.156389807430461</v>
      </c>
      <c r="T117" s="3">
        <f t="shared" si="121"/>
        <v>6.8308714450652301</v>
      </c>
      <c r="U117" s="3">
        <f t="shared" si="121"/>
        <v>6.2853634558828695</v>
      </c>
      <c r="V117" s="3">
        <f>+V47/AVERAGE(U111,V111)</f>
        <v>6.29534164120337</v>
      </c>
      <c r="W117" s="3">
        <f t="shared" ref="W117:AF117" si="122">+W47/AVERAGE(V111,W111)</f>
        <v>5.5784874721532711</v>
      </c>
      <c r="X117" s="3">
        <f t="shared" si="122"/>
        <v>5.4115194265825801</v>
      </c>
      <c r="Y117" s="3">
        <f t="shared" si="122"/>
        <v>5.2991457917935803</v>
      </c>
      <c r="Z117" s="3">
        <f t="shared" si="122"/>
        <v>5.1788360352291374</v>
      </c>
      <c r="AA117" s="3">
        <f t="shared" si="122"/>
        <v>3.7715937293567325</v>
      </c>
      <c r="AB117" s="3">
        <f t="shared" si="122"/>
        <v>3.3084642397463759</v>
      </c>
      <c r="AC117" s="3">
        <f t="shared" si="122"/>
        <v>3.2531819899297187</v>
      </c>
      <c r="AD117" s="3">
        <f t="shared" si="122"/>
        <v>3.2481732542036488</v>
      </c>
      <c r="AE117" s="3">
        <f t="shared" si="122"/>
        <v>2.7486304152854699</v>
      </c>
      <c r="AF117" s="3">
        <f t="shared" si="122"/>
        <v>2.6985655764494654</v>
      </c>
    </row>
    <row r="119" spans="2:32" ht="12.75" customHeight="1">
      <c r="B119" s="9" t="s">
        <v>505</v>
      </c>
    </row>
    <row r="120" spans="2:32" ht="12.75" customHeight="1" outlineLevel="1">
      <c r="B120" s="9"/>
    </row>
    <row r="121" spans="2:32" ht="12.75" customHeight="1" outlineLevel="1">
      <c r="B121" s="21" t="s">
        <v>264</v>
      </c>
      <c r="C121" s="3">
        <f>+C151</f>
        <v>13.509</v>
      </c>
      <c r="D121" s="3">
        <f t="shared" ref="D121:V121" si="123">C121-(C121*(1/$B$155))</f>
        <v>12.54407142857143</v>
      </c>
      <c r="E121" s="3">
        <f t="shared" si="123"/>
        <v>11.648066326530614</v>
      </c>
      <c r="F121" s="3">
        <f t="shared" si="123"/>
        <v>10.816061588921285</v>
      </c>
      <c r="G121" s="3">
        <f t="shared" si="123"/>
        <v>10.043485761141193</v>
      </c>
      <c r="H121" s="3">
        <f t="shared" si="123"/>
        <v>9.3260939210596803</v>
      </c>
      <c r="I121" s="3">
        <f t="shared" si="123"/>
        <v>8.6599443552697029</v>
      </c>
      <c r="J121" s="3">
        <f t="shared" si="123"/>
        <v>8.0413769013218666</v>
      </c>
      <c r="K121" s="3">
        <f t="shared" si="123"/>
        <v>7.4669928369417331</v>
      </c>
      <c r="L121" s="3">
        <f t="shared" si="123"/>
        <v>6.9336362057316094</v>
      </c>
      <c r="M121" s="3">
        <f t="shared" si="123"/>
        <v>6.4383764767507801</v>
      </c>
      <c r="N121" s="3">
        <f t="shared" si="123"/>
        <v>5.9784924426971529</v>
      </c>
      <c r="O121" s="3">
        <f t="shared" si="123"/>
        <v>5.551457268218785</v>
      </c>
      <c r="P121" s="3">
        <f t="shared" si="123"/>
        <v>5.1549246062031573</v>
      </c>
      <c r="Q121" s="3">
        <f t="shared" si="123"/>
        <v>4.7867157057600744</v>
      </c>
      <c r="R121" s="3">
        <f t="shared" si="123"/>
        <v>4.4448074410629266</v>
      </c>
      <c r="S121" s="3">
        <f t="shared" si="123"/>
        <v>4.1273211952727173</v>
      </c>
      <c r="T121" s="3">
        <f t="shared" si="123"/>
        <v>3.8325125384675234</v>
      </c>
      <c r="U121" s="3">
        <f t="shared" si="123"/>
        <v>3.5587616428627005</v>
      </c>
      <c r="V121" s="3">
        <f t="shared" si="123"/>
        <v>3.3045643826582221</v>
      </c>
      <c r="W121" s="3"/>
      <c r="X121" s="3"/>
      <c r="Y121" s="3"/>
      <c r="Z121" s="3"/>
      <c r="AA121" s="3"/>
      <c r="AB121" s="3"/>
      <c r="AC121" s="3"/>
      <c r="AD121" s="3"/>
      <c r="AE121" s="3"/>
      <c r="AF121" s="3"/>
    </row>
    <row r="122" spans="2:32" ht="12.75" customHeight="1" outlineLevel="1">
      <c r="B122" s="21" t="s">
        <v>265</v>
      </c>
      <c r="C122" s="3"/>
      <c r="D122" s="3">
        <f>D151-D121</f>
        <v>0.64492857142857041</v>
      </c>
      <c r="E122" s="3">
        <f>D122</f>
        <v>0.64492857142857041</v>
      </c>
      <c r="F122" s="3">
        <f t="shared" ref="F122:V136" si="124">E122</f>
        <v>0.64492857142857041</v>
      </c>
      <c r="G122" s="3">
        <f t="shared" si="124"/>
        <v>0.64492857142857041</v>
      </c>
      <c r="H122" s="3">
        <f t="shared" si="124"/>
        <v>0.64492857142857041</v>
      </c>
      <c r="I122" s="3">
        <f t="shared" si="124"/>
        <v>0.64492857142857041</v>
      </c>
      <c r="J122" s="3">
        <f t="shared" si="124"/>
        <v>0.64492857142857041</v>
      </c>
      <c r="K122" s="3">
        <f t="shared" si="124"/>
        <v>0.64492857142857041</v>
      </c>
      <c r="L122" s="3">
        <f t="shared" si="124"/>
        <v>0.64492857142857041</v>
      </c>
      <c r="M122" s="3">
        <f t="shared" si="124"/>
        <v>0.64492857142857041</v>
      </c>
      <c r="N122" s="3">
        <f t="shared" si="124"/>
        <v>0.64492857142857041</v>
      </c>
      <c r="O122" s="3">
        <f t="shared" si="124"/>
        <v>0.64492857142857041</v>
      </c>
      <c r="P122" s="3">
        <f t="shared" si="124"/>
        <v>0.64492857142857041</v>
      </c>
      <c r="Q122" s="3">
        <f t="shared" si="124"/>
        <v>0.64492857142857041</v>
      </c>
      <c r="R122" s="3">
        <f t="shared" si="124"/>
        <v>0.64492857142857041</v>
      </c>
      <c r="S122" s="3">
        <f t="shared" si="124"/>
        <v>0.64492857142857041</v>
      </c>
      <c r="T122" s="3">
        <f t="shared" si="124"/>
        <v>0.64492857142857041</v>
      </c>
      <c r="U122" s="3">
        <f t="shared" si="124"/>
        <v>0.64492857142857041</v>
      </c>
      <c r="V122" s="3">
        <f>U122</f>
        <v>0.64492857142857041</v>
      </c>
      <c r="W122" s="3">
        <f t="shared" ref="W122:AF136" si="125">V122</f>
        <v>0.64492857142857041</v>
      </c>
      <c r="X122" s="3">
        <f t="shared" si="125"/>
        <v>0.64492857142857041</v>
      </c>
      <c r="Y122" s="3">
        <f t="shared" si="125"/>
        <v>0.64492857142857041</v>
      </c>
      <c r="Z122" s="3">
        <f t="shared" si="125"/>
        <v>0.64492857142857041</v>
      </c>
      <c r="AA122" s="3">
        <f t="shared" si="125"/>
        <v>0.64492857142857041</v>
      </c>
      <c r="AB122" s="3">
        <f t="shared" si="125"/>
        <v>0.64492857142857041</v>
      </c>
      <c r="AC122" s="3">
        <f t="shared" si="125"/>
        <v>0.64492857142857041</v>
      </c>
      <c r="AD122" s="3">
        <f t="shared" si="125"/>
        <v>0.64492857142857041</v>
      </c>
      <c r="AE122" s="3">
        <f t="shared" si="125"/>
        <v>0.64492857142857041</v>
      </c>
      <c r="AF122" s="3">
        <f t="shared" si="125"/>
        <v>0.64492857142857041</v>
      </c>
    </row>
    <row r="123" spans="2:32" ht="12.75" customHeight="1" outlineLevel="1">
      <c r="B123" s="21" t="s">
        <v>266</v>
      </c>
      <c r="C123" s="3"/>
      <c r="D123" s="3"/>
      <c r="E123" s="3">
        <f>E151-E121-E122</f>
        <v>4.2400051020408167</v>
      </c>
      <c r="F123" s="3">
        <f>E123</f>
        <v>4.2400051020408167</v>
      </c>
      <c r="G123" s="3">
        <f t="shared" si="124"/>
        <v>4.2400051020408167</v>
      </c>
      <c r="H123" s="3">
        <f t="shared" si="124"/>
        <v>4.2400051020408167</v>
      </c>
      <c r="I123" s="3">
        <f t="shared" si="124"/>
        <v>4.2400051020408167</v>
      </c>
      <c r="J123" s="3">
        <f t="shared" si="124"/>
        <v>4.2400051020408167</v>
      </c>
      <c r="K123" s="3">
        <f t="shared" si="124"/>
        <v>4.2400051020408167</v>
      </c>
      <c r="L123" s="3">
        <f t="shared" si="124"/>
        <v>4.2400051020408167</v>
      </c>
      <c r="M123" s="3">
        <f t="shared" si="124"/>
        <v>4.2400051020408167</v>
      </c>
      <c r="N123" s="3">
        <f t="shared" si="124"/>
        <v>4.2400051020408167</v>
      </c>
      <c r="O123" s="3">
        <f t="shared" si="124"/>
        <v>4.2400051020408167</v>
      </c>
      <c r="P123" s="3">
        <f t="shared" si="124"/>
        <v>4.2400051020408167</v>
      </c>
      <c r="Q123" s="3">
        <f t="shared" si="124"/>
        <v>4.2400051020408167</v>
      </c>
      <c r="R123" s="3">
        <f t="shared" si="124"/>
        <v>4.2400051020408167</v>
      </c>
      <c r="S123" s="3">
        <f t="shared" si="124"/>
        <v>4.2400051020408167</v>
      </c>
      <c r="T123" s="3">
        <f t="shared" si="124"/>
        <v>4.2400051020408167</v>
      </c>
      <c r="U123" s="3">
        <f t="shared" si="124"/>
        <v>4.2400051020408167</v>
      </c>
      <c r="V123" s="3">
        <f t="shared" si="124"/>
        <v>4.2400051020408167</v>
      </c>
      <c r="W123" s="3">
        <f t="shared" si="125"/>
        <v>4.2400051020408167</v>
      </c>
      <c r="X123" s="3">
        <f t="shared" si="125"/>
        <v>4.2400051020408167</v>
      </c>
      <c r="Y123" s="3">
        <f t="shared" si="125"/>
        <v>4.2400051020408167</v>
      </c>
      <c r="Z123" s="3">
        <f t="shared" si="125"/>
        <v>4.2400051020408167</v>
      </c>
      <c r="AA123" s="3">
        <f t="shared" si="125"/>
        <v>4.2400051020408167</v>
      </c>
      <c r="AB123" s="3">
        <f t="shared" si="125"/>
        <v>4.2400051020408167</v>
      </c>
      <c r="AC123" s="3">
        <f t="shared" si="125"/>
        <v>4.2400051020408167</v>
      </c>
      <c r="AD123" s="3">
        <f t="shared" si="125"/>
        <v>4.2400051020408167</v>
      </c>
      <c r="AE123" s="3">
        <f t="shared" si="125"/>
        <v>4.2400051020408167</v>
      </c>
      <c r="AF123" s="3">
        <f t="shared" si="125"/>
        <v>4.2400051020408167</v>
      </c>
    </row>
    <row r="124" spans="2:32" ht="12.75" customHeight="1" outlineLevel="1">
      <c r="B124" s="21" t="s">
        <v>267</v>
      </c>
      <c r="C124" s="3"/>
      <c r="D124" s="3"/>
      <c r="E124" s="3"/>
      <c r="F124" s="3">
        <f>+F151-F121-F122-F123</f>
        <v>4.5640047376093289</v>
      </c>
      <c r="G124" s="3">
        <f>F124</f>
        <v>4.5640047376093289</v>
      </c>
      <c r="H124" s="3">
        <f t="shared" si="124"/>
        <v>4.5640047376093289</v>
      </c>
      <c r="I124" s="3">
        <f t="shared" si="124"/>
        <v>4.5640047376093289</v>
      </c>
      <c r="J124" s="3">
        <f t="shared" si="124"/>
        <v>4.5640047376093289</v>
      </c>
      <c r="K124" s="3">
        <f t="shared" si="124"/>
        <v>4.5640047376093289</v>
      </c>
      <c r="L124" s="3">
        <f t="shared" si="124"/>
        <v>4.5640047376093289</v>
      </c>
      <c r="M124" s="3">
        <f t="shared" si="124"/>
        <v>4.5640047376093289</v>
      </c>
      <c r="N124" s="3">
        <f t="shared" si="124"/>
        <v>4.5640047376093289</v>
      </c>
      <c r="O124" s="3">
        <f t="shared" si="124"/>
        <v>4.5640047376093289</v>
      </c>
      <c r="P124" s="3">
        <f t="shared" si="124"/>
        <v>4.5640047376093289</v>
      </c>
      <c r="Q124" s="3">
        <f t="shared" si="124"/>
        <v>4.5640047376093289</v>
      </c>
      <c r="R124" s="3">
        <f t="shared" si="124"/>
        <v>4.5640047376093289</v>
      </c>
      <c r="S124" s="3">
        <f t="shared" si="124"/>
        <v>4.5640047376093289</v>
      </c>
      <c r="T124" s="3">
        <f t="shared" si="124"/>
        <v>4.5640047376093289</v>
      </c>
      <c r="U124" s="3">
        <f t="shared" si="124"/>
        <v>4.5640047376093289</v>
      </c>
      <c r="V124" s="3">
        <f t="shared" si="124"/>
        <v>4.5640047376093289</v>
      </c>
      <c r="W124" s="3">
        <f t="shared" si="125"/>
        <v>4.5640047376093289</v>
      </c>
      <c r="X124" s="3">
        <f t="shared" si="125"/>
        <v>4.5640047376093289</v>
      </c>
      <c r="Y124" s="3">
        <f t="shared" si="125"/>
        <v>4.5640047376093289</v>
      </c>
      <c r="Z124" s="3">
        <f t="shared" si="125"/>
        <v>4.5640047376093289</v>
      </c>
      <c r="AA124" s="3">
        <f t="shared" si="125"/>
        <v>4.5640047376093289</v>
      </c>
      <c r="AB124" s="3">
        <f t="shared" si="125"/>
        <v>4.5640047376093289</v>
      </c>
      <c r="AC124" s="3">
        <f t="shared" si="125"/>
        <v>4.5640047376093289</v>
      </c>
      <c r="AD124" s="3">
        <f t="shared" si="125"/>
        <v>4.5640047376093289</v>
      </c>
      <c r="AE124" s="3">
        <f t="shared" si="125"/>
        <v>4.5640047376093289</v>
      </c>
      <c r="AF124" s="3">
        <f t="shared" si="125"/>
        <v>4.5640047376093289</v>
      </c>
    </row>
    <row r="125" spans="2:32" ht="12.75" customHeight="1" outlineLevel="1">
      <c r="B125" s="21" t="s">
        <v>268</v>
      </c>
      <c r="C125" s="3"/>
      <c r="D125" s="3"/>
      <c r="E125" s="3"/>
      <c r="F125" s="3"/>
      <c r="G125" s="3">
        <f>+G151-G121-G122-G123-G124</f>
        <v>5.7925758277800909</v>
      </c>
      <c r="H125" s="3">
        <f>G125</f>
        <v>5.7925758277800909</v>
      </c>
      <c r="I125" s="3">
        <f t="shared" si="124"/>
        <v>5.7925758277800909</v>
      </c>
      <c r="J125" s="3">
        <f t="shared" si="124"/>
        <v>5.7925758277800909</v>
      </c>
      <c r="K125" s="3">
        <f t="shared" si="124"/>
        <v>5.7925758277800909</v>
      </c>
      <c r="L125" s="3">
        <f t="shared" si="124"/>
        <v>5.7925758277800909</v>
      </c>
      <c r="M125" s="3">
        <f t="shared" si="124"/>
        <v>5.7925758277800909</v>
      </c>
      <c r="N125" s="3">
        <f t="shared" si="124"/>
        <v>5.7925758277800909</v>
      </c>
      <c r="O125" s="3">
        <f t="shared" si="124"/>
        <v>5.7925758277800909</v>
      </c>
      <c r="P125" s="3">
        <f t="shared" si="124"/>
        <v>5.7925758277800909</v>
      </c>
      <c r="Q125" s="3">
        <f t="shared" si="124"/>
        <v>5.7925758277800909</v>
      </c>
      <c r="R125" s="3">
        <f t="shared" si="124"/>
        <v>5.7925758277800909</v>
      </c>
      <c r="S125" s="3">
        <f t="shared" si="124"/>
        <v>5.7925758277800909</v>
      </c>
      <c r="T125" s="3">
        <f t="shared" si="124"/>
        <v>5.7925758277800909</v>
      </c>
      <c r="U125" s="3">
        <f t="shared" si="124"/>
        <v>5.7925758277800909</v>
      </c>
      <c r="V125" s="3">
        <f t="shared" si="124"/>
        <v>5.7925758277800909</v>
      </c>
      <c r="W125" s="3">
        <f t="shared" si="125"/>
        <v>5.7925758277800909</v>
      </c>
      <c r="X125" s="3">
        <f t="shared" si="125"/>
        <v>5.7925758277800909</v>
      </c>
      <c r="Y125" s="3">
        <f t="shared" si="125"/>
        <v>5.7925758277800909</v>
      </c>
      <c r="Z125" s="3">
        <f t="shared" si="125"/>
        <v>5.7925758277800909</v>
      </c>
      <c r="AA125" s="3">
        <f t="shared" si="125"/>
        <v>5.7925758277800909</v>
      </c>
      <c r="AB125" s="3">
        <f t="shared" si="125"/>
        <v>5.7925758277800909</v>
      </c>
      <c r="AC125" s="3">
        <f t="shared" si="125"/>
        <v>5.7925758277800909</v>
      </c>
      <c r="AD125" s="3">
        <f t="shared" si="125"/>
        <v>5.7925758277800909</v>
      </c>
      <c r="AE125" s="3">
        <f t="shared" si="125"/>
        <v>5.7925758277800909</v>
      </c>
      <c r="AF125" s="3">
        <f t="shared" si="125"/>
        <v>5.7925758277800909</v>
      </c>
    </row>
    <row r="126" spans="2:32" ht="12.75" customHeight="1" outlineLevel="1">
      <c r="B126" s="21" t="s">
        <v>269</v>
      </c>
      <c r="C126" s="3"/>
      <c r="D126" s="3"/>
      <c r="E126" s="3"/>
      <c r="F126" s="3"/>
      <c r="G126" s="3"/>
      <c r="H126" s="3">
        <f>+H151-H121-H122-H123-H124-H125</f>
        <v>3.0523918400815155</v>
      </c>
      <c r="I126" s="3">
        <f>H126</f>
        <v>3.0523918400815155</v>
      </c>
      <c r="J126" s="3">
        <f t="shared" si="124"/>
        <v>3.0523918400815155</v>
      </c>
      <c r="K126" s="3">
        <f t="shared" si="124"/>
        <v>3.0523918400815155</v>
      </c>
      <c r="L126" s="3">
        <f t="shared" si="124"/>
        <v>3.0523918400815155</v>
      </c>
      <c r="M126" s="3">
        <f t="shared" si="124"/>
        <v>3.0523918400815155</v>
      </c>
      <c r="N126" s="3">
        <f t="shared" si="124"/>
        <v>3.0523918400815155</v>
      </c>
      <c r="O126" s="3">
        <f t="shared" si="124"/>
        <v>3.0523918400815155</v>
      </c>
      <c r="P126" s="3">
        <f t="shared" si="124"/>
        <v>3.0523918400815155</v>
      </c>
      <c r="Q126" s="3">
        <f t="shared" si="124"/>
        <v>3.0523918400815155</v>
      </c>
      <c r="R126" s="3">
        <f t="shared" si="124"/>
        <v>3.0523918400815155</v>
      </c>
      <c r="S126" s="3">
        <f t="shared" si="124"/>
        <v>3.0523918400815155</v>
      </c>
      <c r="T126" s="3">
        <f t="shared" si="124"/>
        <v>3.0523918400815155</v>
      </c>
      <c r="U126" s="3">
        <f t="shared" si="124"/>
        <v>3.0523918400815155</v>
      </c>
      <c r="V126" s="3">
        <f t="shared" si="124"/>
        <v>3.0523918400815155</v>
      </c>
      <c r="W126" s="3">
        <f t="shared" si="125"/>
        <v>3.0523918400815155</v>
      </c>
      <c r="X126" s="3">
        <f t="shared" si="125"/>
        <v>3.0523918400815155</v>
      </c>
      <c r="Y126" s="3">
        <f t="shared" si="125"/>
        <v>3.0523918400815155</v>
      </c>
      <c r="Z126" s="3">
        <f t="shared" si="125"/>
        <v>3.0523918400815155</v>
      </c>
      <c r="AA126" s="3">
        <f t="shared" si="125"/>
        <v>3.0523918400815155</v>
      </c>
      <c r="AB126" s="3">
        <f t="shared" si="125"/>
        <v>3.0523918400815155</v>
      </c>
      <c r="AC126" s="3">
        <f t="shared" si="125"/>
        <v>3.0523918400815155</v>
      </c>
      <c r="AD126" s="3">
        <f t="shared" si="125"/>
        <v>3.0523918400815155</v>
      </c>
      <c r="AE126" s="3">
        <f t="shared" si="125"/>
        <v>3.0523918400815155</v>
      </c>
      <c r="AF126" s="3">
        <f t="shared" si="125"/>
        <v>3.0523918400815155</v>
      </c>
    </row>
    <row r="127" spans="2:32" ht="12.75" customHeight="1" outlineLevel="1">
      <c r="B127" s="21" t="s">
        <v>270</v>
      </c>
      <c r="C127" s="3"/>
      <c r="D127" s="3"/>
      <c r="E127" s="3"/>
      <c r="F127" s="3"/>
      <c r="G127" s="3"/>
      <c r="H127" s="3"/>
      <c r="I127" s="3">
        <f>+I151-I121-I122-I123-I124-I125-I126</f>
        <v>9.9341495657899692</v>
      </c>
      <c r="J127" s="3">
        <f>I127</f>
        <v>9.9341495657899692</v>
      </c>
      <c r="K127" s="3">
        <f t="shared" si="124"/>
        <v>9.9341495657899692</v>
      </c>
      <c r="L127" s="3">
        <f t="shared" si="124"/>
        <v>9.9341495657899692</v>
      </c>
      <c r="M127" s="3">
        <f t="shared" si="124"/>
        <v>9.9341495657899692</v>
      </c>
      <c r="N127" s="3">
        <f t="shared" si="124"/>
        <v>9.9341495657899692</v>
      </c>
      <c r="O127" s="3">
        <f t="shared" si="124"/>
        <v>9.9341495657899692</v>
      </c>
      <c r="P127" s="3">
        <f t="shared" si="124"/>
        <v>9.9341495657899692</v>
      </c>
      <c r="Q127" s="3">
        <f t="shared" si="124"/>
        <v>9.9341495657899692</v>
      </c>
      <c r="R127" s="3">
        <f t="shared" si="124"/>
        <v>9.9341495657899692</v>
      </c>
      <c r="S127" s="3">
        <f t="shared" si="124"/>
        <v>9.9341495657899692</v>
      </c>
      <c r="T127" s="3">
        <f t="shared" si="124"/>
        <v>9.9341495657899692</v>
      </c>
      <c r="U127" s="3">
        <f t="shared" si="124"/>
        <v>9.9341495657899692</v>
      </c>
      <c r="V127" s="3">
        <f t="shared" si="124"/>
        <v>9.9341495657899692</v>
      </c>
      <c r="W127" s="3">
        <f t="shared" si="125"/>
        <v>9.9341495657899692</v>
      </c>
      <c r="X127" s="3">
        <f t="shared" si="125"/>
        <v>9.9341495657899692</v>
      </c>
      <c r="Y127" s="3">
        <f t="shared" si="125"/>
        <v>9.9341495657899692</v>
      </c>
      <c r="Z127" s="3">
        <f t="shared" si="125"/>
        <v>9.9341495657899692</v>
      </c>
      <c r="AA127" s="3">
        <f t="shared" si="125"/>
        <v>9.9341495657899692</v>
      </c>
      <c r="AB127" s="3">
        <f t="shared" si="125"/>
        <v>9.9341495657899692</v>
      </c>
      <c r="AC127" s="3">
        <f t="shared" si="125"/>
        <v>9.9341495657899692</v>
      </c>
      <c r="AD127" s="3">
        <f t="shared" si="125"/>
        <v>9.9341495657899692</v>
      </c>
      <c r="AE127" s="3">
        <f t="shared" si="125"/>
        <v>9.9341495657899692</v>
      </c>
      <c r="AF127" s="3">
        <f t="shared" si="125"/>
        <v>9.9341495657899692</v>
      </c>
    </row>
    <row r="128" spans="2:32" ht="12.75" customHeight="1" outlineLevel="1">
      <c r="B128" s="21" t="s">
        <v>271</v>
      </c>
      <c r="C128" s="3"/>
      <c r="D128" s="3"/>
      <c r="E128" s="3"/>
      <c r="F128" s="3"/>
      <c r="G128" s="3"/>
      <c r="H128" s="3"/>
      <c r="I128" s="3"/>
      <c r="J128" s="3">
        <f>+J151-J121-J122-J123-J124-J125-J126-J127</f>
        <v>15.452567453947836</v>
      </c>
      <c r="K128" s="3">
        <f>J128</f>
        <v>15.452567453947836</v>
      </c>
      <c r="L128" s="3">
        <f t="shared" si="124"/>
        <v>15.452567453947836</v>
      </c>
      <c r="M128" s="3">
        <f t="shared" si="124"/>
        <v>15.452567453947836</v>
      </c>
      <c r="N128" s="3">
        <f t="shared" si="124"/>
        <v>15.452567453947836</v>
      </c>
      <c r="O128" s="3">
        <f t="shared" si="124"/>
        <v>15.452567453947836</v>
      </c>
      <c r="P128" s="3">
        <f t="shared" si="124"/>
        <v>15.452567453947836</v>
      </c>
      <c r="Q128" s="3">
        <f t="shared" si="124"/>
        <v>15.452567453947836</v>
      </c>
      <c r="R128" s="3">
        <f t="shared" si="124"/>
        <v>15.452567453947836</v>
      </c>
      <c r="S128" s="3">
        <f t="shared" si="124"/>
        <v>15.452567453947836</v>
      </c>
      <c r="T128" s="3">
        <f t="shared" si="124"/>
        <v>15.452567453947836</v>
      </c>
      <c r="U128" s="3">
        <f t="shared" si="124"/>
        <v>15.452567453947836</v>
      </c>
      <c r="V128" s="3">
        <f t="shared" si="124"/>
        <v>15.452567453947836</v>
      </c>
      <c r="W128" s="3">
        <f t="shared" si="125"/>
        <v>15.452567453947836</v>
      </c>
      <c r="X128" s="3">
        <f t="shared" si="125"/>
        <v>15.452567453947836</v>
      </c>
      <c r="Y128" s="3">
        <f t="shared" si="125"/>
        <v>15.452567453947836</v>
      </c>
      <c r="Z128" s="3">
        <f t="shared" si="125"/>
        <v>15.452567453947836</v>
      </c>
      <c r="AA128" s="3">
        <f t="shared" si="125"/>
        <v>15.452567453947836</v>
      </c>
      <c r="AB128" s="3">
        <f t="shared" si="125"/>
        <v>15.452567453947836</v>
      </c>
      <c r="AC128" s="3">
        <f t="shared" si="125"/>
        <v>15.452567453947836</v>
      </c>
      <c r="AD128" s="3">
        <f t="shared" si="125"/>
        <v>15.452567453947836</v>
      </c>
      <c r="AE128" s="3">
        <f t="shared" si="125"/>
        <v>15.452567453947836</v>
      </c>
      <c r="AF128" s="3">
        <f t="shared" si="125"/>
        <v>15.452567453947836</v>
      </c>
    </row>
    <row r="129" spans="2:32" ht="12.75" customHeight="1" outlineLevel="1">
      <c r="B129" s="21" t="s">
        <v>272</v>
      </c>
      <c r="C129" s="3"/>
      <c r="D129" s="3"/>
      <c r="E129" s="3"/>
      <c r="F129" s="3"/>
      <c r="G129" s="3"/>
      <c r="H129" s="3"/>
      <c r="I129" s="3"/>
      <c r="J129" s="3"/>
      <c r="K129" s="3">
        <f>+K151-K121-K122-K123-K124-K125-K126-K127-K128</f>
        <v>13.412384064380131</v>
      </c>
      <c r="L129" s="3">
        <f>K129</f>
        <v>13.412384064380131</v>
      </c>
      <c r="M129" s="3">
        <f t="shared" si="124"/>
        <v>13.412384064380131</v>
      </c>
      <c r="N129" s="3">
        <f t="shared" si="124"/>
        <v>13.412384064380131</v>
      </c>
      <c r="O129" s="3">
        <f t="shared" si="124"/>
        <v>13.412384064380131</v>
      </c>
      <c r="P129" s="3">
        <f t="shared" si="124"/>
        <v>13.412384064380131</v>
      </c>
      <c r="Q129" s="3">
        <f t="shared" si="124"/>
        <v>13.412384064380131</v>
      </c>
      <c r="R129" s="3">
        <f t="shared" si="124"/>
        <v>13.412384064380131</v>
      </c>
      <c r="S129" s="3">
        <f t="shared" si="124"/>
        <v>13.412384064380131</v>
      </c>
      <c r="T129" s="3">
        <f t="shared" si="124"/>
        <v>13.412384064380131</v>
      </c>
      <c r="U129" s="3">
        <f t="shared" si="124"/>
        <v>13.412384064380131</v>
      </c>
      <c r="V129" s="3">
        <f t="shared" si="124"/>
        <v>13.412384064380131</v>
      </c>
      <c r="W129" s="3">
        <f t="shared" si="125"/>
        <v>13.412384064380131</v>
      </c>
      <c r="X129" s="3">
        <f t="shared" si="125"/>
        <v>13.412384064380131</v>
      </c>
      <c r="Y129" s="3">
        <f t="shared" si="125"/>
        <v>13.412384064380131</v>
      </c>
      <c r="Z129" s="3">
        <f t="shared" si="125"/>
        <v>13.412384064380131</v>
      </c>
      <c r="AA129" s="3">
        <f t="shared" si="125"/>
        <v>13.412384064380131</v>
      </c>
      <c r="AB129" s="3">
        <f t="shared" si="125"/>
        <v>13.412384064380131</v>
      </c>
      <c r="AC129" s="3">
        <f t="shared" si="125"/>
        <v>13.412384064380131</v>
      </c>
      <c r="AD129" s="3">
        <f t="shared" si="125"/>
        <v>13.412384064380131</v>
      </c>
      <c r="AE129" s="3">
        <f t="shared" si="125"/>
        <v>13.412384064380131</v>
      </c>
      <c r="AF129" s="3">
        <f t="shared" si="125"/>
        <v>13.412384064380131</v>
      </c>
    </row>
    <row r="130" spans="2:32" ht="12.75" customHeight="1" outlineLevel="1">
      <c r="B130" s="21" t="s">
        <v>273</v>
      </c>
      <c r="C130" s="3"/>
      <c r="D130" s="3"/>
      <c r="E130" s="3"/>
      <c r="F130" s="3"/>
      <c r="G130" s="3"/>
      <c r="H130" s="3"/>
      <c r="I130" s="3"/>
      <c r="J130" s="3"/>
      <c r="K130" s="3"/>
      <c r="L130" s="3">
        <f>+L151-L121-L122-L123-L124-L125-L126-L127-L128-L129</f>
        <v>3.2133566312101216</v>
      </c>
      <c r="M130" s="3">
        <f>L130</f>
        <v>3.2133566312101216</v>
      </c>
      <c r="N130" s="3">
        <f t="shared" si="124"/>
        <v>3.2133566312101216</v>
      </c>
      <c r="O130" s="3">
        <f t="shared" si="124"/>
        <v>3.2133566312101216</v>
      </c>
      <c r="P130" s="3">
        <f t="shared" si="124"/>
        <v>3.2133566312101216</v>
      </c>
      <c r="Q130" s="3">
        <f t="shared" si="124"/>
        <v>3.2133566312101216</v>
      </c>
      <c r="R130" s="3">
        <f t="shared" si="124"/>
        <v>3.2133566312101216</v>
      </c>
      <c r="S130" s="3">
        <f t="shared" si="124"/>
        <v>3.2133566312101216</v>
      </c>
      <c r="T130" s="3">
        <f t="shared" si="124"/>
        <v>3.2133566312101216</v>
      </c>
      <c r="U130" s="3">
        <f t="shared" si="124"/>
        <v>3.2133566312101216</v>
      </c>
      <c r="V130" s="3">
        <f t="shared" si="124"/>
        <v>3.2133566312101216</v>
      </c>
      <c r="W130" s="3">
        <f t="shared" si="125"/>
        <v>3.2133566312101216</v>
      </c>
      <c r="X130" s="3">
        <f t="shared" si="125"/>
        <v>3.2133566312101216</v>
      </c>
      <c r="Y130" s="3">
        <f t="shared" si="125"/>
        <v>3.2133566312101216</v>
      </c>
      <c r="Z130" s="3">
        <f t="shared" si="125"/>
        <v>3.2133566312101216</v>
      </c>
      <c r="AA130" s="3">
        <f t="shared" si="125"/>
        <v>3.2133566312101216</v>
      </c>
      <c r="AB130" s="3">
        <f t="shared" si="125"/>
        <v>3.2133566312101216</v>
      </c>
      <c r="AC130" s="3">
        <f t="shared" si="125"/>
        <v>3.2133566312101216</v>
      </c>
      <c r="AD130" s="3">
        <f t="shared" si="125"/>
        <v>3.2133566312101216</v>
      </c>
      <c r="AE130" s="3">
        <f t="shared" si="125"/>
        <v>3.2133566312101216</v>
      </c>
      <c r="AF130" s="3">
        <f t="shared" si="125"/>
        <v>3.2133566312101216</v>
      </c>
    </row>
    <row r="131" spans="2:32" ht="12.75" customHeight="1" outlineLevel="1">
      <c r="B131" s="21" t="s">
        <v>274</v>
      </c>
      <c r="C131" s="3"/>
      <c r="D131" s="3"/>
      <c r="E131" s="3"/>
      <c r="F131" s="3"/>
      <c r="G131" s="3"/>
      <c r="H131" s="3"/>
      <c r="I131" s="3"/>
      <c r="J131" s="3"/>
      <c r="K131" s="3"/>
      <c r="L131" s="3"/>
      <c r="M131" s="3">
        <f>M112/$B$155</f>
        <v>9.4217142857142857</v>
      </c>
      <c r="N131" s="3">
        <f>M131</f>
        <v>9.4217142857142857</v>
      </c>
      <c r="O131" s="3">
        <f t="shared" si="124"/>
        <v>9.4217142857142857</v>
      </c>
      <c r="P131" s="3">
        <f t="shared" si="124"/>
        <v>9.4217142857142857</v>
      </c>
      <c r="Q131" s="3">
        <f t="shared" si="124"/>
        <v>9.4217142857142857</v>
      </c>
      <c r="R131" s="3">
        <f t="shared" si="124"/>
        <v>9.4217142857142857</v>
      </c>
      <c r="S131" s="3">
        <f t="shared" si="124"/>
        <v>9.4217142857142857</v>
      </c>
      <c r="T131" s="3">
        <f t="shared" si="124"/>
        <v>9.4217142857142857</v>
      </c>
      <c r="U131" s="3">
        <f t="shared" si="124"/>
        <v>9.4217142857142857</v>
      </c>
      <c r="V131" s="3">
        <f t="shared" si="124"/>
        <v>9.4217142857142857</v>
      </c>
      <c r="W131" s="3">
        <f t="shared" si="125"/>
        <v>9.4217142857142857</v>
      </c>
      <c r="X131" s="3">
        <f t="shared" si="125"/>
        <v>9.4217142857142857</v>
      </c>
      <c r="Y131" s="3">
        <f t="shared" si="125"/>
        <v>9.4217142857142857</v>
      </c>
      <c r="Z131" s="3">
        <f t="shared" si="125"/>
        <v>9.4217142857142857</v>
      </c>
      <c r="AA131" s="3">
        <f t="shared" si="125"/>
        <v>9.4217142857142857</v>
      </c>
      <c r="AB131" s="3">
        <f t="shared" si="125"/>
        <v>9.4217142857142857</v>
      </c>
      <c r="AC131" s="3">
        <f t="shared" si="125"/>
        <v>9.4217142857142857</v>
      </c>
      <c r="AD131" s="3">
        <f t="shared" si="125"/>
        <v>9.4217142857142857</v>
      </c>
      <c r="AE131" s="3">
        <f t="shared" si="125"/>
        <v>9.4217142857142857</v>
      </c>
      <c r="AF131" s="3">
        <f t="shared" si="125"/>
        <v>9.4217142857142857</v>
      </c>
    </row>
    <row r="132" spans="2:32" ht="12.75" customHeight="1" outlineLevel="1">
      <c r="B132" s="21" t="s">
        <v>275</v>
      </c>
      <c r="C132" s="3"/>
      <c r="D132" s="3"/>
      <c r="E132" s="3"/>
      <c r="F132" s="3"/>
      <c r="G132" s="3"/>
      <c r="H132" s="3"/>
      <c r="I132" s="3"/>
      <c r="J132" s="3"/>
      <c r="K132" s="3"/>
      <c r="L132" s="3"/>
      <c r="M132" s="3"/>
      <c r="N132" s="3">
        <f>+N151-SUM(N121:N131)</f>
        <v>7.1404294773201826</v>
      </c>
      <c r="O132" s="3">
        <f t="shared" si="124"/>
        <v>7.1404294773201826</v>
      </c>
      <c r="P132" s="3">
        <f t="shared" si="124"/>
        <v>7.1404294773201826</v>
      </c>
      <c r="Q132" s="3">
        <f t="shared" si="124"/>
        <v>7.1404294773201826</v>
      </c>
      <c r="R132" s="3">
        <f t="shared" si="124"/>
        <v>7.1404294773201826</v>
      </c>
      <c r="S132" s="3">
        <f t="shared" si="124"/>
        <v>7.1404294773201826</v>
      </c>
      <c r="T132" s="3">
        <f t="shared" si="124"/>
        <v>7.1404294773201826</v>
      </c>
      <c r="U132" s="3">
        <f t="shared" si="124"/>
        <v>7.1404294773201826</v>
      </c>
      <c r="V132" s="3">
        <f t="shared" si="124"/>
        <v>7.1404294773201826</v>
      </c>
      <c r="W132" s="3">
        <f t="shared" si="125"/>
        <v>7.1404294773201826</v>
      </c>
      <c r="X132" s="3">
        <f t="shared" si="125"/>
        <v>7.1404294773201826</v>
      </c>
      <c r="Y132" s="3">
        <f t="shared" si="125"/>
        <v>7.1404294773201826</v>
      </c>
      <c r="Z132" s="3">
        <f t="shared" si="125"/>
        <v>7.1404294773201826</v>
      </c>
      <c r="AA132" s="3">
        <f t="shared" si="125"/>
        <v>7.1404294773201826</v>
      </c>
      <c r="AB132" s="3">
        <f t="shared" si="125"/>
        <v>7.1404294773201826</v>
      </c>
      <c r="AC132" s="3">
        <f t="shared" si="125"/>
        <v>7.1404294773201826</v>
      </c>
      <c r="AD132" s="3">
        <f t="shared" si="125"/>
        <v>7.1404294773201826</v>
      </c>
      <c r="AE132" s="3">
        <f t="shared" si="125"/>
        <v>7.1404294773201826</v>
      </c>
      <c r="AF132" s="3">
        <f t="shared" si="125"/>
        <v>7.1404294773201826</v>
      </c>
    </row>
    <row r="133" spans="2:32" ht="12.75" customHeight="1" outlineLevel="1">
      <c r="B133" s="21" t="s">
        <v>276</v>
      </c>
      <c r="C133" s="3"/>
      <c r="D133" s="3"/>
      <c r="E133" s="3"/>
      <c r="F133" s="3"/>
      <c r="G133" s="3"/>
      <c r="H133" s="3"/>
      <c r="I133" s="3"/>
      <c r="J133" s="3"/>
      <c r="K133" s="3"/>
      <c r="L133" s="3"/>
      <c r="M133" s="3"/>
      <c r="N133" s="3"/>
      <c r="O133" s="556">
        <f>+O151-SUM(O121:O132)</f>
        <v>20.224035174478374</v>
      </c>
      <c r="P133" s="3">
        <f>O133</f>
        <v>20.224035174478374</v>
      </c>
      <c r="Q133" s="3">
        <f t="shared" si="124"/>
        <v>20.224035174478374</v>
      </c>
      <c r="R133" s="3">
        <f t="shared" si="124"/>
        <v>20.224035174478374</v>
      </c>
      <c r="S133" s="3">
        <f t="shared" si="124"/>
        <v>20.224035174478374</v>
      </c>
      <c r="T133" s="3">
        <f t="shared" si="124"/>
        <v>20.224035174478374</v>
      </c>
      <c r="U133" s="3">
        <f t="shared" si="124"/>
        <v>20.224035174478374</v>
      </c>
      <c r="V133" s="3">
        <f t="shared" si="124"/>
        <v>20.224035174478374</v>
      </c>
      <c r="W133" s="3">
        <f t="shared" si="125"/>
        <v>20.224035174478374</v>
      </c>
      <c r="X133" s="3">
        <f t="shared" si="125"/>
        <v>20.224035174478374</v>
      </c>
      <c r="Y133" s="3">
        <f t="shared" si="125"/>
        <v>20.224035174478374</v>
      </c>
      <c r="Z133" s="3">
        <f t="shared" si="125"/>
        <v>20.224035174478374</v>
      </c>
      <c r="AA133" s="3">
        <f t="shared" si="125"/>
        <v>20.224035174478374</v>
      </c>
      <c r="AB133" s="3">
        <f t="shared" si="125"/>
        <v>20.224035174478374</v>
      </c>
      <c r="AC133" s="3">
        <f t="shared" si="125"/>
        <v>20.224035174478374</v>
      </c>
      <c r="AD133" s="3">
        <f t="shared" si="125"/>
        <v>20.224035174478374</v>
      </c>
      <c r="AE133" s="3">
        <f t="shared" si="125"/>
        <v>20.224035174478374</v>
      </c>
      <c r="AF133" s="3">
        <f t="shared" si="125"/>
        <v>20.224035174478374</v>
      </c>
    </row>
    <row r="134" spans="2:32" ht="12.75" customHeight="1" outlineLevel="1">
      <c r="B134" s="21" t="s">
        <v>277</v>
      </c>
      <c r="C134" s="3"/>
      <c r="D134" s="3"/>
      <c r="E134" s="3"/>
      <c r="F134" s="3"/>
      <c r="G134" s="3"/>
      <c r="H134" s="3"/>
      <c r="I134" s="3"/>
      <c r="J134" s="3"/>
      <c r="K134" s="3"/>
      <c r="L134" s="3"/>
      <c r="M134" s="3"/>
      <c r="N134" s="3"/>
      <c r="O134" s="3"/>
      <c r="P134" s="3">
        <f>P$112/$B$155</f>
        <v>39.785714285714285</v>
      </c>
      <c r="Q134" s="3">
        <f>P134</f>
        <v>39.785714285714285</v>
      </c>
      <c r="R134" s="3">
        <f t="shared" si="124"/>
        <v>39.785714285714285</v>
      </c>
      <c r="S134" s="3">
        <f t="shared" si="124"/>
        <v>39.785714285714285</v>
      </c>
      <c r="T134" s="3">
        <f t="shared" si="124"/>
        <v>39.785714285714285</v>
      </c>
      <c r="U134" s="3">
        <f t="shared" si="124"/>
        <v>39.785714285714285</v>
      </c>
      <c r="V134" s="3">
        <f t="shared" si="124"/>
        <v>39.785714285714285</v>
      </c>
      <c r="W134" s="3">
        <f t="shared" si="125"/>
        <v>39.785714285714285</v>
      </c>
      <c r="X134" s="3">
        <f t="shared" si="125"/>
        <v>39.785714285714285</v>
      </c>
      <c r="Y134" s="3">
        <f t="shared" si="125"/>
        <v>39.785714285714285</v>
      </c>
      <c r="Z134" s="3">
        <f t="shared" si="125"/>
        <v>39.785714285714285</v>
      </c>
      <c r="AA134" s="3">
        <f t="shared" si="125"/>
        <v>39.785714285714285</v>
      </c>
      <c r="AB134" s="3">
        <f t="shared" si="125"/>
        <v>39.785714285714285</v>
      </c>
      <c r="AC134" s="3">
        <f t="shared" si="125"/>
        <v>39.785714285714285</v>
      </c>
      <c r="AD134" s="3">
        <f t="shared" si="125"/>
        <v>39.785714285714285</v>
      </c>
      <c r="AE134" s="3">
        <f t="shared" si="125"/>
        <v>39.785714285714285</v>
      </c>
      <c r="AF134" s="3">
        <f t="shared" si="125"/>
        <v>39.785714285714285</v>
      </c>
    </row>
    <row r="135" spans="2:32" ht="12.75" customHeight="1" outlineLevel="1">
      <c r="B135" s="21" t="s">
        <v>278</v>
      </c>
      <c r="C135" s="3"/>
      <c r="D135" s="3"/>
      <c r="E135" s="3"/>
      <c r="F135" s="3"/>
      <c r="G135" s="3"/>
      <c r="H135" s="3"/>
      <c r="I135" s="3"/>
      <c r="J135" s="3"/>
      <c r="K135" s="3"/>
      <c r="L135" s="3"/>
      <c r="M135" s="3"/>
      <c r="N135" s="3"/>
      <c r="O135" s="3"/>
      <c r="P135" s="3"/>
      <c r="Q135" s="3">
        <f>Q$112/$B$155</f>
        <v>53.357142857142854</v>
      </c>
      <c r="R135" s="3">
        <f>Q135</f>
        <v>53.357142857142854</v>
      </c>
      <c r="S135" s="3">
        <f t="shared" si="124"/>
        <v>53.357142857142854</v>
      </c>
      <c r="T135" s="3">
        <f t="shared" si="124"/>
        <v>53.357142857142854</v>
      </c>
      <c r="U135" s="3">
        <f t="shared" si="124"/>
        <v>53.357142857142854</v>
      </c>
      <c r="V135" s="3">
        <f t="shared" si="124"/>
        <v>53.357142857142854</v>
      </c>
      <c r="W135" s="3">
        <f t="shared" si="125"/>
        <v>53.357142857142854</v>
      </c>
      <c r="X135" s="3">
        <f t="shared" si="125"/>
        <v>53.357142857142854</v>
      </c>
      <c r="Y135" s="3">
        <f t="shared" si="125"/>
        <v>53.357142857142854</v>
      </c>
      <c r="Z135" s="3">
        <f t="shared" si="125"/>
        <v>53.357142857142854</v>
      </c>
      <c r="AA135" s="3">
        <f t="shared" si="125"/>
        <v>53.357142857142854</v>
      </c>
      <c r="AB135" s="3">
        <f t="shared" si="125"/>
        <v>53.357142857142854</v>
      </c>
      <c r="AC135" s="3">
        <f t="shared" si="125"/>
        <v>53.357142857142854</v>
      </c>
      <c r="AD135" s="3">
        <f t="shared" si="125"/>
        <v>53.357142857142854</v>
      </c>
      <c r="AE135" s="3">
        <f t="shared" si="125"/>
        <v>53.357142857142854</v>
      </c>
      <c r="AF135" s="3">
        <f t="shared" si="125"/>
        <v>53.357142857142854</v>
      </c>
    </row>
    <row r="136" spans="2:32" ht="12.75" customHeight="1" outlineLevel="1">
      <c r="B136" s="21" t="s">
        <v>279</v>
      </c>
      <c r="C136" s="3"/>
      <c r="D136" s="3"/>
      <c r="E136" s="3"/>
      <c r="F136" s="3"/>
      <c r="G136" s="3"/>
      <c r="H136" s="3"/>
      <c r="I136" s="3"/>
      <c r="J136" s="3"/>
      <c r="K136" s="3"/>
      <c r="L136" s="3"/>
      <c r="M136" s="3"/>
      <c r="N136" s="3"/>
      <c r="O136" s="3"/>
      <c r="P136" s="3"/>
      <c r="Q136" s="3"/>
      <c r="R136" s="3">
        <f>R$112/$B$155</f>
        <v>53.428571428571431</v>
      </c>
      <c r="S136" s="3">
        <f t="shared" si="124"/>
        <v>53.428571428571431</v>
      </c>
      <c r="T136" s="3">
        <f t="shared" si="124"/>
        <v>53.428571428571431</v>
      </c>
      <c r="U136" s="3">
        <f t="shared" si="124"/>
        <v>53.428571428571431</v>
      </c>
      <c r="V136" s="3">
        <f t="shared" si="124"/>
        <v>53.428571428571431</v>
      </c>
      <c r="W136" s="3">
        <f t="shared" si="125"/>
        <v>53.428571428571431</v>
      </c>
      <c r="X136" s="3">
        <f t="shared" si="125"/>
        <v>53.428571428571431</v>
      </c>
      <c r="Y136" s="3">
        <f t="shared" si="125"/>
        <v>53.428571428571431</v>
      </c>
      <c r="Z136" s="3">
        <f t="shared" si="125"/>
        <v>53.428571428571431</v>
      </c>
      <c r="AA136" s="3">
        <f t="shared" si="125"/>
        <v>53.428571428571431</v>
      </c>
      <c r="AB136" s="3">
        <f t="shared" si="125"/>
        <v>53.428571428571431</v>
      </c>
      <c r="AC136" s="3">
        <f t="shared" si="125"/>
        <v>53.428571428571431</v>
      </c>
      <c r="AD136" s="3">
        <f t="shared" si="125"/>
        <v>53.428571428571431</v>
      </c>
      <c r="AE136" s="3">
        <f t="shared" si="125"/>
        <v>53.428571428571431</v>
      </c>
      <c r="AF136" s="3">
        <f t="shared" si="125"/>
        <v>53.428571428571431</v>
      </c>
    </row>
    <row r="137" spans="2:32" ht="12.75" customHeight="1" outlineLevel="1">
      <c r="B137" s="21" t="s">
        <v>280</v>
      </c>
      <c r="C137" s="3"/>
      <c r="D137" s="3"/>
      <c r="E137" s="3"/>
      <c r="F137" s="3"/>
      <c r="G137" s="3"/>
      <c r="H137" s="3"/>
      <c r="I137" s="3"/>
      <c r="J137" s="3"/>
      <c r="K137" s="3"/>
      <c r="L137" s="3"/>
      <c r="M137" s="3"/>
      <c r="N137" s="3"/>
      <c r="O137" s="3"/>
      <c r="P137" s="3"/>
      <c r="Q137" s="3"/>
      <c r="R137" s="3"/>
      <c r="S137" s="3">
        <f>S$112/$B$155</f>
        <v>42.142857142857146</v>
      </c>
      <c r="T137" s="3">
        <f>S137</f>
        <v>42.142857142857146</v>
      </c>
      <c r="U137" s="3">
        <f>T137</f>
        <v>42.142857142857146</v>
      </c>
      <c r="V137" s="3">
        <f>U137</f>
        <v>42.142857142857146</v>
      </c>
      <c r="W137" s="3">
        <f t="shared" ref="W137:AF137" si="126">V137</f>
        <v>42.142857142857146</v>
      </c>
      <c r="X137" s="3">
        <f t="shared" si="126"/>
        <v>42.142857142857146</v>
      </c>
      <c r="Y137" s="3">
        <f t="shared" si="126"/>
        <v>42.142857142857146</v>
      </c>
      <c r="Z137" s="3">
        <f t="shared" si="126"/>
        <v>42.142857142857146</v>
      </c>
      <c r="AA137" s="3">
        <f t="shared" si="126"/>
        <v>42.142857142857146</v>
      </c>
      <c r="AB137" s="3">
        <f t="shared" si="126"/>
        <v>42.142857142857146</v>
      </c>
      <c r="AC137" s="3">
        <f t="shared" si="126"/>
        <v>42.142857142857146</v>
      </c>
      <c r="AD137" s="3">
        <f t="shared" si="126"/>
        <v>42.142857142857146</v>
      </c>
      <c r="AE137" s="3">
        <f t="shared" si="126"/>
        <v>42.142857142857146</v>
      </c>
      <c r="AF137" s="3">
        <f t="shared" si="126"/>
        <v>42.142857142857146</v>
      </c>
    </row>
    <row r="138" spans="2:32" ht="12.75" customHeight="1" outlineLevel="1">
      <c r="B138" s="21" t="s">
        <v>281</v>
      </c>
      <c r="C138" s="3"/>
      <c r="D138" s="3"/>
      <c r="E138" s="3"/>
      <c r="F138" s="3"/>
      <c r="G138" s="3"/>
      <c r="H138" s="3"/>
      <c r="I138" s="3"/>
      <c r="J138" s="3"/>
      <c r="K138" s="3"/>
      <c r="L138" s="3"/>
      <c r="M138" s="3"/>
      <c r="N138" s="3"/>
      <c r="O138" s="3"/>
      <c r="P138" s="3"/>
      <c r="Q138" s="3"/>
      <c r="R138" s="3"/>
      <c r="S138" s="3"/>
      <c r="T138" s="3">
        <f>T$112/$B$155</f>
        <v>37.719024476900515</v>
      </c>
      <c r="U138" s="3">
        <f>T138</f>
        <v>37.719024476900515</v>
      </c>
      <c r="V138" s="3">
        <f>U138</f>
        <v>37.719024476900515</v>
      </c>
      <c r="W138" s="3">
        <f t="shared" ref="W138:AE138" si="127">V138</f>
        <v>37.719024476900515</v>
      </c>
      <c r="X138" s="3">
        <f t="shared" si="127"/>
        <v>37.719024476900515</v>
      </c>
      <c r="Y138" s="3">
        <f t="shared" si="127"/>
        <v>37.719024476900515</v>
      </c>
      <c r="Z138" s="3">
        <f t="shared" si="127"/>
        <v>37.719024476900515</v>
      </c>
      <c r="AA138" s="3">
        <f t="shared" si="127"/>
        <v>37.719024476900515</v>
      </c>
      <c r="AB138" s="3">
        <f t="shared" si="127"/>
        <v>37.719024476900515</v>
      </c>
      <c r="AC138" s="3">
        <f t="shared" si="127"/>
        <v>37.719024476900515</v>
      </c>
      <c r="AD138" s="3">
        <f t="shared" si="127"/>
        <v>37.719024476900515</v>
      </c>
      <c r="AE138" s="3">
        <f t="shared" si="127"/>
        <v>37.719024476900515</v>
      </c>
      <c r="AF138" s="3">
        <f t="shared" ref="AF138:AF149" si="128">AE138</f>
        <v>37.719024476900515</v>
      </c>
    </row>
    <row r="139" spans="2:32" ht="12.75" customHeight="1" outlineLevel="1">
      <c r="B139" s="21" t="s">
        <v>282</v>
      </c>
      <c r="C139" s="3"/>
      <c r="D139" s="3"/>
      <c r="E139" s="3"/>
      <c r="F139" s="3"/>
      <c r="G139" s="3"/>
      <c r="H139" s="3"/>
      <c r="I139" s="3"/>
      <c r="J139" s="3"/>
      <c r="K139" s="3"/>
      <c r="L139" s="3"/>
      <c r="M139" s="3"/>
      <c r="N139" s="3"/>
      <c r="O139" s="3"/>
      <c r="P139" s="3"/>
      <c r="Q139" s="3"/>
      <c r="R139" s="3"/>
      <c r="S139" s="3"/>
      <c r="T139" s="3"/>
      <c r="U139" s="3">
        <f>U$112/$B$155</f>
        <v>42.071261256060147</v>
      </c>
      <c r="V139" s="3">
        <f>U139</f>
        <v>42.071261256060147</v>
      </c>
      <c r="W139" s="3">
        <f>V139</f>
        <v>42.071261256060147</v>
      </c>
      <c r="X139" s="3">
        <f t="shared" ref="X139:AE147" si="129">W139</f>
        <v>42.071261256060147</v>
      </c>
      <c r="Y139" s="3">
        <f t="shared" si="129"/>
        <v>42.071261256060147</v>
      </c>
      <c r="Z139" s="3">
        <f t="shared" si="129"/>
        <v>42.071261256060147</v>
      </c>
      <c r="AA139" s="3">
        <f t="shared" si="129"/>
        <v>42.071261256060147</v>
      </c>
      <c r="AB139" s="3">
        <f t="shared" si="129"/>
        <v>42.071261256060147</v>
      </c>
      <c r="AC139" s="3">
        <f t="shared" si="129"/>
        <v>42.071261256060147</v>
      </c>
      <c r="AD139" s="3">
        <f t="shared" si="129"/>
        <v>42.071261256060147</v>
      </c>
      <c r="AE139" s="3">
        <f t="shared" si="129"/>
        <v>42.071261256060147</v>
      </c>
      <c r="AF139" s="3">
        <f t="shared" si="128"/>
        <v>42.071261256060147</v>
      </c>
    </row>
    <row r="140" spans="2:32" ht="12.75" customHeight="1" outlineLevel="1">
      <c r="B140" s="21" t="s">
        <v>283</v>
      </c>
      <c r="C140" s="3"/>
      <c r="D140" s="3"/>
      <c r="E140" s="3"/>
      <c r="F140" s="3"/>
      <c r="G140" s="3"/>
      <c r="H140" s="3"/>
      <c r="I140" s="3"/>
      <c r="J140" s="3"/>
      <c r="K140" s="3"/>
      <c r="L140" s="3"/>
      <c r="M140" s="3"/>
      <c r="N140" s="3"/>
      <c r="O140" s="3"/>
      <c r="P140" s="3"/>
      <c r="Q140" s="3"/>
      <c r="R140" s="3"/>
      <c r="S140" s="3"/>
      <c r="T140" s="3"/>
      <c r="U140" s="3"/>
      <c r="V140" s="3">
        <f>V$112/$B$155</f>
        <v>48.80100066378192</v>
      </c>
      <c r="W140" s="3">
        <f>V140</f>
        <v>48.80100066378192</v>
      </c>
      <c r="X140" s="3">
        <f t="shared" si="129"/>
        <v>48.80100066378192</v>
      </c>
      <c r="Y140" s="3">
        <f t="shared" si="129"/>
        <v>48.80100066378192</v>
      </c>
      <c r="Z140" s="3">
        <f t="shared" si="129"/>
        <v>48.80100066378192</v>
      </c>
      <c r="AA140" s="3">
        <f t="shared" si="129"/>
        <v>48.80100066378192</v>
      </c>
      <c r="AB140" s="3">
        <f t="shared" si="129"/>
        <v>48.80100066378192</v>
      </c>
      <c r="AC140" s="3">
        <f t="shared" si="129"/>
        <v>48.80100066378192</v>
      </c>
      <c r="AD140" s="3">
        <f t="shared" si="129"/>
        <v>48.80100066378192</v>
      </c>
      <c r="AE140" s="3">
        <f t="shared" si="129"/>
        <v>48.80100066378192</v>
      </c>
      <c r="AF140" s="3">
        <f t="shared" si="128"/>
        <v>48.80100066378192</v>
      </c>
    </row>
    <row r="141" spans="2:32" ht="12.75" customHeight="1" outlineLevel="1">
      <c r="B141" s="21" t="s">
        <v>284</v>
      </c>
      <c r="C141" s="3"/>
      <c r="D141" s="3"/>
      <c r="E141" s="3"/>
      <c r="F141" s="3"/>
      <c r="G141" s="3"/>
      <c r="H141" s="3"/>
      <c r="I141" s="3"/>
      <c r="J141" s="3"/>
      <c r="K141" s="3"/>
      <c r="L141" s="3"/>
      <c r="M141" s="3"/>
      <c r="N141" s="3"/>
      <c r="O141" s="3"/>
      <c r="P141" s="3"/>
      <c r="Q141" s="3"/>
      <c r="R141" s="3"/>
      <c r="S141" s="3"/>
      <c r="T141" s="3"/>
      <c r="U141" s="3"/>
      <c r="V141" s="3"/>
      <c r="W141" s="3">
        <f>W$112/$B$155</f>
        <v>49.988058817251705</v>
      </c>
      <c r="X141" s="3">
        <f>W141</f>
        <v>49.988058817251705</v>
      </c>
      <c r="Y141" s="3">
        <f t="shared" si="129"/>
        <v>49.988058817251705</v>
      </c>
      <c r="Z141" s="3">
        <f t="shared" si="129"/>
        <v>49.988058817251705</v>
      </c>
      <c r="AA141" s="3">
        <f t="shared" si="129"/>
        <v>49.988058817251705</v>
      </c>
      <c r="AB141" s="3">
        <f t="shared" si="129"/>
        <v>49.988058817251705</v>
      </c>
      <c r="AC141" s="3">
        <f t="shared" si="129"/>
        <v>49.988058817251705</v>
      </c>
      <c r="AD141" s="3">
        <f t="shared" si="129"/>
        <v>49.988058817251705</v>
      </c>
      <c r="AE141" s="3">
        <f t="shared" si="129"/>
        <v>49.988058817251705</v>
      </c>
      <c r="AF141" s="3">
        <f t="shared" si="128"/>
        <v>49.988058817251705</v>
      </c>
    </row>
    <row r="142" spans="2:32" ht="12.75" customHeight="1" outlineLevel="1">
      <c r="B142" s="21" t="s">
        <v>285</v>
      </c>
      <c r="C142" s="3"/>
      <c r="D142" s="3"/>
      <c r="E142" s="3"/>
      <c r="F142" s="3"/>
      <c r="G142" s="3"/>
      <c r="H142" s="3"/>
      <c r="I142" s="3"/>
      <c r="J142" s="3"/>
      <c r="K142" s="3"/>
      <c r="L142" s="3"/>
      <c r="M142" s="3"/>
      <c r="N142" s="3"/>
      <c r="O142" s="3"/>
      <c r="P142" s="3"/>
      <c r="Q142" s="3"/>
      <c r="R142" s="3"/>
      <c r="S142" s="3"/>
      <c r="T142" s="3"/>
      <c r="U142" s="3"/>
      <c r="V142" s="3"/>
      <c r="W142" s="3"/>
      <c r="X142" s="3">
        <f>X$112/$B$155</f>
        <v>55.608957441158488</v>
      </c>
      <c r="Y142" s="3">
        <f>X142</f>
        <v>55.608957441158488</v>
      </c>
      <c r="Z142" s="3">
        <f t="shared" si="129"/>
        <v>55.608957441158488</v>
      </c>
      <c r="AA142" s="3">
        <f t="shared" si="129"/>
        <v>55.608957441158488</v>
      </c>
      <c r="AB142" s="3">
        <f t="shared" si="129"/>
        <v>55.608957441158488</v>
      </c>
      <c r="AC142" s="3">
        <f t="shared" si="129"/>
        <v>55.608957441158488</v>
      </c>
      <c r="AD142" s="3">
        <f t="shared" si="129"/>
        <v>55.608957441158488</v>
      </c>
      <c r="AE142" s="3">
        <f t="shared" si="129"/>
        <v>55.608957441158488</v>
      </c>
      <c r="AF142" s="3">
        <f t="shared" si="128"/>
        <v>55.608957441158488</v>
      </c>
    </row>
    <row r="143" spans="2:32" ht="12.75" customHeight="1" outlineLevel="1">
      <c r="B143" s="21" t="s">
        <v>791</v>
      </c>
      <c r="C143" s="3"/>
      <c r="D143" s="3"/>
      <c r="E143" s="3"/>
      <c r="F143" s="3"/>
      <c r="G143" s="3"/>
      <c r="H143" s="3"/>
      <c r="I143" s="3"/>
      <c r="J143" s="3"/>
      <c r="K143" s="3"/>
      <c r="L143" s="3"/>
      <c r="M143" s="3"/>
      <c r="N143" s="3"/>
      <c r="O143" s="3"/>
      <c r="P143" s="3"/>
      <c r="Q143" s="3"/>
      <c r="R143" s="3"/>
      <c r="S143" s="3"/>
      <c r="T143" s="3"/>
      <c r="U143" s="3"/>
      <c r="V143" s="3"/>
      <c r="W143" s="3"/>
      <c r="X143" s="3"/>
      <c r="Y143" s="3">
        <f>Y$112/$B$155</f>
        <v>61.847856137595272</v>
      </c>
      <c r="Z143" s="3">
        <f>Y143</f>
        <v>61.847856137595272</v>
      </c>
      <c r="AA143" s="3">
        <f t="shared" si="129"/>
        <v>61.847856137595272</v>
      </c>
      <c r="AB143" s="3">
        <f t="shared" si="129"/>
        <v>61.847856137595272</v>
      </c>
      <c r="AC143" s="3">
        <f t="shared" si="129"/>
        <v>61.847856137595272</v>
      </c>
      <c r="AD143" s="3">
        <f t="shared" si="129"/>
        <v>61.847856137595272</v>
      </c>
      <c r="AE143" s="3">
        <f t="shared" si="129"/>
        <v>61.847856137595272</v>
      </c>
      <c r="AF143" s="3">
        <f t="shared" si="128"/>
        <v>61.847856137595272</v>
      </c>
    </row>
    <row r="144" spans="2:32" ht="12.75" customHeight="1" outlineLevel="1">
      <c r="B144" s="21" t="s">
        <v>792</v>
      </c>
      <c r="C144" s="3"/>
      <c r="D144" s="3"/>
      <c r="E144" s="3"/>
      <c r="F144" s="3"/>
      <c r="G144" s="3"/>
      <c r="H144" s="3"/>
      <c r="I144" s="3"/>
      <c r="J144" s="3"/>
      <c r="K144" s="3"/>
      <c r="L144" s="3"/>
      <c r="M144" s="3"/>
      <c r="N144" s="3"/>
      <c r="O144" s="3"/>
      <c r="P144" s="3"/>
      <c r="Q144" s="3"/>
      <c r="R144" s="3"/>
      <c r="S144" s="3"/>
      <c r="T144" s="3"/>
      <c r="U144" s="3"/>
      <c r="V144" s="3"/>
      <c r="W144" s="3"/>
      <c r="X144" s="3"/>
      <c r="Y144" s="3"/>
      <c r="Z144" s="3">
        <f>Z$112/$B$155</f>
        <v>68.486609708925627</v>
      </c>
      <c r="AA144" s="3">
        <f>Z144</f>
        <v>68.486609708925627</v>
      </c>
      <c r="AB144" s="3">
        <f t="shared" si="129"/>
        <v>68.486609708925627</v>
      </c>
      <c r="AC144" s="3">
        <f t="shared" si="129"/>
        <v>68.486609708925627</v>
      </c>
      <c r="AD144" s="3">
        <f t="shared" si="129"/>
        <v>68.486609708925627</v>
      </c>
      <c r="AE144" s="3">
        <f t="shared" si="129"/>
        <v>68.486609708925627</v>
      </c>
      <c r="AF144" s="3">
        <f t="shared" si="128"/>
        <v>68.486609708925627</v>
      </c>
    </row>
    <row r="145" spans="2:32" ht="12.75" customHeight="1" outlineLevel="1">
      <c r="B145" s="21" t="s">
        <v>793</v>
      </c>
      <c r="C145" s="3"/>
      <c r="D145" s="3"/>
      <c r="E145" s="3"/>
      <c r="F145" s="3"/>
      <c r="G145" s="3"/>
      <c r="H145" s="3"/>
      <c r="I145" s="3"/>
      <c r="J145" s="3"/>
      <c r="K145" s="3"/>
      <c r="L145" s="3"/>
      <c r="M145" s="3"/>
      <c r="N145" s="3"/>
      <c r="O145" s="3"/>
      <c r="P145" s="3"/>
      <c r="Q145" s="3"/>
      <c r="R145" s="3"/>
      <c r="S145" s="3"/>
      <c r="T145" s="3"/>
      <c r="U145" s="3"/>
      <c r="V145" s="3"/>
      <c r="W145" s="3"/>
      <c r="X145" s="3"/>
      <c r="Y145" s="3"/>
      <c r="Z145" s="3"/>
      <c r="AA145" s="3">
        <f>AA$112/$B$155</f>
        <v>56.386250518726044</v>
      </c>
      <c r="AB145" s="3">
        <f>AA145</f>
        <v>56.386250518726044</v>
      </c>
      <c r="AC145" s="3">
        <f t="shared" si="129"/>
        <v>56.386250518726044</v>
      </c>
      <c r="AD145" s="3">
        <f t="shared" si="129"/>
        <v>56.386250518726044</v>
      </c>
      <c r="AE145" s="3">
        <f t="shared" si="129"/>
        <v>56.386250518726044</v>
      </c>
      <c r="AF145" s="3">
        <f t="shared" si="128"/>
        <v>56.386250518726044</v>
      </c>
    </row>
    <row r="146" spans="2:32" ht="12.75" customHeight="1" outlineLevel="1">
      <c r="B146" s="21" t="s">
        <v>794</v>
      </c>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f>AB$112/$B$155</f>
        <v>54.449652339043531</v>
      </c>
      <c r="AC146" s="3">
        <f>AB146</f>
        <v>54.449652339043531</v>
      </c>
      <c r="AD146" s="3">
        <f t="shared" si="129"/>
        <v>54.449652339043531</v>
      </c>
      <c r="AE146" s="3">
        <f t="shared" si="129"/>
        <v>54.449652339043531</v>
      </c>
      <c r="AF146" s="3">
        <f t="shared" si="128"/>
        <v>54.449652339043531</v>
      </c>
    </row>
    <row r="147" spans="2:32" ht="12.75" customHeight="1" outlineLevel="1">
      <c r="B147" s="21" t="s">
        <v>795</v>
      </c>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f>AC$112/$B$155</f>
        <v>56.971279860651059</v>
      </c>
      <c r="AD147" s="3">
        <f>AC147</f>
        <v>56.971279860651059</v>
      </c>
      <c r="AE147" s="3">
        <f t="shared" si="129"/>
        <v>56.971279860651059</v>
      </c>
      <c r="AF147" s="3">
        <f t="shared" si="128"/>
        <v>56.971279860651059</v>
      </c>
    </row>
    <row r="148" spans="2:32" ht="12.75" customHeight="1" outlineLevel="1">
      <c r="B148" s="21" t="s">
        <v>796</v>
      </c>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f>AD$112/$B$155</f>
        <v>59.758387286876363</v>
      </c>
      <c r="AE148" s="3">
        <f>AD148</f>
        <v>59.758387286876363</v>
      </c>
      <c r="AF148" s="3">
        <f t="shared" si="128"/>
        <v>59.758387286876363</v>
      </c>
    </row>
    <row r="149" spans="2:32" ht="12.75" customHeight="1" outlineLevel="1">
      <c r="B149" s="21" t="s">
        <v>797</v>
      </c>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f>AE$112/$B$155</f>
        <v>52.772233624889751</v>
      </c>
      <c r="AF149" s="3">
        <f t="shared" si="128"/>
        <v>52.772233624889751</v>
      </c>
    </row>
    <row r="150" spans="2:32" ht="12.75" customHeight="1" outlineLevel="1">
      <c r="B150" s="21" t="s">
        <v>798</v>
      </c>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f>AF$112/$B$155</f>
        <v>53.035532380912755</v>
      </c>
    </row>
    <row r="151" spans="2:32" ht="12.75" customHeight="1" outlineLevel="1">
      <c r="B151" s="21" t="s">
        <v>286</v>
      </c>
      <c r="C151" s="3">
        <f>CF!C4</f>
        <v>13.509</v>
      </c>
      <c r="D151" s="3">
        <f>CF!D4</f>
        <v>13.189</v>
      </c>
      <c r="E151" s="3">
        <f>CF!E4</f>
        <v>16.533000000000001</v>
      </c>
      <c r="F151" s="3">
        <f>CF!F4</f>
        <v>20.265000000000001</v>
      </c>
      <c r="G151" s="3">
        <f>CF!G4</f>
        <v>25.285</v>
      </c>
      <c r="H151" s="3">
        <f>CF!H4</f>
        <v>27.62</v>
      </c>
      <c r="I151" s="3">
        <f>CF!I4</f>
        <v>36.887999999999998</v>
      </c>
      <c r="J151" s="3">
        <f>CF!J4</f>
        <v>51.722000000000001</v>
      </c>
      <c r="K151" s="3">
        <f>CF!K4</f>
        <v>64.56</v>
      </c>
      <c r="L151" s="3">
        <f>CF!L4</f>
        <v>67.239999999999995</v>
      </c>
      <c r="M151" s="3">
        <f>CF!M4</f>
        <v>72.186999999999998</v>
      </c>
      <c r="N151" s="556">
        <f>CF!N4</f>
        <v>82.846999999999994</v>
      </c>
      <c r="O151" s="556">
        <f>CF!O4</f>
        <v>102.64400000000001</v>
      </c>
      <c r="P151" s="556">
        <f>CF!P4</f>
        <v>125</v>
      </c>
      <c r="Q151" s="556">
        <f>CF!Q4</f>
        <v>161</v>
      </c>
      <c r="R151" s="556">
        <f>CF!R4</f>
        <v>177</v>
      </c>
      <c r="S151" s="556">
        <f>CF!S4</f>
        <v>233</v>
      </c>
      <c r="T151" s="3">
        <f>SUM(T121:T138)</f>
        <v>327.35836546143503</v>
      </c>
      <c r="U151" s="3">
        <f>SUM(U121:U139)</f>
        <v>369.15587582189033</v>
      </c>
      <c r="V151" s="3">
        <f>SUM(V121:V140)</f>
        <v>417.70267922546776</v>
      </c>
      <c r="W151" s="3">
        <f>SUM(W121:W141)</f>
        <v>464.38617366006127</v>
      </c>
      <c r="X151" s="3">
        <f>SUM(X121:X142)</f>
        <v>519.99513110121973</v>
      </c>
      <c r="Y151" s="3">
        <f>SUM(Y121:Y143)</f>
        <v>581.842987238815</v>
      </c>
      <c r="Z151" s="3">
        <f>SUM(Z121:Z144)</f>
        <v>650.32959694774058</v>
      </c>
      <c r="AA151" s="3">
        <f>SUM(AA121:AA145)</f>
        <v>706.71584746646658</v>
      </c>
      <c r="AB151" s="3">
        <f>SUM(AB121:AB146)</f>
        <v>761.16549980551008</v>
      </c>
      <c r="AC151" s="3">
        <f>SUM(AC121:AC147)</f>
        <v>818.13677966616115</v>
      </c>
      <c r="AD151" s="3">
        <f>SUM(AD121:AD148)</f>
        <v>877.89516695303746</v>
      </c>
      <c r="AE151" s="3">
        <f>SUM(AE121:AE149)</f>
        <v>930.6674005779272</v>
      </c>
      <c r="AF151" s="3">
        <f>SUM(AF121:AF150)</f>
        <v>983.70293295883994</v>
      </c>
    </row>
    <row r="152" spans="2:32" ht="12.75" customHeight="1" outlineLevel="1">
      <c r="B152" s="21" t="s">
        <v>287</v>
      </c>
      <c r="C152" s="8">
        <f t="shared" ref="C152:AF152" si="130">C151+C167</f>
        <v>13.509</v>
      </c>
      <c r="D152" s="8">
        <f t="shared" si="130"/>
        <v>13.189</v>
      </c>
      <c r="E152" s="8">
        <f t="shared" si="130"/>
        <v>16.533000000000001</v>
      </c>
      <c r="F152" s="8">
        <f t="shared" si="130"/>
        <v>20.265000000000001</v>
      </c>
      <c r="G152" s="8">
        <f t="shared" si="130"/>
        <v>25.285</v>
      </c>
      <c r="H152" s="8">
        <f t="shared" si="130"/>
        <v>27.62</v>
      </c>
      <c r="I152" s="8">
        <f t="shared" si="130"/>
        <v>36.887999999999998</v>
      </c>
      <c r="J152" s="8">
        <f t="shared" si="130"/>
        <v>54.521999999999998</v>
      </c>
      <c r="K152" s="8">
        <f t="shared" si="130"/>
        <v>107.96000000000001</v>
      </c>
      <c r="L152" s="8">
        <f t="shared" si="130"/>
        <v>127.13999999999999</v>
      </c>
      <c r="M152" s="8">
        <f t="shared" si="130"/>
        <v>302.23199999999997</v>
      </c>
      <c r="N152" s="8">
        <f t="shared" si="130"/>
        <v>278.20600000000002</v>
      </c>
      <c r="O152" s="8">
        <f t="shared" si="130"/>
        <v>344.70400000000001</v>
      </c>
      <c r="P152" s="8">
        <f t="shared" si="130"/>
        <v>1050</v>
      </c>
      <c r="Q152" s="8">
        <f t="shared" si="130"/>
        <v>1098</v>
      </c>
      <c r="R152" s="8">
        <f t="shared" si="130"/>
        <v>1158</v>
      </c>
      <c r="S152" s="8">
        <f t="shared" si="130"/>
        <v>1286</v>
      </c>
      <c r="T152" s="8">
        <f t="shared" si="130"/>
        <v>1380.3583654614349</v>
      </c>
      <c r="U152" s="8">
        <f t="shared" si="130"/>
        <v>1422.1558758218903</v>
      </c>
      <c r="V152" s="8">
        <f t="shared" si="130"/>
        <v>1470.7026792254678</v>
      </c>
      <c r="W152" s="8">
        <f t="shared" si="130"/>
        <v>1517.3861736600613</v>
      </c>
      <c r="X152" s="8">
        <f t="shared" si="130"/>
        <v>1572.9951311012196</v>
      </c>
      <c r="Y152" s="8">
        <f t="shared" si="130"/>
        <v>1634.8429872388151</v>
      </c>
      <c r="Z152" s="8">
        <f t="shared" si="130"/>
        <v>1703.3295969477406</v>
      </c>
      <c r="AA152" s="8">
        <f t="shared" si="130"/>
        <v>1759.7158474664666</v>
      </c>
      <c r="AB152" s="8">
        <f t="shared" si="130"/>
        <v>1814.1654998055101</v>
      </c>
      <c r="AC152" s="8">
        <f t="shared" si="130"/>
        <v>1871.1367796661611</v>
      </c>
      <c r="AD152" s="8">
        <f t="shared" si="130"/>
        <v>1930.8951669530375</v>
      </c>
      <c r="AE152" s="8">
        <f t="shared" si="130"/>
        <v>1983.6674005779273</v>
      </c>
      <c r="AF152" s="8">
        <f t="shared" si="130"/>
        <v>2036.7029329588399</v>
      </c>
    </row>
    <row r="153" spans="2:32" ht="12.75" customHeight="1" outlineLevel="1">
      <c r="B153" s="22" t="s">
        <v>495</v>
      </c>
      <c r="C153" s="77">
        <f t="shared" ref="C153:AF153" si="131">+C151/C49</f>
        <v>4.3201980210685206E-2</v>
      </c>
      <c r="D153" s="77">
        <f t="shared" si="131"/>
        <v>4.1729550495318915E-2</v>
      </c>
      <c r="E153" s="77">
        <f t="shared" si="131"/>
        <v>3.8603250210142902E-2</v>
      </c>
      <c r="F153" s="77">
        <f t="shared" si="131"/>
        <v>3.8501436323013082E-2</v>
      </c>
      <c r="G153" s="77">
        <f t="shared" si="131"/>
        <v>3.8368274740215598E-2</v>
      </c>
      <c r="H153" s="77">
        <f t="shared" si="131"/>
        <v>3.309508546368467E-2</v>
      </c>
      <c r="I153" s="77">
        <f t="shared" si="131"/>
        <v>3.2836442683102693E-2</v>
      </c>
      <c r="J153" s="77">
        <f t="shared" si="131"/>
        <v>3.7587023821635687E-2</v>
      </c>
      <c r="K153" s="77">
        <f t="shared" si="131"/>
        <v>3.9094433403214029E-2</v>
      </c>
      <c r="L153" s="77">
        <f t="shared" si="131"/>
        <v>3.8391354294418978E-2</v>
      </c>
      <c r="M153" s="77">
        <f t="shared" si="131"/>
        <v>3.2617162789857039E-2</v>
      </c>
      <c r="N153" s="77">
        <f t="shared" si="131"/>
        <v>3.0440997075206866E-2</v>
      </c>
      <c r="O153" s="77">
        <f t="shared" si="131"/>
        <v>2.9286082548497478E-2</v>
      </c>
      <c r="P153" s="77">
        <f t="shared" si="131"/>
        <v>2.340083381851062E-2</v>
      </c>
      <c r="Q153" s="77">
        <f t="shared" si="131"/>
        <v>2.6528258362168398E-2</v>
      </c>
      <c r="R153" s="77">
        <f t="shared" si="131"/>
        <v>2.5493302606942245E-2</v>
      </c>
      <c r="S153" s="77">
        <f t="shared" si="131"/>
        <v>3.5016531409678392E-2</v>
      </c>
      <c r="T153" s="77">
        <f t="shared" si="131"/>
        <v>4.6765480780205003E-2</v>
      </c>
      <c r="U153" s="77">
        <f t="shared" si="131"/>
        <v>5.2085485124781707E-2</v>
      </c>
      <c r="V153" s="77">
        <f>+V151/V49</f>
        <v>5.8935122289307619E-2</v>
      </c>
      <c r="W153" s="77">
        <f>+W151/W49</f>
        <v>6.4722811659938859E-2</v>
      </c>
      <c r="X153" s="77">
        <f t="shared" si="131"/>
        <v>7.2473189003654334E-2</v>
      </c>
      <c r="Y153" s="77">
        <f t="shared" si="131"/>
        <v>8.2093615202008294E-2</v>
      </c>
      <c r="Z153" s="77">
        <f t="shared" si="131"/>
        <v>9.2873772068340216E-2</v>
      </c>
      <c r="AA153" s="77">
        <f t="shared" si="131"/>
        <v>9.9742220996446584E-2</v>
      </c>
      <c r="AB153" s="77">
        <f t="shared" si="131"/>
        <v>0.10615044916077936</v>
      </c>
      <c r="AC153" s="77">
        <f t="shared" si="131"/>
        <v>0.11272261078734772</v>
      </c>
      <c r="AD153" s="77">
        <f t="shared" si="131"/>
        <v>0.13656962226414648</v>
      </c>
      <c r="AE153" s="77">
        <f t="shared" si="131"/>
        <v>0.57911650563754302</v>
      </c>
      <c r="AF153" s="77">
        <f t="shared" si="131"/>
        <v>1.2242367246704158</v>
      </c>
    </row>
    <row r="154" spans="2:32" ht="12.75" customHeight="1" outlineLevel="1">
      <c r="B154" s="22" t="s">
        <v>288</v>
      </c>
      <c r="C154" s="77">
        <f t="shared" ref="C154:AF154" si="132">+C167/C49</f>
        <v>0</v>
      </c>
      <c r="D154" s="77">
        <f t="shared" si="132"/>
        <v>0</v>
      </c>
      <c r="E154" s="77">
        <f t="shared" si="132"/>
        <v>0</v>
      </c>
      <c r="F154" s="77">
        <f t="shared" si="132"/>
        <v>0</v>
      </c>
      <c r="G154" s="77">
        <f t="shared" si="132"/>
        <v>0</v>
      </c>
      <c r="H154" s="77">
        <f t="shared" si="132"/>
        <v>0</v>
      </c>
      <c r="I154" s="77">
        <f t="shared" si="132"/>
        <v>0</v>
      </c>
      <c r="J154" s="77">
        <f t="shared" si="132"/>
        <v>2.0347949944043136E-3</v>
      </c>
      <c r="K154" s="77">
        <f t="shared" si="132"/>
        <v>2.6280954301417112E-2</v>
      </c>
      <c r="L154" s="77">
        <f t="shared" si="132"/>
        <v>3.4200507469299479E-2</v>
      </c>
      <c r="M154" s="77">
        <f t="shared" si="132"/>
        <v>0.1039441341791827</v>
      </c>
      <c r="N154" s="77">
        <f t="shared" si="132"/>
        <v>7.1781992680668441E-2</v>
      </c>
      <c r="O154" s="77">
        <f t="shared" si="132"/>
        <v>6.9063843397464048E-2</v>
      </c>
      <c r="P154" s="77">
        <f t="shared" si="132"/>
        <v>0.17316617025697859</v>
      </c>
      <c r="Q154" s="77">
        <f t="shared" si="132"/>
        <v>0.15439116823199869</v>
      </c>
      <c r="R154" s="77">
        <f t="shared" si="132"/>
        <v>0.14129338902491717</v>
      </c>
      <c r="S154" s="77">
        <f t="shared" si="132"/>
        <v>0.15825067628494138</v>
      </c>
      <c r="T154" s="77">
        <f t="shared" si="132"/>
        <v>0.15042857142857144</v>
      </c>
      <c r="U154" s="77">
        <f t="shared" si="132"/>
        <v>0.14857142857142858</v>
      </c>
      <c r="V154" s="77">
        <f>+V167/V49</f>
        <v>0.14857142857142858</v>
      </c>
      <c r="W154" s="77">
        <f>+W167/W49</f>
        <v>0.14675958188153312</v>
      </c>
      <c r="X154" s="77">
        <f t="shared" si="132"/>
        <v>0.14675958188153315</v>
      </c>
      <c r="Y154" s="77">
        <f t="shared" si="132"/>
        <v>0.14857028219579438</v>
      </c>
      <c r="Z154" s="77">
        <f t="shared" si="132"/>
        <v>0.15037925760561838</v>
      </c>
      <c r="AA154" s="77">
        <f t="shared" si="132"/>
        <v>0.14861497599888168</v>
      </c>
      <c r="AB154" s="77">
        <f t="shared" si="132"/>
        <v>0.14684904005089736</v>
      </c>
      <c r="AC154" s="77">
        <f t="shared" si="132"/>
        <v>0.14508198642225956</v>
      </c>
      <c r="AD154" s="77">
        <f t="shared" si="132"/>
        <v>0.16380977781580519</v>
      </c>
      <c r="AE154" s="77">
        <f t="shared" si="132"/>
        <v>0.65523911126322076</v>
      </c>
      <c r="AF154" s="77">
        <f t="shared" si="132"/>
        <v>1.3104782225264415</v>
      </c>
    </row>
    <row r="155" spans="2:32" ht="12.75" customHeight="1">
      <c r="B155" s="122">
        <v>14</v>
      </c>
    </row>
    <row r="156" spans="2:32" ht="12.75" customHeight="1">
      <c r="B156" s="9" t="s">
        <v>289</v>
      </c>
    </row>
    <row r="157" spans="2:32" ht="12.75" customHeight="1" outlineLevel="1">
      <c r="B157" s="9"/>
    </row>
    <row r="158" spans="2:32" ht="12.75" customHeight="1" outlineLevel="1">
      <c r="B158" s="1" t="s">
        <v>290</v>
      </c>
      <c r="N158" s="117"/>
      <c r="O158" s="117"/>
      <c r="P158" s="644">
        <v>0</v>
      </c>
      <c r="Q158" s="644">
        <v>0</v>
      </c>
      <c r="R158" s="644">
        <v>0</v>
      </c>
      <c r="S158" s="644">
        <v>11900</v>
      </c>
      <c r="T158" s="644">
        <v>0</v>
      </c>
      <c r="U158" s="644">
        <v>0</v>
      </c>
      <c r="V158" s="644">
        <v>0</v>
      </c>
      <c r="W158" s="644">
        <v>0</v>
      </c>
      <c r="X158" s="644">
        <v>0</v>
      </c>
      <c r="Y158" s="644">
        <v>0</v>
      </c>
      <c r="Z158" s="644">
        <v>0</v>
      </c>
      <c r="AA158" s="644">
        <v>0</v>
      </c>
      <c r="AB158" s="644">
        <v>0</v>
      </c>
      <c r="AC158" s="644">
        <v>0</v>
      </c>
      <c r="AD158" s="644">
        <v>0</v>
      </c>
      <c r="AE158" s="644">
        <v>0</v>
      </c>
      <c r="AF158" s="644">
        <v>0</v>
      </c>
    </row>
    <row r="159" spans="2:32" ht="12.75" customHeight="1" outlineLevel="1">
      <c r="B159" s="21" t="s">
        <v>291</v>
      </c>
      <c r="N159" s="117"/>
      <c r="O159" s="117"/>
      <c r="P159" s="117">
        <f t="shared" ref="P159:U159" si="133">+P158*P160</f>
        <v>0</v>
      </c>
      <c r="Q159" s="117">
        <f t="shared" si="133"/>
        <v>0</v>
      </c>
      <c r="R159" s="117">
        <f t="shared" si="133"/>
        <v>0</v>
      </c>
      <c r="S159" s="117">
        <f t="shared" si="133"/>
        <v>0</v>
      </c>
      <c r="T159" s="117">
        <f t="shared" si="133"/>
        <v>0</v>
      </c>
      <c r="U159" s="117">
        <f t="shared" si="133"/>
        <v>0</v>
      </c>
      <c r="V159" s="117">
        <f>+V158*V160</f>
        <v>0</v>
      </c>
      <c r="W159" s="117">
        <f t="shared" ref="W159:AF159" si="134">+W158*W160</f>
        <v>0</v>
      </c>
      <c r="X159" s="117">
        <f t="shared" si="134"/>
        <v>0</v>
      </c>
      <c r="Y159" s="117">
        <f t="shared" si="134"/>
        <v>0</v>
      </c>
      <c r="Z159" s="117">
        <f t="shared" si="134"/>
        <v>0</v>
      </c>
      <c r="AA159" s="117">
        <f t="shared" si="134"/>
        <v>0</v>
      </c>
      <c r="AB159" s="117">
        <f t="shared" si="134"/>
        <v>0</v>
      </c>
      <c r="AC159" s="117">
        <f t="shared" si="134"/>
        <v>0</v>
      </c>
      <c r="AD159" s="117">
        <f t="shared" si="134"/>
        <v>0</v>
      </c>
      <c r="AE159" s="117">
        <f t="shared" si="134"/>
        <v>0</v>
      </c>
      <c r="AF159" s="117">
        <f t="shared" si="134"/>
        <v>0</v>
      </c>
    </row>
    <row r="160" spans="2:32" ht="12.75" customHeight="1" outlineLevel="1">
      <c r="B160" s="21" t="s">
        <v>292</v>
      </c>
      <c r="N160" s="77"/>
      <c r="O160" s="77"/>
      <c r="P160" s="403">
        <v>0.75</v>
      </c>
      <c r="Q160" s="403">
        <v>0.75</v>
      </c>
      <c r="R160" s="403">
        <v>0.75</v>
      </c>
      <c r="S160" s="403">
        <v>0</v>
      </c>
      <c r="T160" s="403">
        <v>0.75</v>
      </c>
      <c r="U160" s="403">
        <v>0.75</v>
      </c>
      <c r="V160" s="403">
        <v>0.75</v>
      </c>
      <c r="W160" s="403">
        <v>0.75</v>
      </c>
      <c r="X160" s="403">
        <v>0.75</v>
      </c>
      <c r="Y160" s="403">
        <v>0.75</v>
      </c>
      <c r="Z160" s="403">
        <v>0.75</v>
      </c>
      <c r="AA160" s="403">
        <v>0.75</v>
      </c>
      <c r="AB160" s="403">
        <v>0.75</v>
      </c>
      <c r="AC160" s="403">
        <v>0.75</v>
      </c>
      <c r="AD160" s="403">
        <v>0.75</v>
      </c>
      <c r="AE160" s="403">
        <v>0.75</v>
      </c>
      <c r="AF160" s="403">
        <v>0.75</v>
      </c>
    </row>
    <row r="161" spans="2:40" ht="12.75" customHeight="1" outlineLevel="1">
      <c r="B161" s="21" t="s">
        <v>293</v>
      </c>
      <c r="N161" s="3"/>
      <c r="O161" s="3"/>
      <c r="P161" s="3">
        <f t="shared" ref="P161:U161" si="135">+P162*P158</f>
        <v>0</v>
      </c>
      <c r="Q161" s="3">
        <f t="shared" si="135"/>
        <v>0</v>
      </c>
      <c r="R161" s="3">
        <f t="shared" si="135"/>
        <v>0</v>
      </c>
      <c r="S161" s="3">
        <f t="shared" si="135"/>
        <v>8925</v>
      </c>
      <c r="T161" s="3">
        <f t="shared" si="135"/>
        <v>0</v>
      </c>
      <c r="U161" s="3">
        <f t="shared" si="135"/>
        <v>0</v>
      </c>
      <c r="V161" s="3">
        <f>+V162*V158</f>
        <v>0</v>
      </c>
      <c r="W161" s="3">
        <f t="shared" ref="W161:AF161" si="136">+W162*W158</f>
        <v>0</v>
      </c>
      <c r="X161" s="3">
        <f t="shared" si="136"/>
        <v>0</v>
      </c>
      <c r="Y161" s="3">
        <f t="shared" si="136"/>
        <v>0</v>
      </c>
      <c r="Z161" s="3">
        <f t="shared" si="136"/>
        <v>0</v>
      </c>
      <c r="AA161" s="3">
        <f t="shared" si="136"/>
        <v>0</v>
      </c>
      <c r="AB161" s="3">
        <f t="shared" si="136"/>
        <v>0</v>
      </c>
      <c r="AC161" s="3">
        <f t="shared" si="136"/>
        <v>0</v>
      </c>
      <c r="AD161" s="3">
        <f t="shared" si="136"/>
        <v>0</v>
      </c>
      <c r="AE161" s="3">
        <f t="shared" si="136"/>
        <v>0</v>
      </c>
      <c r="AF161" s="3">
        <f t="shared" si="136"/>
        <v>0</v>
      </c>
    </row>
    <row r="162" spans="2:40" ht="12.75" customHeight="1" outlineLevel="1">
      <c r="B162" s="21" t="s">
        <v>292</v>
      </c>
      <c r="N162" s="77"/>
      <c r="O162" s="77"/>
      <c r="P162" s="403">
        <v>0</v>
      </c>
      <c r="Q162" s="403">
        <v>0</v>
      </c>
      <c r="R162" s="403">
        <v>0</v>
      </c>
      <c r="S162" s="403">
        <v>0.75</v>
      </c>
      <c r="T162" s="403">
        <v>0</v>
      </c>
      <c r="U162" s="403">
        <v>0</v>
      </c>
      <c r="V162" s="403">
        <v>0</v>
      </c>
      <c r="W162" s="403">
        <v>0</v>
      </c>
      <c r="X162" s="403">
        <v>0</v>
      </c>
      <c r="Y162" s="403">
        <v>0</v>
      </c>
      <c r="Z162" s="403">
        <v>0</v>
      </c>
      <c r="AA162" s="403">
        <v>0</v>
      </c>
      <c r="AB162" s="403">
        <v>0</v>
      </c>
      <c r="AC162" s="403">
        <v>0</v>
      </c>
      <c r="AD162" s="403">
        <v>0</v>
      </c>
      <c r="AE162" s="403">
        <v>0</v>
      </c>
      <c r="AF162" s="403">
        <v>0</v>
      </c>
    </row>
    <row r="163" spans="2:40" ht="12.75" customHeight="1" outlineLevel="1">
      <c r="B163" s="21" t="s">
        <v>294</v>
      </c>
      <c r="N163" s="3"/>
      <c r="O163" s="3"/>
      <c r="P163" s="3">
        <f t="shared" ref="P163:U163" si="137">+P164*P158</f>
        <v>0</v>
      </c>
      <c r="Q163" s="3">
        <f t="shared" si="137"/>
        <v>0</v>
      </c>
      <c r="R163" s="3">
        <f t="shared" si="137"/>
        <v>0</v>
      </c>
      <c r="S163" s="3">
        <f t="shared" si="137"/>
        <v>2975</v>
      </c>
      <c r="T163" s="3">
        <f t="shared" si="137"/>
        <v>0</v>
      </c>
      <c r="U163" s="3">
        <f t="shared" si="137"/>
        <v>0</v>
      </c>
      <c r="V163" s="3">
        <f>+V164*V158</f>
        <v>0</v>
      </c>
      <c r="W163" s="3">
        <f t="shared" ref="W163:AF163" si="138">+W164*W158</f>
        <v>0</v>
      </c>
      <c r="X163" s="3">
        <f t="shared" si="138"/>
        <v>0</v>
      </c>
      <c r="Y163" s="3">
        <f t="shared" si="138"/>
        <v>0</v>
      </c>
      <c r="Z163" s="3">
        <f t="shared" si="138"/>
        <v>0</v>
      </c>
      <c r="AA163" s="3">
        <f t="shared" si="138"/>
        <v>0</v>
      </c>
      <c r="AB163" s="3">
        <f t="shared" si="138"/>
        <v>0</v>
      </c>
      <c r="AC163" s="3">
        <f t="shared" si="138"/>
        <v>0</v>
      </c>
      <c r="AD163" s="3">
        <f t="shared" si="138"/>
        <v>0</v>
      </c>
      <c r="AE163" s="3">
        <f t="shared" si="138"/>
        <v>0</v>
      </c>
      <c r="AF163" s="3">
        <f t="shared" si="138"/>
        <v>0</v>
      </c>
    </row>
    <row r="164" spans="2:40" ht="12.75" customHeight="1" outlineLevel="1">
      <c r="B164" s="21" t="s">
        <v>292</v>
      </c>
      <c r="N164" s="77"/>
      <c r="O164" s="77"/>
      <c r="P164" s="403">
        <v>0.25</v>
      </c>
      <c r="Q164" s="403">
        <v>0.25</v>
      </c>
      <c r="R164" s="403">
        <v>0.25</v>
      </c>
      <c r="S164" s="403">
        <v>0.25</v>
      </c>
      <c r="T164" s="403">
        <v>0.25</v>
      </c>
      <c r="U164" s="403">
        <v>0.25</v>
      </c>
      <c r="V164" s="403">
        <v>0.25</v>
      </c>
      <c r="W164" s="403">
        <v>0.25</v>
      </c>
      <c r="X164" s="403">
        <v>0.25</v>
      </c>
      <c r="Y164" s="403">
        <v>0.25</v>
      </c>
      <c r="Z164" s="403">
        <v>0.25</v>
      </c>
      <c r="AA164" s="403">
        <v>0.25</v>
      </c>
      <c r="AB164" s="403">
        <v>0.25</v>
      </c>
      <c r="AC164" s="403">
        <v>0.25</v>
      </c>
      <c r="AD164" s="403">
        <v>0.25</v>
      </c>
      <c r="AE164" s="403">
        <v>0.25</v>
      </c>
      <c r="AF164" s="403">
        <v>0.25</v>
      </c>
    </row>
    <row r="165" spans="2:40" ht="12.75" customHeight="1" outlineLevel="1">
      <c r="B165" s="20" t="s">
        <v>295</v>
      </c>
      <c r="C165" s="8">
        <f t="shared" ref="C165:P165" si="139">C17</f>
        <v>0</v>
      </c>
      <c r="D165" s="8">
        <f t="shared" si="139"/>
        <v>0</v>
      </c>
      <c r="E165" s="8">
        <f t="shared" si="139"/>
        <v>0</v>
      </c>
      <c r="F165" s="8">
        <f t="shared" si="139"/>
        <v>0</v>
      </c>
      <c r="G165" s="8">
        <f t="shared" si="139"/>
        <v>0</v>
      </c>
      <c r="H165" s="8">
        <f t="shared" si="139"/>
        <v>0</v>
      </c>
      <c r="I165" s="8">
        <f t="shared" si="139"/>
        <v>0</v>
      </c>
      <c r="J165" s="8">
        <f t="shared" si="139"/>
        <v>120.648</v>
      </c>
      <c r="K165" s="8">
        <f t="shared" si="139"/>
        <v>462.55799999999999</v>
      </c>
      <c r="L165" s="8">
        <f t="shared" si="139"/>
        <v>532.66899999999998</v>
      </c>
      <c r="M165" s="8">
        <f t="shared" si="139"/>
        <v>0</v>
      </c>
      <c r="N165" s="591">
        <f t="shared" si="139"/>
        <v>1060.9190000000001</v>
      </c>
      <c r="O165" s="591">
        <f t="shared" si="139"/>
        <v>1169.0229999999999</v>
      </c>
      <c r="P165" s="591">
        <f t="shared" si="139"/>
        <v>1172</v>
      </c>
      <c r="Q165" s="591">
        <f>Q17</f>
        <v>1172</v>
      </c>
      <c r="R165" s="591">
        <f>R17</f>
        <v>1172</v>
      </c>
      <c r="S165" s="591">
        <f>S17</f>
        <v>4159</v>
      </c>
      <c r="T165" s="8">
        <f t="shared" ref="T165:AF165" si="140">S165+T161</f>
        <v>4159</v>
      </c>
      <c r="U165" s="8">
        <f t="shared" si="140"/>
        <v>4159</v>
      </c>
      <c r="V165" s="8">
        <f t="shared" si="140"/>
        <v>4159</v>
      </c>
      <c r="W165" s="8">
        <f t="shared" si="140"/>
        <v>4159</v>
      </c>
      <c r="X165" s="8">
        <f t="shared" si="140"/>
        <v>4159</v>
      </c>
      <c r="Y165" s="8">
        <f t="shared" si="140"/>
        <v>4159</v>
      </c>
      <c r="Z165" s="8">
        <f t="shared" si="140"/>
        <v>4159</v>
      </c>
      <c r="AA165" s="8">
        <f t="shared" si="140"/>
        <v>4159</v>
      </c>
      <c r="AB165" s="8">
        <f t="shared" si="140"/>
        <v>4159</v>
      </c>
      <c r="AC165" s="8">
        <f t="shared" si="140"/>
        <v>4159</v>
      </c>
      <c r="AD165" s="8">
        <f t="shared" si="140"/>
        <v>4159</v>
      </c>
      <c r="AE165" s="8">
        <f t="shared" si="140"/>
        <v>4159</v>
      </c>
      <c r="AF165" s="8">
        <f t="shared" si="140"/>
        <v>4159</v>
      </c>
    </row>
    <row r="166" spans="2:40" ht="12.75" customHeight="1" outlineLevel="1">
      <c r="B166" s="20" t="s">
        <v>296</v>
      </c>
      <c r="C166" s="8">
        <f t="shared" ref="C166:P166" si="141">C15</f>
        <v>0</v>
      </c>
      <c r="D166" s="8">
        <f t="shared" si="141"/>
        <v>0</v>
      </c>
      <c r="E166" s="8">
        <f t="shared" si="141"/>
        <v>0</v>
      </c>
      <c r="F166" s="8">
        <f t="shared" si="141"/>
        <v>0</v>
      </c>
      <c r="G166" s="8">
        <f t="shared" si="141"/>
        <v>0</v>
      </c>
      <c r="H166" s="8">
        <f t="shared" si="141"/>
        <v>0</v>
      </c>
      <c r="I166" s="8">
        <f t="shared" si="141"/>
        <v>0</v>
      </c>
      <c r="J166" s="8">
        <f t="shared" si="141"/>
        <v>2.3599999999999994</v>
      </c>
      <c r="K166" s="8">
        <f t="shared" si="141"/>
        <v>1062.2190000000001</v>
      </c>
      <c r="L166" s="8">
        <f t="shared" si="141"/>
        <v>892.92300000000012</v>
      </c>
      <c r="M166" s="8">
        <f t="shared" si="141"/>
        <v>2066.9659999999999</v>
      </c>
      <c r="N166" s="591">
        <f t="shared" si="141"/>
        <v>11736.393</v>
      </c>
      <c r="O166" s="591">
        <f t="shared" si="141"/>
        <v>11900.106</v>
      </c>
      <c r="P166" s="591">
        <f t="shared" si="141"/>
        <v>11073</v>
      </c>
      <c r="Q166" s="591">
        <f>Q15</f>
        <v>10247</v>
      </c>
      <c r="R166" s="591">
        <f>R15</f>
        <v>8971</v>
      </c>
      <c r="S166" s="591">
        <f>S15</f>
        <v>17100</v>
      </c>
      <c r="T166" s="8">
        <f t="shared" ref="T166:AF166" si="142">S166+T163-T167</f>
        <v>16047</v>
      </c>
      <c r="U166" s="8">
        <f t="shared" si="142"/>
        <v>14994</v>
      </c>
      <c r="V166" s="8">
        <f t="shared" si="142"/>
        <v>13941</v>
      </c>
      <c r="W166" s="8">
        <f t="shared" si="142"/>
        <v>12888</v>
      </c>
      <c r="X166" s="8">
        <f t="shared" si="142"/>
        <v>11835</v>
      </c>
      <c r="Y166" s="8">
        <f t="shared" si="142"/>
        <v>10782</v>
      </c>
      <c r="Z166" s="8">
        <f t="shared" si="142"/>
        <v>9729</v>
      </c>
      <c r="AA166" s="8">
        <f t="shared" si="142"/>
        <v>8676</v>
      </c>
      <c r="AB166" s="8">
        <f t="shared" si="142"/>
        <v>7623</v>
      </c>
      <c r="AC166" s="8">
        <f t="shared" si="142"/>
        <v>6570</v>
      </c>
      <c r="AD166" s="8">
        <f t="shared" si="142"/>
        <v>5517</v>
      </c>
      <c r="AE166" s="8">
        <f t="shared" si="142"/>
        <v>4464</v>
      </c>
      <c r="AF166" s="8">
        <f t="shared" si="142"/>
        <v>3411</v>
      </c>
    </row>
    <row r="167" spans="2:40" ht="12.75" customHeight="1" outlineLevel="1">
      <c r="B167" s="20" t="s">
        <v>297</v>
      </c>
      <c r="C167" s="3">
        <v>0</v>
      </c>
      <c r="D167" s="3">
        <v>0</v>
      </c>
      <c r="E167" s="3">
        <v>0</v>
      </c>
      <c r="F167" s="3">
        <v>0</v>
      </c>
      <c r="G167" s="3">
        <v>0</v>
      </c>
      <c r="H167" s="3">
        <v>0</v>
      </c>
      <c r="I167" s="3">
        <v>0</v>
      </c>
      <c r="J167" s="3">
        <v>2.8</v>
      </c>
      <c r="K167" s="3">
        <v>43.4</v>
      </c>
      <c r="L167" s="3">
        <v>59.9</v>
      </c>
      <c r="M167" s="3">
        <f>CF!M5</f>
        <v>230.04499999999999</v>
      </c>
      <c r="N167" s="3">
        <f>CF!N5</f>
        <v>195.35900000000001</v>
      </c>
      <c r="O167" s="3">
        <f>CF!O5</f>
        <v>242.06</v>
      </c>
      <c r="P167" s="3">
        <f>CF!P5</f>
        <v>925</v>
      </c>
      <c r="Q167" s="3">
        <f>CF!Q5</f>
        <v>937</v>
      </c>
      <c r="R167" s="691">
        <f>CF!R5</f>
        <v>981</v>
      </c>
      <c r="S167" s="3">
        <f>CF!S5</f>
        <v>1053</v>
      </c>
      <c r="T167" s="3">
        <f t="shared" ref="T167:AF167" si="143">IF(S166+T163-S167&lt;0,0,S167)</f>
        <v>1053</v>
      </c>
      <c r="U167" s="3">
        <f t="shared" si="143"/>
        <v>1053</v>
      </c>
      <c r="V167" s="3">
        <f t="shared" si="143"/>
        <v>1053</v>
      </c>
      <c r="W167" s="3">
        <f t="shared" si="143"/>
        <v>1053</v>
      </c>
      <c r="X167" s="3">
        <f t="shared" si="143"/>
        <v>1053</v>
      </c>
      <c r="Y167" s="3">
        <f t="shared" si="143"/>
        <v>1053</v>
      </c>
      <c r="Z167" s="3">
        <f t="shared" si="143"/>
        <v>1053</v>
      </c>
      <c r="AA167" s="3">
        <f t="shared" si="143"/>
        <v>1053</v>
      </c>
      <c r="AB167" s="3">
        <f t="shared" si="143"/>
        <v>1053</v>
      </c>
      <c r="AC167" s="3">
        <f t="shared" si="143"/>
        <v>1053</v>
      </c>
      <c r="AD167" s="3">
        <f t="shared" si="143"/>
        <v>1053</v>
      </c>
      <c r="AE167" s="3">
        <f t="shared" si="143"/>
        <v>1053</v>
      </c>
      <c r="AF167" s="3">
        <f t="shared" si="143"/>
        <v>1053</v>
      </c>
    </row>
    <row r="168" spans="2:40" ht="12.75" customHeight="1" outlineLevel="1">
      <c r="B168" s="21" t="s">
        <v>298</v>
      </c>
      <c r="C168" s="26"/>
      <c r="D168" s="179" t="str">
        <f>IF(ISERROR(+AVERAGE(D166/D167,C166/C167)),"NM",+AVERAGE(D166/D167,C166/C167))</f>
        <v>NM</v>
      </c>
      <c r="E168" s="179" t="str">
        <f t="shared" ref="E168:U168" si="144">IF(ISERROR(+AVERAGE(E166/E167,D166/D167)),"NM",+AVERAGE(E166/E167,D166/D167))</f>
        <v>NM</v>
      </c>
      <c r="F168" s="179" t="str">
        <f t="shared" si="144"/>
        <v>NM</v>
      </c>
      <c r="G168" s="179" t="str">
        <f t="shared" si="144"/>
        <v>NM</v>
      </c>
      <c r="H168" s="179" t="str">
        <f t="shared" si="144"/>
        <v>NM</v>
      </c>
      <c r="I168" s="179" t="str">
        <f t="shared" si="144"/>
        <v>NM</v>
      </c>
      <c r="J168" s="179" t="str">
        <f t="shared" si="144"/>
        <v>NM</v>
      </c>
      <c r="K168" s="26">
        <f t="shared" si="144"/>
        <v>12.65897465437788</v>
      </c>
      <c r="L168" s="26">
        <f t="shared" si="144"/>
        <v>19.690993495303232</v>
      </c>
      <c r="M168" s="26">
        <f t="shared" si="144"/>
        <v>11.945972787823941</v>
      </c>
      <c r="N168" s="26">
        <f t="shared" si="144"/>
        <v>34.530540004947028</v>
      </c>
      <c r="O168" s="26">
        <f>IF(ISERROR(+AVERAGE(O166/O167,N166/N167)),"NM",+AVERAGE(O166/O167,N166/N167))</f>
        <v>54.618916058874682</v>
      </c>
      <c r="P168" s="26">
        <f>IF(ISERROR(+AVERAGE(P166/P167,O166/O167)),"NM",+AVERAGE(P166/P167,O166/O167))</f>
        <v>30.566306834803076</v>
      </c>
      <c r="Q168" s="26">
        <f t="shared" si="144"/>
        <v>11.453388329631659</v>
      </c>
      <c r="R168" s="26">
        <f t="shared" si="144"/>
        <v>10.040358051647253</v>
      </c>
      <c r="S168" s="26">
        <f t="shared" si="144"/>
        <v>12.692033247079118</v>
      </c>
      <c r="T168" s="26">
        <f t="shared" si="144"/>
        <v>15.739316239316238</v>
      </c>
      <c r="U168" s="26">
        <f t="shared" si="144"/>
        <v>14.739316239316238</v>
      </c>
      <c r="V168" s="26">
        <f>IF(ISERROR(+AVERAGE(V166/V167,U166/U167)),"NM",+AVERAGE(V166/V167,U166/U167))</f>
        <v>13.739316239316238</v>
      </c>
      <c r="W168" s="26">
        <f t="shared" ref="W168:AE168" si="145">IF(ISERROR(+AVERAGE(W166/W167,V166/V167)),"NM",+AVERAGE(W166/W167,V166/V167))</f>
        <v>12.739316239316238</v>
      </c>
      <c r="X168" s="26">
        <f t="shared" si="145"/>
        <v>11.739316239316238</v>
      </c>
      <c r="Y168" s="26">
        <f t="shared" si="145"/>
        <v>10.739316239316238</v>
      </c>
      <c r="Z168" s="26">
        <f t="shared" si="145"/>
        <v>9.7393162393162385</v>
      </c>
      <c r="AA168" s="26">
        <f t="shared" si="145"/>
        <v>8.7393162393162385</v>
      </c>
      <c r="AB168" s="26">
        <f t="shared" si="145"/>
        <v>7.7393162393162385</v>
      </c>
      <c r="AC168" s="26">
        <f t="shared" si="145"/>
        <v>6.7393162393162394</v>
      </c>
      <c r="AD168" s="26">
        <f t="shared" si="145"/>
        <v>5.7393162393162394</v>
      </c>
      <c r="AE168" s="26">
        <f t="shared" si="145"/>
        <v>4.7393162393162394</v>
      </c>
      <c r="AF168" s="26">
        <f>IF(ISERROR(+AVERAGE(AF166/AF167,AE166/AE167)),"NM",+AVERAGE(AF166/AF167,AE166/AE167))</f>
        <v>3.7393162393162394</v>
      </c>
    </row>
    <row r="170" spans="2:40" s="9" customFormat="1" ht="12.75" customHeight="1">
      <c r="B170" s="9" t="s">
        <v>299</v>
      </c>
      <c r="K170" s="118">
        <f t="shared" ref="K170:U170" si="146">K177*K190</f>
        <v>1.7864387293891297</v>
      </c>
      <c r="L170" s="118">
        <f t="shared" si="146"/>
        <v>1.0655815331367429</v>
      </c>
      <c r="M170" s="118">
        <f t="shared" si="146"/>
        <v>0.88701614036168952</v>
      </c>
      <c r="N170" s="118">
        <f t="shared" si="146"/>
        <v>0.86312101517083861</v>
      </c>
      <c r="O170" s="118">
        <f t="shared" si="146"/>
        <v>0.25580068974758124</v>
      </c>
      <c r="P170" s="118">
        <f t="shared" si="146"/>
        <v>0.91333236448384469</v>
      </c>
      <c r="Q170" s="118">
        <f t="shared" si="146"/>
        <v>1.2543262036167486</v>
      </c>
      <c r="R170" s="118">
        <f t="shared" si="146"/>
        <v>1.1777388341243762</v>
      </c>
      <c r="S170" s="118">
        <f t="shared" si="146"/>
        <v>1.0079698801535799</v>
      </c>
      <c r="T170" s="118">
        <f t="shared" si="146"/>
        <v>0.38527924876637526</v>
      </c>
      <c r="U170" s="118">
        <f t="shared" si="146"/>
        <v>0.36194387189468857</v>
      </c>
      <c r="V170" s="118">
        <f>V177*V190</f>
        <v>0.44776968116192106</v>
      </c>
      <c r="W170" s="118">
        <f t="shared" ref="W170:AF170" si="147">W177*W190</f>
        <v>0.41566052219885219</v>
      </c>
      <c r="X170" s="118">
        <f t="shared" si="147"/>
        <v>0.46505973608297085</v>
      </c>
      <c r="Y170" s="118">
        <f t="shared" si="147"/>
        <v>0.51487673196597317</v>
      </c>
      <c r="Z170" s="118">
        <f t="shared" si="147"/>
        <v>0.56667884972915372</v>
      </c>
      <c r="AA170" s="118">
        <f t="shared" si="147"/>
        <v>0.38652931607836843</v>
      </c>
      <c r="AB170" s="118">
        <f t="shared" si="147"/>
        <v>0.36133595738514329</v>
      </c>
      <c r="AC170" s="118">
        <f t="shared" si="147"/>
        <v>0.38314620812830691</v>
      </c>
      <c r="AD170" s="118">
        <f t="shared" si="147"/>
        <v>0.45961873683045501</v>
      </c>
      <c r="AE170" s="118">
        <f t="shared" si="147"/>
        <v>0.63317644433858267</v>
      </c>
      <c r="AF170" s="118">
        <f t="shared" si="147"/>
        <v>0.59245105310125223</v>
      </c>
      <c r="AI170"/>
      <c r="AJ170"/>
      <c r="AK170"/>
      <c r="AL170"/>
      <c r="AM170"/>
      <c r="AN170"/>
    </row>
    <row r="171" spans="2:40" ht="12.75" customHeight="1" outlineLevel="1">
      <c r="B171" s="9"/>
      <c r="K171" s="77"/>
      <c r="L171" s="77"/>
      <c r="M171" s="77"/>
      <c r="N171" s="77"/>
      <c r="O171" s="77"/>
      <c r="P171" s="77"/>
      <c r="Q171" s="77"/>
      <c r="R171" s="77"/>
      <c r="S171" s="77"/>
      <c r="T171" s="77"/>
      <c r="U171" s="77"/>
      <c r="V171" s="77"/>
      <c r="W171" s="77"/>
      <c r="X171" s="77"/>
      <c r="Y171" s="77"/>
      <c r="Z171" s="77"/>
      <c r="AA171" s="77"/>
      <c r="AB171" s="77"/>
      <c r="AC171" s="77"/>
      <c r="AD171" s="77"/>
      <c r="AE171" s="77"/>
      <c r="AF171" s="77"/>
    </row>
    <row r="172" spans="2:40" ht="12.75" customHeight="1" outlineLevel="1">
      <c r="B172" s="21" t="s">
        <v>300</v>
      </c>
      <c r="J172" s="8">
        <f t="shared" ref="J172:AF172" si="148">J47</f>
        <v>5335.7499999999991</v>
      </c>
      <c r="K172" s="8">
        <f t="shared" si="148"/>
        <v>7011.3829999999998</v>
      </c>
      <c r="L172" s="8">
        <f t="shared" si="148"/>
        <v>7949.42</v>
      </c>
      <c r="M172" s="8">
        <f t="shared" si="148"/>
        <v>8385.3850000000002</v>
      </c>
      <c r="N172" s="8">
        <f t="shared" si="148"/>
        <v>9702.5170000000016</v>
      </c>
      <c r="O172" s="8">
        <f t="shared" si="148"/>
        <v>11201.689</v>
      </c>
      <c r="P172" s="8">
        <f t="shared" si="148"/>
        <v>24890.003107738503</v>
      </c>
      <c r="Q172" s="8">
        <f t="shared" si="148"/>
        <v>32639</v>
      </c>
      <c r="R172" s="8">
        <f t="shared" si="148"/>
        <v>30390</v>
      </c>
      <c r="S172" s="8">
        <f t="shared" si="148"/>
        <v>26107</v>
      </c>
      <c r="T172" s="8">
        <f t="shared" si="148"/>
        <v>21039.08405080091</v>
      </c>
      <c r="U172" s="8">
        <f t="shared" si="148"/>
        <v>21341.033879780261</v>
      </c>
      <c r="V172" s="8">
        <f t="shared" si="148"/>
        <v>22698.665556053802</v>
      </c>
      <c r="W172" s="8">
        <f t="shared" si="148"/>
        <v>21467.723596869662</v>
      </c>
      <c r="X172" s="8">
        <f t="shared" si="148"/>
        <v>22180.651481390367</v>
      </c>
      <c r="Y172" s="8">
        <f t="shared" si="148"/>
        <v>23028.884044578823</v>
      </c>
      <c r="Z172" s="8">
        <f t="shared" si="148"/>
        <v>23910.952742949023</v>
      </c>
      <c r="AA172" s="8">
        <f t="shared" si="148"/>
        <v>18530.995910670714</v>
      </c>
      <c r="AB172" s="8">
        <f t="shared" si="148"/>
        <v>16902.592374021508</v>
      </c>
      <c r="AC172" s="8">
        <f t="shared" si="148"/>
        <v>16756.504191770364</v>
      </c>
      <c r="AD172" s="8">
        <f t="shared" si="148"/>
        <v>16699.182904889727</v>
      </c>
      <c r="AE172" s="8">
        <f t="shared" si="148"/>
        <v>14046.02780742199</v>
      </c>
      <c r="AF172" s="8">
        <f t="shared" si="148"/>
        <v>13475.623368567702</v>
      </c>
    </row>
    <row r="173" spans="2:40" ht="12.75" customHeight="1" outlineLevel="1">
      <c r="B173" s="21" t="s">
        <v>301</v>
      </c>
      <c r="C173" s="3"/>
      <c r="D173" s="3"/>
      <c r="E173" s="3"/>
      <c r="F173" s="3"/>
      <c r="G173" s="3"/>
      <c r="H173" s="3"/>
      <c r="I173" s="3"/>
      <c r="J173" s="3">
        <f>IS!AL20</f>
        <v>2842.7559999999994</v>
      </c>
      <c r="K173" s="3">
        <f>IS!AQ20</f>
        <v>3830.0749999999994</v>
      </c>
      <c r="L173" s="3">
        <f>IS!AV20</f>
        <v>4405.2350000000006</v>
      </c>
      <c r="M173" s="3">
        <f>IS!BA20</f>
        <v>4125.8769999999995</v>
      </c>
      <c r="N173" s="3">
        <f>IS!BF20</f>
        <v>4580.001000000002</v>
      </c>
      <c r="O173" s="3">
        <f>IS!BK20</f>
        <v>4988.4409999999998</v>
      </c>
      <c r="P173" s="3">
        <f>IS!BP20</f>
        <v>16583.976107738505</v>
      </c>
      <c r="Q173" s="3">
        <f>IS!BU20</f>
        <v>23395</v>
      </c>
      <c r="R173" s="3">
        <f>IS!BZ20</f>
        <v>20033</v>
      </c>
      <c r="S173" s="3">
        <f>IS!CE20</f>
        <v>16031</v>
      </c>
      <c r="T173" s="3">
        <f>IS!CJ20</f>
        <v>11104.933424058523</v>
      </c>
      <c r="U173" s="3">
        <f>IS!CO20</f>
        <v>11243.277900231074</v>
      </c>
      <c r="V173" s="3">
        <f>IS!CT20</f>
        <v>12363.06486442182</v>
      </c>
      <c r="W173" s="3">
        <f>IS!CY20</f>
        <v>11174.682836996428</v>
      </c>
      <c r="X173" s="3">
        <f>IS!DD20</f>
        <v>11864.278517865809</v>
      </c>
      <c r="Y173" s="3">
        <f>IS!DI20</f>
        <v>12687.635603384781</v>
      </c>
      <c r="Z173" s="3">
        <f>IS!DN20</f>
        <v>13544.050231072559</v>
      </c>
      <c r="AA173" s="3">
        <f>IS!DS20</f>
        <v>8966.0076822307892</v>
      </c>
      <c r="AB173" s="3">
        <f>IS!DX20</f>
        <v>7503.0661829769997</v>
      </c>
      <c r="AC173" s="3">
        <f>IS!EC20</f>
        <v>7283.8250532158982</v>
      </c>
      <c r="AD173" s="3">
        <f>IS!EH20</f>
        <v>8060.1014731654523</v>
      </c>
      <c r="AE173" s="3">
        <f>IS!EM20</f>
        <v>10611.953164257158</v>
      </c>
      <c r="AF173" s="3">
        <f>IS!ER20</f>
        <v>10852.61723281949</v>
      </c>
    </row>
    <row r="174" spans="2:40" ht="12.75" customHeight="1" outlineLevel="1">
      <c r="B174" s="21" t="s">
        <v>302</v>
      </c>
      <c r="J174" s="119">
        <f>IS!AL26</f>
        <v>0.26296541346174529</v>
      </c>
      <c r="K174" s="119">
        <f>IS!AQ26</f>
        <v>0.249812572857289</v>
      </c>
      <c r="L174" s="119">
        <f>IS!AV26</f>
        <v>0.2648152981216147</v>
      </c>
      <c r="M174" s="119">
        <f>IS!BA26</f>
        <v>0.24600004437954287</v>
      </c>
      <c r="N174" s="119">
        <f>IS!BF26</f>
        <v>0.26808993447102125</v>
      </c>
      <c r="O174" s="119">
        <f>IS!BK26</f>
        <v>0.26529337351885784</v>
      </c>
      <c r="P174" s="119">
        <f>IS!BP26</f>
        <v>0.18177930525562525</v>
      </c>
      <c r="Q174" s="119">
        <f>IS!BU26</f>
        <v>0.17443407209699963</v>
      </c>
      <c r="R174" s="119">
        <f>IS!BZ26</f>
        <v>0.19487179487179487</v>
      </c>
      <c r="S174" s="119">
        <f>IS!CE26</f>
        <v>0.24485570078943963</v>
      </c>
      <c r="T174" s="119">
        <f>IS!CJ26</f>
        <v>0.22</v>
      </c>
      <c r="U174" s="119">
        <f>IS!CO26</f>
        <v>0.22</v>
      </c>
      <c r="V174" s="119">
        <f>IS!CT26</f>
        <v>0.22</v>
      </c>
      <c r="W174" s="119">
        <f>IS!CY26</f>
        <v>0.22</v>
      </c>
      <c r="X174" s="119">
        <f>IS!DD26</f>
        <v>0.22</v>
      </c>
      <c r="Y174" s="119">
        <f>IS!DI26</f>
        <v>0.22</v>
      </c>
      <c r="Z174" s="119">
        <f>IS!DN26</f>
        <v>0.22</v>
      </c>
      <c r="AA174" s="119">
        <f>IS!DS26</f>
        <v>0.22</v>
      </c>
      <c r="AB174" s="119">
        <f>IS!DX26</f>
        <v>0.22</v>
      </c>
      <c r="AC174" s="119">
        <f>IS!EC26</f>
        <v>0.22</v>
      </c>
      <c r="AD174" s="119">
        <f>IS!EH26</f>
        <v>0.22</v>
      </c>
      <c r="AE174" s="119">
        <f>IS!EM26</f>
        <v>0.22</v>
      </c>
      <c r="AF174" s="119">
        <f>IS!ER26</f>
        <v>0.22</v>
      </c>
    </row>
    <row r="175" spans="2:40" ht="12.75" customHeight="1" outlineLevel="1">
      <c r="B175" s="21" t="s">
        <v>143</v>
      </c>
      <c r="J175" s="3">
        <f>J173*J174</f>
        <v>747.54650691085703</v>
      </c>
      <c r="K175" s="3">
        <f t="shared" ref="K175:AF175" si="149">K173*K174</f>
        <v>956.80088998638098</v>
      </c>
      <c r="L175" s="3">
        <f t="shared" si="149"/>
        <v>1166.5736198207715</v>
      </c>
      <c r="M175" s="3">
        <f t="shared" si="149"/>
        <v>1014.9659251045351</v>
      </c>
      <c r="N175" s="3">
        <f t="shared" si="149"/>
        <v>1227.8521679672124</v>
      </c>
      <c r="O175" s="3">
        <f t="shared" si="149"/>
        <v>1323.4003414897848</v>
      </c>
      <c r="P175" s="3">
        <f t="shared" si="149"/>
        <v>3014.6236552405935</v>
      </c>
      <c r="Q175" s="3">
        <f t="shared" si="149"/>
        <v>4080.8851167093062</v>
      </c>
      <c r="R175" s="3">
        <f t="shared" si="149"/>
        <v>3903.8666666666668</v>
      </c>
      <c r="S175" s="3">
        <f t="shared" si="149"/>
        <v>3925.2817393555069</v>
      </c>
      <c r="T175" s="3">
        <f t="shared" si="149"/>
        <v>2443.085353292875</v>
      </c>
      <c r="U175" s="3">
        <f t="shared" si="149"/>
        <v>2473.5211380508363</v>
      </c>
      <c r="V175" s="3">
        <f t="shared" si="149"/>
        <v>2719.8742701728006</v>
      </c>
      <c r="W175" s="3">
        <f t="shared" si="149"/>
        <v>2458.4302241392143</v>
      </c>
      <c r="X175" s="3">
        <f t="shared" si="149"/>
        <v>2610.1412739304778</v>
      </c>
      <c r="Y175" s="3">
        <f t="shared" si="149"/>
        <v>2791.2798327446517</v>
      </c>
      <c r="Z175" s="3">
        <f t="shared" si="149"/>
        <v>2979.6910508359629</v>
      </c>
      <c r="AA175" s="3">
        <f t="shared" si="149"/>
        <v>1972.5216900907737</v>
      </c>
      <c r="AB175" s="3">
        <f t="shared" si="149"/>
        <v>1650.6745602549399</v>
      </c>
      <c r="AC175" s="3">
        <f t="shared" si="149"/>
        <v>1602.4415117074975</v>
      </c>
      <c r="AD175" s="3">
        <f t="shared" si="149"/>
        <v>1773.2223240963995</v>
      </c>
      <c r="AE175" s="3">
        <f t="shared" si="149"/>
        <v>2334.6296961365747</v>
      </c>
      <c r="AF175" s="3">
        <f t="shared" si="149"/>
        <v>2387.5757912202876</v>
      </c>
    </row>
    <row r="176" spans="2:40" ht="12.75" customHeight="1" outlineLevel="1">
      <c r="B176" s="21" t="s">
        <v>303</v>
      </c>
      <c r="J176" s="8">
        <f>J173-J175</f>
        <v>2095.2094930891426</v>
      </c>
      <c r="K176" s="8">
        <f t="shared" ref="K176:AF176" si="150">K173-K175</f>
        <v>2873.2741100136182</v>
      </c>
      <c r="L176" s="8">
        <f t="shared" si="150"/>
        <v>3238.6613801792291</v>
      </c>
      <c r="M176" s="8">
        <f t="shared" si="150"/>
        <v>3110.9110748954645</v>
      </c>
      <c r="N176" s="8">
        <f t="shared" si="150"/>
        <v>3352.1488320327899</v>
      </c>
      <c r="O176" s="8">
        <f t="shared" si="150"/>
        <v>3665.0406585102151</v>
      </c>
      <c r="P176" s="8">
        <f t="shared" si="150"/>
        <v>13569.352452497911</v>
      </c>
      <c r="Q176" s="8">
        <f t="shared" si="150"/>
        <v>19314.114883290695</v>
      </c>
      <c r="R176" s="8">
        <f t="shared" si="150"/>
        <v>16129.133333333333</v>
      </c>
      <c r="S176" s="8">
        <f t="shared" si="150"/>
        <v>12105.718260644493</v>
      </c>
      <c r="T176" s="8">
        <f t="shared" si="150"/>
        <v>8661.848070765649</v>
      </c>
      <c r="U176" s="8">
        <f t="shared" si="150"/>
        <v>8769.7567621802373</v>
      </c>
      <c r="V176" s="8">
        <f t="shared" si="150"/>
        <v>9643.1905942490193</v>
      </c>
      <c r="W176" s="8">
        <f t="shared" si="150"/>
        <v>8716.2526128572135</v>
      </c>
      <c r="X176" s="8">
        <f t="shared" si="150"/>
        <v>9254.1372439353308</v>
      </c>
      <c r="Y176" s="8">
        <f t="shared" si="150"/>
        <v>9896.3557706401298</v>
      </c>
      <c r="Z176" s="8">
        <f t="shared" si="150"/>
        <v>10564.359180236595</v>
      </c>
      <c r="AA176" s="8">
        <f t="shared" si="150"/>
        <v>6993.4859921400157</v>
      </c>
      <c r="AB176" s="8">
        <f t="shared" si="150"/>
        <v>5852.3916227220598</v>
      </c>
      <c r="AC176" s="8">
        <f t="shared" si="150"/>
        <v>5681.3835415084004</v>
      </c>
      <c r="AD176" s="8">
        <f t="shared" si="150"/>
        <v>6286.8791490690528</v>
      </c>
      <c r="AE176" s="8">
        <f t="shared" si="150"/>
        <v>8277.3234681205831</v>
      </c>
      <c r="AF176" s="8">
        <f t="shared" si="150"/>
        <v>8465.0414415992018</v>
      </c>
    </row>
    <row r="177" spans="2:32" ht="12.75" customHeight="1" outlineLevel="1">
      <c r="B177" s="21" t="s">
        <v>304</v>
      </c>
      <c r="J177" s="77">
        <f>J176/J172</f>
        <v>0.39267384961610702</v>
      </c>
      <c r="K177" s="77">
        <f t="shared" ref="K177:AF177" si="151">K176/K172</f>
        <v>0.40980133448901851</v>
      </c>
      <c r="L177" s="77">
        <f t="shared" si="151"/>
        <v>0.40740851284486529</v>
      </c>
      <c r="M177" s="77">
        <f t="shared" si="151"/>
        <v>0.37099203851647411</v>
      </c>
      <c r="N177" s="77">
        <f t="shared" si="151"/>
        <v>0.34549270380384689</v>
      </c>
      <c r="O177" s="77">
        <f t="shared" si="151"/>
        <v>0.32718643219877064</v>
      </c>
      <c r="P177" s="77">
        <f t="shared" si="151"/>
        <v>0.54517279060841461</v>
      </c>
      <c r="Q177" s="77">
        <f t="shared" si="151"/>
        <v>0.59174959046817288</v>
      </c>
      <c r="R177" s="77">
        <f t="shared" si="151"/>
        <v>0.53073818141932649</v>
      </c>
      <c r="S177" s="77">
        <f t="shared" si="151"/>
        <v>0.46369626003158132</v>
      </c>
      <c r="T177" s="77">
        <f t="shared" si="151"/>
        <v>0.41170271718344659</v>
      </c>
      <c r="U177" s="77">
        <f t="shared" si="151"/>
        <v>0.41093401620477327</v>
      </c>
      <c r="V177" s="77">
        <f t="shared" si="151"/>
        <v>0.42483513272775419</v>
      </c>
      <c r="W177" s="77">
        <f t="shared" si="151"/>
        <v>0.40601662181490833</v>
      </c>
      <c r="X177" s="77">
        <f t="shared" si="151"/>
        <v>0.41721665622398785</v>
      </c>
      <c r="Y177" s="77">
        <f t="shared" si="151"/>
        <v>0.42973666250969761</v>
      </c>
      <c r="Z177" s="77">
        <f t="shared" si="151"/>
        <v>0.44182092172600129</v>
      </c>
      <c r="AA177" s="77">
        <f t="shared" si="151"/>
        <v>0.37739396338180359</v>
      </c>
      <c r="AB177" s="77">
        <f t="shared" si="151"/>
        <v>0.34624225049152291</v>
      </c>
      <c r="AC177" s="77">
        <f t="shared" si="151"/>
        <v>0.33905541851018683</v>
      </c>
      <c r="AD177" s="77">
        <f t="shared" si="151"/>
        <v>0.37647824955723891</v>
      </c>
      <c r="AE177" s="77">
        <f t="shared" si="151"/>
        <v>0.58929994882587411</v>
      </c>
      <c r="AF177" s="77">
        <f t="shared" si="151"/>
        <v>0.62817438645132861</v>
      </c>
    </row>
    <row r="178" spans="2:32" ht="12.75" customHeight="1" outlineLevel="1">
      <c r="B178" s="21" t="s">
        <v>305</v>
      </c>
      <c r="J178" s="3">
        <f t="shared" ref="J178:AF178" si="152">J5</f>
        <v>1023.397</v>
      </c>
      <c r="K178" s="3">
        <f t="shared" si="152"/>
        <v>1389.5340000000001</v>
      </c>
      <c r="L178" s="3">
        <f t="shared" si="152"/>
        <v>1621.9659999999999</v>
      </c>
      <c r="M178" s="3">
        <f t="shared" si="152"/>
        <v>1951.1669999999999</v>
      </c>
      <c r="N178" s="3">
        <f t="shared" si="152"/>
        <v>1751.3879999999999</v>
      </c>
      <c r="O178" s="3">
        <f t="shared" si="152"/>
        <v>2100.2860000000001</v>
      </c>
      <c r="P178" s="3">
        <f t="shared" si="152"/>
        <v>4635</v>
      </c>
      <c r="Q178" s="3">
        <f t="shared" si="152"/>
        <v>5854</v>
      </c>
      <c r="R178" s="3">
        <f t="shared" si="152"/>
        <v>4514</v>
      </c>
      <c r="S178" s="3">
        <f t="shared" si="152"/>
        <v>3851</v>
      </c>
      <c r="T178" s="3">
        <f t="shared" si="152"/>
        <v>3103.4401761839472</v>
      </c>
      <c r="U178" s="3">
        <f t="shared" si="152"/>
        <v>3147.9802915323012</v>
      </c>
      <c r="V178" s="3">
        <f t="shared" si="152"/>
        <v>3348.2422743464663</v>
      </c>
      <c r="W178" s="3">
        <f t="shared" si="152"/>
        <v>3166.6680802675555</v>
      </c>
      <c r="X178" s="3">
        <f t="shared" si="152"/>
        <v>3271.8308827071019</v>
      </c>
      <c r="Y178" s="3">
        <f t="shared" si="152"/>
        <v>3396.9522524868062</v>
      </c>
      <c r="Z178" s="3">
        <f t="shared" si="152"/>
        <v>3527.0647340980081</v>
      </c>
      <c r="AA178" s="3">
        <f t="shared" si="152"/>
        <v>2733.4762803843</v>
      </c>
      <c r="AB178" s="3">
        <f t="shared" si="152"/>
        <v>2493.2731923375659</v>
      </c>
      <c r="AC178" s="3">
        <f t="shared" si="152"/>
        <v>2471.7239683804219</v>
      </c>
      <c r="AD178" s="3">
        <f t="shared" si="152"/>
        <v>2463.2686010162156</v>
      </c>
      <c r="AE178" s="3">
        <f t="shared" si="152"/>
        <v>2071.9061204421068</v>
      </c>
      <c r="AF178" s="3">
        <f t="shared" si="152"/>
        <v>1987.7667136152841</v>
      </c>
    </row>
    <row r="179" spans="2:32" ht="12.75" customHeight="1" outlineLevel="1">
      <c r="B179" s="21" t="s">
        <v>306</v>
      </c>
      <c r="J179" s="3">
        <f t="shared" ref="J179:AF179" si="153">J6</f>
        <v>927.86800000000005</v>
      </c>
      <c r="K179" s="3">
        <f t="shared" si="153"/>
        <v>1051.771</v>
      </c>
      <c r="L179" s="3">
        <f t="shared" si="153"/>
        <v>1203.809</v>
      </c>
      <c r="M179" s="3">
        <f t="shared" si="153"/>
        <v>1389.9829999999999</v>
      </c>
      <c r="N179" s="3">
        <f t="shared" si="153"/>
        <v>1744.982</v>
      </c>
      <c r="O179" s="3">
        <f t="shared" si="153"/>
        <v>2055.788</v>
      </c>
      <c r="P179" s="3">
        <f t="shared" si="153"/>
        <v>1386</v>
      </c>
      <c r="Q179" s="3">
        <f t="shared" si="153"/>
        <v>1955</v>
      </c>
      <c r="R179" s="3">
        <f t="shared" si="153"/>
        <v>1587</v>
      </c>
      <c r="S179" s="3">
        <f t="shared" si="153"/>
        <v>801</v>
      </c>
      <c r="T179" s="3">
        <f t="shared" si="153"/>
        <v>686.80732087102638</v>
      </c>
      <c r="U179" s="3">
        <f t="shared" si="153"/>
        <v>704.62157791317929</v>
      </c>
      <c r="V179" s="3">
        <f t="shared" si="153"/>
        <v>760.29475569760882</v>
      </c>
      <c r="W179" s="3">
        <f t="shared" si="153"/>
        <v>729.85115390369981</v>
      </c>
      <c r="X179" s="3">
        <f t="shared" si="153"/>
        <v>735.31260776831425</v>
      </c>
      <c r="Y179" s="3">
        <f t="shared" si="153"/>
        <v>761.60394409962839</v>
      </c>
      <c r="Z179" s="3">
        <f t="shared" si="153"/>
        <v>787.56581246500195</v>
      </c>
      <c r="AA179" s="3">
        <f t="shared" si="153"/>
        <v>580.40081278963282</v>
      </c>
      <c r="AB179" s="3">
        <f t="shared" si="153"/>
        <v>521.72605767373943</v>
      </c>
      <c r="AC179" s="3">
        <f t="shared" si="153"/>
        <v>518.40616956774898</v>
      </c>
      <c r="AD179" s="3">
        <f t="shared" si="153"/>
        <v>517.51194439196968</v>
      </c>
      <c r="AE179" s="3">
        <f t="shared" si="153"/>
        <v>427.6590300700102</v>
      </c>
      <c r="AF179" s="3">
        <f t="shared" si="153"/>
        <v>425.8929341310901</v>
      </c>
    </row>
    <row r="180" spans="2:32" ht="12.75" customHeight="1" outlineLevel="1">
      <c r="B180" s="21" t="s">
        <v>222</v>
      </c>
      <c r="J180" s="3">
        <f t="shared" ref="J180:AF180" si="154">J9</f>
        <v>126.066</v>
      </c>
      <c r="K180" s="3">
        <f t="shared" si="154"/>
        <v>66.891000000000005</v>
      </c>
      <c r="L180" s="3">
        <f t="shared" si="154"/>
        <v>116.244</v>
      </c>
      <c r="M180" s="3">
        <f t="shared" si="154"/>
        <v>126.846</v>
      </c>
      <c r="N180" s="3">
        <f t="shared" si="154"/>
        <v>0</v>
      </c>
      <c r="O180" s="3">
        <f t="shared" si="154"/>
        <v>91.924999999999997</v>
      </c>
      <c r="P180" s="3">
        <f t="shared" si="154"/>
        <v>472</v>
      </c>
      <c r="Q180" s="3">
        <f t="shared" si="154"/>
        <v>0</v>
      </c>
      <c r="R180" s="3">
        <f t="shared" si="154"/>
        <v>0</v>
      </c>
      <c r="S180" s="3">
        <f t="shared" si="154"/>
        <v>0</v>
      </c>
      <c r="T180" s="3">
        <f t="shared" si="154"/>
        <v>0</v>
      </c>
      <c r="U180" s="3">
        <f t="shared" si="154"/>
        <v>0</v>
      </c>
      <c r="V180" s="3">
        <f t="shared" si="154"/>
        <v>0</v>
      </c>
      <c r="W180" s="3">
        <f t="shared" si="154"/>
        <v>0</v>
      </c>
      <c r="X180" s="3">
        <f t="shared" si="154"/>
        <v>0</v>
      </c>
      <c r="Y180" s="3">
        <f t="shared" si="154"/>
        <v>0</v>
      </c>
      <c r="Z180" s="3">
        <f t="shared" si="154"/>
        <v>0</v>
      </c>
      <c r="AA180" s="3">
        <f t="shared" si="154"/>
        <v>0</v>
      </c>
      <c r="AB180" s="3">
        <f t="shared" si="154"/>
        <v>0</v>
      </c>
      <c r="AC180" s="3">
        <f t="shared" si="154"/>
        <v>0</v>
      </c>
      <c r="AD180" s="3">
        <f t="shared" si="154"/>
        <v>0</v>
      </c>
      <c r="AE180" s="3">
        <f t="shared" si="154"/>
        <v>0</v>
      </c>
      <c r="AF180" s="3">
        <f t="shared" si="154"/>
        <v>0</v>
      </c>
    </row>
    <row r="181" spans="2:32" ht="12.75" customHeight="1" outlineLevel="1">
      <c r="B181" s="21" t="s">
        <v>307</v>
      </c>
      <c r="J181" s="3">
        <f t="shared" ref="J181:AF181" si="155">J12</f>
        <v>528.79899999999998</v>
      </c>
      <c r="K181" s="3">
        <f t="shared" si="155"/>
        <v>699.97</v>
      </c>
      <c r="L181" s="3">
        <f t="shared" si="155"/>
        <v>701.23500000000001</v>
      </c>
      <c r="M181" s="3">
        <f t="shared" si="155"/>
        <v>774.40599999999995</v>
      </c>
      <c r="N181" s="3">
        <f t="shared" si="155"/>
        <v>1100.259</v>
      </c>
      <c r="O181" s="3">
        <f t="shared" si="155"/>
        <v>1166.181</v>
      </c>
      <c r="P181" s="3">
        <f t="shared" si="155"/>
        <v>1674</v>
      </c>
      <c r="Q181" s="3">
        <f t="shared" si="155"/>
        <v>2276</v>
      </c>
      <c r="R181" s="3">
        <f t="shared" si="155"/>
        <v>2865</v>
      </c>
      <c r="S181" s="3">
        <f t="shared" si="155"/>
        <v>3295</v>
      </c>
      <c r="T181" s="3">
        <f t="shared" si="155"/>
        <v>3495.7079772151724</v>
      </c>
      <c r="U181" s="3">
        <f t="shared" si="155"/>
        <v>3715.5497589781239</v>
      </c>
      <c r="V181" s="3">
        <f t="shared" si="155"/>
        <v>3981.0610890456032</v>
      </c>
      <c r="W181" s="3">
        <f t="shared" si="155"/>
        <v>4216.5077388270656</v>
      </c>
      <c r="X181" s="3">
        <f t="shared" si="155"/>
        <v>4475.0380119020647</v>
      </c>
      <c r="Y181" s="3">
        <f t="shared" si="155"/>
        <v>4759.0650105895838</v>
      </c>
      <c r="Z181" s="3">
        <f t="shared" si="155"/>
        <v>5067.5479495668023</v>
      </c>
      <c r="AA181" s="3">
        <f t="shared" si="155"/>
        <v>5150.2396093625002</v>
      </c>
      <c r="AB181" s="3">
        <f t="shared" si="155"/>
        <v>5151.3692423036</v>
      </c>
      <c r="AC181" s="3">
        <f t="shared" si="155"/>
        <v>5130.8303806865533</v>
      </c>
      <c r="AD181" s="3">
        <f t="shared" si="155"/>
        <v>5089.5526357497856</v>
      </c>
      <c r="AE181" s="3">
        <f t="shared" si="155"/>
        <v>4897.6965059203148</v>
      </c>
      <c r="AF181" s="3">
        <f t="shared" si="155"/>
        <v>4656.491026294254</v>
      </c>
    </row>
    <row r="182" spans="2:32" ht="12.75" customHeight="1" outlineLevel="1">
      <c r="B182" s="21" t="s">
        <v>308</v>
      </c>
      <c r="J182" s="3">
        <f t="shared" ref="J182:AF182" si="156">J18</f>
        <v>73.102999999999994</v>
      </c>
      <c r="K182" s="3">
        <f t="shared" si="156"/>
        <v>85.635000000000005</v>
      </c>
      <c r="L182" s="3">
        <f t="shared" si="156"/>
        <v>181.149</v>
      </c>
      <c r="M182" s="3">
        <f t="shared" si="156"/>
        <v>160.67400000000001</v>
      </c>
      <c r="N182" s="3">
        <f t="shared" si="156"/>
        <v>159.18700000000001</v>
      </c>
      <c r="O182" s="3">
        <f t="shared" si="156"/>
        <v>195.16300000000001</v>
      </c>
      <c r="P182" s="3">
        <f t="shared" si="156"/>
        <v>731</v>
      </c>
      <c r="Q182" s="3">
        <f t="shared" si="156"/>
        <v>1056</v>
      </c>
      <c r="R182" s="3">
        <f t="shared" si="156"/>
        <v>2214</v>
      </c>
      <c r="S182" s="3">
        <f t="shared" si="156"/>
        <v>2722</v>
      </c>
      <c r="T182" s="3">
        <f t="shared" si="156"/>
        <v>2193.6027420339401</v>
      </c>
      <c r="U182" s="3">
        <f t="shared" si="156"/>
        <v>341.4565420764842</v>
      </c>
      <c r="V182" s="3">
        <f t="shared" si="156"/>
        <v>363.17864889686086</v>
      </c>
      <c r="W182" s="3">
        <f t="shared" si="156"/>
        <v>343.48357754991463</v>
      </c>
      <c r="X182" s="3">
        <f t="shared" si="156"/>
        <v>354.89042370224587</v>
      </c>
      <c r="Y182" s="3">
        <f t="shared" si="156"/>
        <v>368.46214471326118</v>
      </c>
      <c r="Z182" s="3">
        <f t="shared" si="156"/>
        <v>382.57524388718434</v>
      </c>
      <c r="AA182" s="3">
        <f t="shared" si="156"/>
        <v>296.49593457073144</v>
      </c>
      <c r="AB182" s="3">
        <f t="shared" si="156"/>
        <v>270.44147798434415</v>
      </c>
      <c r="AC182" s="3">
        <f t="shared" si="156"/>
        <v>268.10406706832583</v>
      </c>
      <c r="AD182" s="3">
        <f t="shared" si="156"/>
        <v>267.18692647823565</v>
      </c>
      <c r="AE182" s="3">
        <f t="shared" si="156"/>
        <v>224.73644491875183</v>
      </c>
      <c r="AF182" s="3">
        <f t="shared" si="156"/>
        <v>215.60997389708322</v>
      </c>
    </row>
    <row r="183" spans="2:32" ht="12.75" customHeight="1" outlineLevel="1">
      <c r="B183" s="21" t="s">
        <v>309</v>
      </c>
      <c r="J183" s="3">
        <f t="shared" ref="J183:AF183" si="157">J15+J17</f>
        <v>123.008</v>
      </c>
      <c r="K183" s="3">
        <f t="shared" si="157"/>
        <v>1524.777</v>
      </c>
      <c r="L183" s="3">
        <f t="shared" si="157"/>
        <v>1425.5920000000001</v>
      </c>
      <c r="M183" s="3">
        <f t="shared" si="157"/>
        <v>2066.9659999999999</v>
      </c>
      <c r="N183" s="3">
        <f t="shared" si="157"/>
        <v>12797.312</v>
      </c>
      <c r="O183" s="3">
        <f t="shared" si="157"/>
        <v>13069.128999999999</v>
      </c>
      <c r="P183" s="3">
        <f t="shared" si="157"/>
        <v>12245</v>
      </c>
      <c r="Q183" s="3">
        <f t="shared" si="157"/>
        <v>11419</v>
      </c>
      <c r="R183" s="3">
        <f t="shared" si="157"/>
        <v>10143</v>
      </c>
      <c r="S183" s="3">
        <f t="shared" si="157"/>
        <v>21259</v>
      </c>
      <c r="T183" s="3">
        <f t="shared" si="157"/>
        <v>20206</v>
      </c>
      <c r="U183" s="3">
        <f t="shared" si="157"/>
        <v>19153</v>
      </c>
      <c r="V183" s="3">
        <f t="shared" si="157"/>
        <v>18100</v>
      </c>
      <c r="W183" s="3">
        <f t="shared" si="157"/>
        <v>17047</v>
      </c>
      <c r="X183" s="3">
        <f t="shared" si="157"/>
        <v>15994</v>
      </c>
      <c r="Y183" s="3">
        <f t="shared" si="157"/>
        <v>14941</v>
      </c>
      <c r="Z183" s="3">
        <f t="shared" si="157"/>
        <v>13888</v>
      </c>
      <c r="AA183" s="3">
        <f t="shared" si="157"/>
        <v>12835</v>
      </c>
      <c r="AB183" s="3">
        <f t="shared" si="157"/>
        <v>11782</v>
      </c>
      <c r="AC183" s="3">
        <f t="shared" si="157"/>
        <v>10729</v>
      </c>
      <c r="AD183" s="3">
        <f t="shared" si="157"/>
        <v>9676</v>
      </c>
      <c r="AE183" s="3">
        <f t="shared" si="157"/>
        <v>8623</v>
      </c>
      <c r="AF183" s="3">
        <f t="shared" si="157"/>
        <v>7570</v>
      </c>
    </row>
    <row r="184" spans="2:32" ht="12.75" customHeight="1" outlineLevel="1">
      <c r="B184" s="21" t="s">
        <v>310</v>
      </c>
      <c r="J184" s="8">
        <f>SUM(J178:J183)</f>
        <v>2802.241</v>
      </c>
      <c r="K184" s="8">
        <f t="shared" ref="K184:AF184" si="158">SUM(K178:K183)</f>
        <v>4818.5780000000004</v>
      </c>
      <c r="L184" s="8">
        <f t="shared" si="158"/>
        <v>5249.9949999999999</v>
      </c>
      <c r="M184" s="8">
        <f t="shared" si="158"/>
        <v>6470.0419999999995</v>
      </c>
      <c r="N184" s="8">
        <f t="shared" si="158"/>
        <v>17553.128000000001</v>
      </c>
      <c r="O184" s="8">
        <f t="shared" si="158"/>
        <v>18678.472000000002</v>
      </c>
      <c r="P184" s="8">
        <f t="shared" si="158"/>
        <v>21143</v>
      </c>
      <c r="Q184" s="8">
        <f t="shared" si="158"/>
        <v>22560</v>
      </c>
      <c r="R184" s="8">
        <f t="shared" si="158"/>
        <v>21323</v>
      </c>
      <c r="S184" s="8">
        <f t="shared" si="158"/>
        <v>31928</v>
      </c>
      <c r="T184" s="8">
        <f t="shared" si="158"/>
        <v>29685.558216304085</v>
      </c>
      <c r="U184" s="8">
        <f t="shared" si="158"/>
        <v>27062.608170500087</v>
      </c>
      <c r="V184" s="8">
        <f t="shared" si="158"/>
        <v>26552.776767986539</v>
      </c>
      <c r="W184" s="8">
        <f t="shared" si="158"/>
        <v>25503.510550548235</v>
      </c>
      <c r="X184" s="8">
        <f t="shared" si="158"/>
        <v>24831.071926079727</v>
      </c>
      <c r="Y184" s="8">
        <f t="shared" si="158"/>
        <v>24227.08335188928</v>
      </c>
      <c r="Z184" s="8">
        <f t="shared" si="158"/>
        <v>23652.753740016997</v>
      </c>
      <c r="AA184" s="8">
        <f t="shared" si="158"/>
        <v>21595.612637107166</v>
      </c>
      <c r="AB184" s="8">
        <f t="shared" si="158"/>
        <v>20218.809970299248</v>
      </c>
      <c r="AC184" s="8">
        <f t="shared" si="158"/>
        <v>19118.06458570305</v>
      </c>
      <c r="AD184" s="8">
        <f t="shared" si="158"/>
        <v>18013.520107636206</v>
      </c>
      <c r="AE184" s="8">
        <f t="shared" si="158"/>
        <v>16244.998101351182</v>
      </c>
      <c r="AF184" s="8">
        <f t="shared" si="158"/>
        <v>14855.76064793771</v>
      </c>
    </row>
    <row r="185" spans="2:32" ht="12.75" customHeight="1" outlineLevel="1">
      <c r="B185" s="21" t="s">
        <v>311</v>
      </c>
      <c r="J185" s="3">
        <f t="shared" ref="J185:AF185" si="159">J22</f>
        <v>601.20000000000005</v>
      </c>
      <c r="K185" s="3">
        <f t="shared" si="159"/>
        <v>810.54399999999998</v>
      </c>
      <c r="L185" s="3">
        <f t="shared" si="159"/>
        <v>803.02499999999998</v>
      </c>
      <c r="M185" s="3">
        <f t="shared" si="159"/>
        <v>1206.0519999999999</v>
      </c>
      <c r="N185" s="3">
        <f t="shared" si="159"/>
        <v>1327.3389999999999</v>
      </c>
      <c r="O185" s="3">
        <f t="shared" si="159"/>
        <v>1255.914</v>
      </c>
      <c r="P185" s="3">
        <f t="shared" si="159"/>
        <v>955</v>
      </c>
      <c r="Q185" s="3">
        <f t="shared" si="159"/>
        <v>1178</v>
      </c>
      <c r="R185" s="3">
        <f t="shared" si="159"/>
        <v>1206</v>
      </c>
      <c r="S185" s="3">
        <f t="shared" si="159"/>
        <v>814</v>
      </c>
      <c r="T185" s="3">
        <f t="shared" si="159"/>
        <v>697.95400647817155</v>
      </c>
      <c r="U185" s="3">
        <f t="shared" si="159"/>
        <v>716.05738379691377</v>
      </c>
      <c r="V185" s="3">
        <f t="shared" si="159"/>
        <v>772.63412127072854</v>
      </c>
      <c r="W185" s="3">
        <f t="shared" si="159"/>
        <v>741.69642856131293</v>
      </c>
      <c r="X185" s="3">
        <f t="shared" si="159"/>
        <v>747.24652025394232</v>
      </c>
      <c r="Y185" s="3">
        <f t="shared" si="159"/>
        <v>773.96455742459113</v>
      </c>
      <c r="Z185" s="3">
        <f t="shared" si="159"/>
        <v>800.34777945881592</v>
      </c>
      <c r="AA185" s="3">
        <f t="shared" si="159"/>
        <v>589.82055132429605</v>
      </c>
      <c r="AB185" s="3">
        <f t="shared" si="159"/>
        <v>530.19352178080385</v>
      </c>
      <c r="AC185" s="3">
        <f t="shared" si="159"/>
        <v>526.81975284412943</v>
      </c>
      <c r="AD185" s="3">
        <f t="shared" si="159"/>
        <v>525.91101465051599</v>
      </c>
      <c r="AE185" s="3">
        <f t="shared" si="159"/>
        <v>434.59981332957341</v>
      </c>
      <c r="AF185" s="3">
        <f t="shared" si="159"/>
        <v>432.80505416068331</v>
      </c>
    </row>
    <row r="186" spans="2:32" ht="12.75" customHeight="1" outlineLevel="1">
      <c r="B186" s="21" t="s">
        <v>312</v>
      </c>
      <c r="J186" s="3">
        <f t="shared" ref="J186:AF186" si="160">J24+J23</f>
        <v>571.19799999999998</v>
      </c>
      <c r="K186" s="3">
        <f t="shared" si="160"/>
        <v>932.779</v>
      </c>
      <c r="L186" s="3">
        <f t="shared" si="160"/>
        <v>912.40499999999997</v>
      </c>
      <c r="M186" s="3">
        <f t="shared" si="160"/>
        <v>1232.501</v>
      </c>
      <c r="N186" s="3">
        <f t="shared" si="160"/>
        <v>1670.029</v>
      </c>
      <c r="O186" s="3">
        <f t="shared" si="160"/>
        <v>2261.8229999999999</v>
      </c>
      <c r="P186" s="3">
        <f t="shared" si="160"/>
        <v>4189</v>
      </c>
      <c r="Q186" s="3">
        <f t="shared" si="160"/>
        <v>7290</v>
      </c>
      <c r="R186" s="3">
        <f t="shared" si="160"/>
        <v>7811</v>
      </c>
      <c r="S186" s="3">
        <f t="shared" si="160"/>
        <v>8074</v>
      </c>
      <c r="T186" s="3">
        <f t="shared" si="160"/>
        <v>4200</v>
      </c>
      <c r="U186" s="3">
        <f t="shared" si="160"/>
        <v>4252.5</v>
      </c>
      <c r="V186" s="3">
        <f t="shared" si="160"/>
        <v>4252.5</v>
      </c>
      <c r="W186" s="3">
        <f t="shared" si="160"/>
        <v>4304.9999999999991</v>
      </c>
      <c r="X186" s="3">
        <f t="shared" si="160"/>
        <v>4304.9999999999991</v>
      </c>
      <c r="Y186" s="3">
        <f t="shared" si="160"/>
        <v>4252.5328124999987</v>
      </c>
      <c r="Z186" s="3">
        <f t="shared" si="160"/>
        <v>4201.3773046874994</v>
      </c>
      <c r="AA186" s="3">
        <f t="shared" si="160"/>
        <v>4251.253924804686</v>
      </c>
      <c r="AB186" s="3">
        <f t="shared" si="160"/>
        <v>4302.3774604248028</v>
      </c>
      <c r="AC186" s="3">
        <f t="shared" si="160"/>
        <v>4354.7790844354231</v>
      </c>
      <c r="AD186" s="3">
        <f t="shared" si="160"/>
        <v>3856.9126240463088</v>
      </c>
      <c r="AE186" s="3">
        <f t="shared" si="160"/>
        <v>964.2281560115772</v>
      </c>
      <c r="AF186" s="3">
        <f t="shared" si="160"/>
        <v>482.1140780057886</v>
      </c>
    </row>
    <row r="187" spans="2:32" ht="12.75" customHeight="1" outlineLevel="1">
      <c r="B187" s="21" t="s">
        <v>313</v>
      </c>
      <c r="J187" s="3">
        <f t="shared" ref="J187:AF187" si="161">J32</f>
        <v>21.462</v>
      </c>
      <c r="K187" s="3">
        <f t="shared" si="161"/>
        <v>35.917999999999999</v>
      </c>
      <c r="L187" s="3">
        <f t="shared" si="161"/>
        <v>27.401</v>
      </c>
      <c r="M187" s="3">
        <f t="shared" si="161"/>
        <v>147.73599999999999</v>
      </c>
      <c r="N187" s="3">
        <f t="shared" si="161"/>
        <v>228.04</v>
      </c>
      <c r="O187" s="3">
        <f t="shared" si="161"/>
        <v>303.76400000000001</v>
      </c>
      <c r="P187" s="3">
        <f t="shared" si="161"/>
        <v>601</v>
      </c>
      <c r="Q187" s="3">
        <f t="shared" si="161"/>
        <v>397</v>
      </c>
      <c r="R187" s="3">
        <f t="shared" si="161"/>
        <v>296</v>
      </c>
      <c r="S187" s="3">
        <f t="shared" si="161"/>
        <v>558</v>
      </c>
      <c r="T187" s="3">
        <f t="shared" si="161"/>
        <v>558</v>
      </c>
      <c r="U187" s="3">
        <f t="shared" si="161"/>
        <v>558</v>
      </c>
      <c r="V187" s="3">
        <f t="shared" si="161"/>
        <v>558</v>
      </c>
      <c r="W187" s="3">
        <f t="shared" si="161"/>
        <v>558</v>
      </c>
      <c r="X187" s="3">
        <f t="shared" si="161"/>
        <v>558</v>
      </c>
      <c r="Y187" s="3">
        <f t="shared" si="161"/>
        <v>558</v>
      </c>
      <c r="Z187" s="3">
        <f t="shared" si="161"/>
        <v>558</v>
      </c>
      <c r="AA187" s="3">
        <f t="shared" si="161"/>
        <v>558</v>
      </c>
      <c r="AB187" s="3">
        <f t="shared" si="161"/>
        <v>558</v>
      </c>
      <c r="AC187" s="3">
        <f t="shared" si="161"/>
        <v>558</v>
      </c>
      <c r="AD187" s="3">
        <f t="shared" si="161"/>
        <v>558</v>
      </c>
      <c r="AE187" s="3">
        <f t="shared" si="161"/>
        <v>558</v>
      </c>
      <c r="AF187" s="3">
        <f t="shared" si="161"/>
        <v>558</v>
      </c>
    </row>
    <row r="188" spans="2:32" ht="12.75" customHeight="1" outlineLevel="1">
      <c r="B188" s="21" t="s">
        <v>314</v>
      </c>
      <c r="J188" s="8">
        <f>SUM(J185:J187)</f>
        <v>1193.8600000000001</v>
      </c>
      <c r="K188" s="8">
        <f t="shared" ref="K188:U188" si="162">SUM(K185:K187)</f>
        <v>1779.2409999999998</v>
      </c>
      <c r="L188" s="8">
        <f t="shared" si="162"/>
        <v>1742.8309999999999</v>
      </c>
      <c r="M188" s="8">
        <f t="shared" si="162"/>
        <v>2586.2889999999998</v>
      </c>
      <c r="N188" s="8">
        <f t="shared" si="162"/>
        <v>3225.4079999999999</v>
      </c>
      <c r="O188" s="8">
        <f t="shared" si="162"/>
        <v>3821.5010000000002</v>
      </c>
      <c r="P188" s="8">
        <f t="shared" si="162"/>
        <v>5745</v>
      </c>
      <c r="Q188" s="8">
        <f t="shared" si="162"/>
        <v>8865</v>
      </c>
      <c r="R188" s="8">
        <f t="shared" si="162"/>
        <v>9313</v>
      </c>
      <c r="S188" s="8">
        <f t="shared" si="162"/>
        <v>9446</v>
      </c>
      <c r="T188" s="8">
        <f t="shared" si="162"/>
        <v>5455.9540064781713</v>
      </c>
      <c r="U188" s="8">
        <f t="shared" si="162"/>
        <v>5526.5573837969141</v>
      </c>
      <c r="V188" s="8">
        <f>SUM(V185:V187)</f>
        <v>5583.1341212707284</v>
      </c>
      <c r="W188" s="8">
        <f t="shared" ref="W188:AF188" si="163">SUM(W185:W187)</f>
        <v>5604.6964285613121</v>
      </c>
      <c r="X188" s="8">
        <f t="shared" si="163"/>
        <v>5610.2465202539415</v>
      </c>
      <c r="Y188" s="8">
        <f t="shared" si="163"/>
        <v>5584.4973699245902</v>
      </c>
      <c r="Z188" s="8">
        <f t="shared" si="163"/>
        <v>5559.7250841463156</v>
      </c>
      <c r="AA188" s="8">
        <f t="shared" si="163"/>
        <v>5399.0744761289825</v>
      </c>
      <c r="AB188" s="8">
        <f t="shared" si="163"/>
        <v>5390.5709822056069</v>
      </c>
      <c r="AC188" s="8">
        <f t="shared" si="163"/>
        <v>5439.5988372795528</v>
      </c>
      <c r="AD188" s="8">
        <f t="shared" si="163"/>
        <v>4940.8236386968247</v>
      </c>
      <c r="AE188" s="8">
        <f t="shared" si="163"/>
        <v>1956.8279693411505</v>
      </c>
      <c r="AF188" s="8">
        <f t="shared" si="163"/>
        <v>1472.9191321664719</v>
      </c>
    </row>
    <row r="189" spans="2:32" ht="12.75" customHeight="1" outlineLevel="1">
      <c r="B189" s="21" t="s">
        <v>315</v>
      </c>
      <c r="J189" s="8">
        <f t="shared" ref="J189:U189" si="164">J184-J188</f>
        <v>1608.3809999999999</v>
      </c>
      <c r="K189" s="8">
        <f t="shared" si="164"/>
        <v>3039.3370000000004</v>
      </c>
      <c r="L189" s="8">
        <f t="shared" si="164"/>
        <v>3507.1639999999998</v>
      </c>
      <c r="M189" s="8">
        <f t="shared" si="164"/>
        <v>3883.7529999999997</v>
      </c>
      <c r="N189" s="8">
        <f t="shared" si="164"/>
        <v>14327.720000000001</v>
      </c>
      <c r="O189" s="8">
        <f t="shared" si="164"/>
        <v>14856.971000000001</v>
      </c>
      <c r="P189" s="8">
        <f t="shared" si="164"/>
        <v>15398</v>
      </c>
      <c r="Q189" s="8">
        <f t="shared" si="164"/>
        <v>13695</v>
      </c>
      <c r="R189" s="8">
        <f t="shared" si="164"/>
        <v>12010</v>
      </c>
      <c r="S189" s="8">
        <f t="shared" si="164"/>
        <v>22482</v>
      </c>
      <c r="T189" s="8">
        <f t="shared" si="164"/>
        <v>24229.604209825913</v>
      </c>
      <c r="U189" s="8">
        <f t="shared" si="164"/>
        <v>21536.050786703174</v>
      </c>
      <c r="V189" s="8">
        <f>V184-V188</f>
        <v>20969.642646715809</v>
      </c>
      <c r="W189" s="8">
        <f t="shared" ref="W189:AF189" si="165">W184-W188</f>
        <v>19898.814121986921</v>
      </c>
      <c r="X189" s="8">
        <f t="shared" si="165"/>
        <v>19220.825405825784</v>
      </c>
      <c r="Y189" s="8">
        <f t="shared" si="165"/>
        <v>18642.58598196469</v>
      </c>
      <c r="Z189" s="8">
        <f t="shared" si="165"/>
        <v>18093.028655870679</v>
      </c>
      <c r="AA189" s="8">
        <f t="shared" si="165"/>
        <v>16196.538160978183</v>
      </c>
      <c r="AB189" s="8">
        <f t="shared" si="165"/>
        <v>14828.238988093641</v>
      </c>
      <c r="AC189" s="8">
        <f t="shared" si="165"/>
        <v>13678.465748423498</v>
      </c>
      <c r="AD189" s="8">
        <f t="shared" si="165"/>
        <v>13072.696468939383</v>
      </c>
      <c r="AE189" s="8">
        <f t="shared" si="165"/>
        <v>14288.170132010033</v>
      </c>
      <c r="AF189" s="8">
        <f t="shared" si="165"/>
        <v>13382.841515771239</v>
      </c>
    </row>
    <row r="190" spans="2:32" ht="12.75" customHeight="1" outlineLevel="1">
      <c r="B190" s="21" t="s">
        <v>316</v>
      </c>
      <c r="K190" s="3">
        <f t="shared" ref="K190:U190" si="166">K172/J189</f>
        <v>4.3592799218593106</v>
      </c>
      <c r="L190" s="3">
        <f t="shared" si="166"/>
        <v>2.6155112118202091</v>
      </c>
      <c r="M190" s="3">
        <f t="shared" si="166"/>
        <v>2.3909303927617871</v>
      </c>
      <c r="N190" s="3">
        <f t="shared" si="166"/>
        <v>2.4982322511241066</v>
      </c>
      <c r="O190" s="3">
        <f t="shared" si="166"/>
        <v>0.78181936832936427</v>
      </c>
      <c r="P190" s="3">
        <f t="shared" si="166"/>
        <v>1.6753080495168564</v>
      </c>
      <c r="Q190" s="3">
        <f t="shared" si="166"/>
        <v>2.1196908689440188</v>
      </c>
      <c r="R190" s="3">
        <f t="shared" si="166"/>
        <v>2.2190580503833517</v>
      </c>
      <c r="S190" s="3">
        <f t="shared" si="166"/>
        <v>2.1737718567860118</v>
      </c>
      <c r="T190" s="3">
        <f t="shared" si="166"/>
        <v>0.93581905750382122</v>
      </c>
      <c r="U190" s="3">
        <f t="shared" si="166"/>
        <v>0.88078342902216122</v>
      </c>
      <c r="V190" s="3">
        <f>V172/U189</f>
        <v>1.0539845852364191</v>
      </c>
      <c r="W190" s="3">
        <f t="shared" ref="W190:AE190" si="167">W172/V189</f>
        <v>1.0237524767849042</v>
      </c>
      <c r="X190" s="3">
        <f t="shared" si="167"/>
        <v>1.1146720274592725</v>
      </c>
      <c r="Y190" s="3">
        <f t="shared" si="167"/>
        <v>1.1981214936585827</v>
      </c>
      <c r="Z190" s="3">
        <f t="shared" si="167"/>
        <v>1.2825984960499088</v>
      </c>
      <c r="AA190" s="3">
        <f t="shared" si="167"/>
        <v>1.0242064091717407</v>
      </c>
      <c r="AB190" s="3">
        <f t="shared" si="167"/>
        <v>1.0435929089306504</v>
      </c>
      <c r="AC190" s="3">
        <f t="shared" si="167"/>
        <v>1.1300400678209346</v>
      </c>
      <c r="AD190" s="3">
        <f t="shared" si="167"/>
        <v>1.2208374251925425</v>
      </c>
      <c r="AE190" s="3">
        <f t="shared" si="167"/>
        <v>1.0744552847834594</v>
      </c>
      <c r="AF190" s="3">
        <f>AF172/AE189</f>
        <v>0.94313150277921387</v>
      </c>
    </row>
    <row r="192" spans="2:32" ht="12.75" customHeight="1">
      <c r="J192" s="3"/>
      <c r="K192" s="3"/>
      <c r="L192" s="3"/>
      <c r="M192" s="3"/>
      <c r="N192" s="3"/>
      <c r="O192" s="3"/>
      <c r="P192" s="3"/>
      <c r="Q192" s="3"/>
      <c r="R192" s="3"/>
      <c r="S192" s="3"/>
      <c r="T192" s="3"/>
      <c r="U192" s="3"/>
      <c r="V192" s="3"/>
      <c r="W192" s="3"/>
      <c r="X192" s="3"/>
      <c r="Y192" s="3"/>
      <c r="Z192" s="3"/>
      <c r="AA192" s="3"/>
      <c r="AB192" s="3"/>
      <c r="AC192" s="3"/>
      <c r="AD192" s="3"/>
      <c r="AE192" s="3"/>
      <c r="AF192" s="3"/>
    </row>
    <row r="193" spans="3:32" ht="12.75" customHeight="1">
      <c r="K193" s="16"/>
      <c r="L193" s="16"/>
      <c r="M193" s="16"/>
      <c r="N193" s="16"/>
      <c r="O193" s="16"/>
      <c r="P193" s="16"/>
      <c r="Q193" s="16"/>
      <c r="R193" s="16"/>
      <c r="S193" s="16"/>
      <c r="T193" s="16"/>
      <c r="U193" s="16"/>
      <c r="V193" s="16"/>
      <c r="W193" s="16"/>
      <c r="X193" s="16"/>
      <c r="Y193" s="16"/>
      <c r="Z193" s="16"/>
      <c r="AA193" s="16"/>
      <c r="AB193" s="16"/>
      <c r="AC193" s="16"/>
      <c r="AD193" s="16"/>
      <c r="AE193" s="16"/>
      <c r="AF193" s="16"/>
    </row>
    <row r="195" spans="3:32" customFormat="1" ht="12.75" customHeight="1"/>
    <row r="196" spans="3:32" ht="12.75" customHeight="1">
      <c r="C196" s="113"/>
      <c r="D196" s="113"/>
      <c r="E196" s="112"/>
      <c r="F196" s="112"/>
      <c r="G196" s="112"/>
      <c r="H196" s="112"/>
      <c r="I196" s="112"/>
      <c r="J196" s="111"/>
      <c r="K196" s="111"/>
      <c r="L196" s="111"/>
      <c r="M196" s="111"/>
      <c r="N196" s="111"/>
      <c r="O196" s="111"/>
      <c r="P196" s="111"/>
      <c r="Q196" s="111"/>
      <c r="R196" s="111"/>
      <c r="S196" s="111"/>
      <c r="T196" s="111"/>
      <c r="U196" s="111"/>
      <c r="V196" s="111"/>
      <c r="W196" s="111"/>
      <c r="X196" s="111"/>
      <c r="Y196" s="111"/>
      <c r="Z196" s="111"/>
      <c r="AA196" s="111"/>
      <c r="AB196" s="111"/>
      <c r="AC196" s="111"/>
      <c r="AD196" s="111"/>
      <c r="AE196" s="111"/>
      <c r="AF196" s="111"/>
    </row>
  </sheetData>
  <phoneticPr fontId="21" type="noConversion"/>
  <pageMargins left="0" right="0" top="0" bottom="0" header="0" footer="0"/>
  <pageSetup paperSize="5" scale="26" orientation="landscape" r:id="rId1"/>
  <ignoredErrors>
    <ignoredError sqref="V30:AF30 V23:AF23 T23:U23 T30:U30" formula="1"/>
    <ignoredError sqref="M41:S41" formulaRange="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Q213"/>
  <sheetViews>
    <sheetView zoomScale="90" zoomScaleNormal="90" workbookViewId="0">
      <pane xSplit="2" ySplit="1" topLeftCell="Q2" activePane="bottomRight" state="frozen"/>
      <selection pane="topRight" activeCell="C1" sqref="C1"/>
      <selection pane="bottomLeft" activeCell="A2" sqref="A2"/>
      <selection pane="bottomRight" activeCell="B1" sqref="B1:AF49"/>
    </sheetView>
  </sheetViews>
  <sheetFormatPr defaultRowHeight="12.75" customHeight="1" outlineLevelRow="2" outlineLevelCol="1"/>
  <cols>
    <col min="1" max="1" width="1.42578125" style="1" customWidth="1"/>
    <col min="2" max="2" width="67.85546875" style="1" customWidth="1"/>
    <col min="3" max="3" width="9.42578125" style="1" hidden="1" customWidth="1" outlineLevel="1" collapsed="1"/>
    <col min="4" max="4" width="9.42578125" style="1" hidden="1" customWidth="1" outlineLevel="1"/>
    <col min="5" max="5" width="9.42578125" style="1" hidden="1" customWidth="1" outlineLevel="1" collapsed="1"/>
    <col min="6" max="10" width="9.42578125" style="1" hidden="1" customWidth="1" outlineLevel="1"/>
    <col min="11" max="11" width="9.42578125" style="1" customWidth="1" collapsed="1"/>
    <col min="12" max="32" width="10.7109375" style="1" customWidth="1"/>
    <col min="33" max="33" width="8.42578125" style="364" customWidth="1"/>
    <col min="34" max="34" width="24.42578125" customWidth="1"/>
    <col min="35" max="35" width="9.42578125" customWidth="1"/>
    <col min="40" max="249" width="9.140625" style="1"/>
    <col min="250" max="250" width="1.42578125" style="1" customWidth="1"/>
    <col min="251" max="251" width="45.85546875" style="1" customWidth="1"/>
    <col min="252" max="16384" width="9.140625" style="1"/>
  </cols>
  <sheetData>
    <row r="1" spans="1:39" s="9" customFormat="1" ht="12.75" customHeight="1">
      <c r="A1" s="49"/>
      <c r="B1" s="50"/>
      <c r="C1" s="51" t="s">
        <v>1</v>
      </c>
      <c r="D1" s="51" t="s">
        <v>2</v>
      </c>
      <c r="E1" s="51" t="s">
        <v>3</v>
      </c>
      <c r="F1" s="51" t="s">
        <v>4</v>
      </c>
      <c r="G1" s="51" t="s">
        <v>5</v>
      </c>
      <c r="H1" s="51" t="s">
        <v>6</v>
      </c>
      <c r="I1" s="51" t="s">
        <v>7</v>
      </c>
      <c r="J1" s="51" t="s">
        <v>8</v>
      </c>
      <c r="K1" s="533">
        <v>2009</v>
      </c>
      <c r="L1" s="533">
        <v>2010</v>
      </c>
      <c r="M1" s="533">
        <v>2011</v>
      </c>
      <c r="N1" s="533">
        <v>2012</v>
      </c>
      <c r="O1" s="533">
        <v>2013</v>
      </c>
      <c r="P1" s="533">
        <v>2014</v>
      </c>
      <c r="Q1" s="533">
        <v>2015</v>
      </c>
      <c r="R1" s="533">
        <v>2016</v>
      </c>
      <c r="S1" s="533">
        <v>2017</v>
      </c>
      <c r="T1" s="533" t="s">
        <v>14</v>
      </c>
      <c r="U1" s="533" t="s">
        <v>15</v>
      </c>
      <c r="V1" s="533" t="s">
        <v>16</v>
      </c>
      <c r="W1" s="533" t="s">
        <v>741</v>
      </c>
      <c r="X1" s="533" t="s">
        <v>742</v>
      </c>
      <c r="Y1" s="533" t="s">
        <v>743</v>
      </c>
      <c r="Z1" s="533" t="s">
        <v>744</v>
      </c>
      <c r="AA1" s="533" t="s">
        <v>745</v>
      </c>
      <c r="AB1" s="533" t="s">
        <v>746</v>
      </c>
      <c r="AC1" s="533" t="s">
        <v>747</v>
      </c>
      <c r="AD1" s="533" t="s">
        <v>748</v>
      </c>
      <c r="AE1" s="533" t="s">
        <v>749</v>
      </c>
      <c r="AF1" s="533" t="s">
        <v>750</v>
      </c>
      <c r="AG1" s="612"/>
      <c r="AH1"/>
      <c r="AI1"/>
      <c r="AJ1"/>
      <c r="AK1"/>
      <c r="AL1"/>
      <c r="AM1"/>
    </row>
    <row r="2" spans="1:39" s="9" customFormat="1" ht="12.75" customHeight="1">
      <c r="A2" s="49"/>
      <c r="B2" s="50"/>
      <c r="C2" s="51"/>
      <c r="D2" s="51"/>
      <c r="E2" s="51"/>
      <c r="F2" s="51"/>
      <c r="G2" s="51"/>
      <c r="H2" s="51"/>
      <c r="I2" s="51"/>
      <c r="J2" s="51"/>
      <c r="K2" s="533"/>
      <c r="L2" s="533"/>
      <c r="M2" s="533"/>
      <c r="N2" s="533"/>
      <c r="O2" s="533"/>
      <c r="P2" s="533"/>
      <c r="Q2" s="533"/>
      <c r="R2" s="533"/>
      <c r="S2" s="533"/>
      <c r="T2" s="533"/>
      <c r="U2" s="533"/>
      <c r="V2" s="533"/>
      <c r="W2" s="51"/>
      <c r="X2" s="51"/>
      <c r="Y2" s="51"/>
      <c r="Z2" s="51"/>
      <c r="AA2" s="51"/>
      <c r="AB2" s="51"/>
      <c r="AC2" s="51"/>
      <c r="AD2" s="51"/>
      <c r="AE2" s="51"/>
      <c r="AF2" s="51"/>
      <c r="AG2" s="612"/>
      <c r="AH2"/>
      <c r="AI2"/>
      <c r="AJ2"/>
      <c r="AK2"/>
      <c r="AL2"/>
      <c r="AM2"/>
    </row>
    <row r="3" spans="1:39" ht="12.75" customHeight="1">
      <c r="A3" s="54"/>
      <c r="B3" s="157" t="s">
        <v>318</v>
      </c>
      <c r="C3" s="139">
        <v>52.271000000000001</v>
      </c>
      <c r="D3" s="139">
        <v>72.096999999999994</v>
      </c>
      <c r="E3" s="139">
        <v>-72.003</v>
      </c>
      <c r="F3" s="139">
        <v>449.37099999999998</v>
      </c>
      <c r="G3" s="139">
        <v>813.91399999999999</v>
      </c>
      <c r="H3" s="139">
        <v>-1189.9570000000001</v>
      </c>
      <c r="I3" s="139">
        <v>1615.298</v>
      </c>
      <c r="J3" s="139">
        <v>1970.335</v>
      </c>
      <c r="K3" s="531">
        <v>2625.5920000000001</v>
      </c>
      <c r="L3" s="531">
        <v>2889.7489999999998</v>
      </c>
      <c r="M3" s="531">
        <v>2789.0590000000002</v>
      </c>
      <c r="N3" s="531">
        <v>2573.5990000000002</v>
      </c>
      <c r="O3" s="534">
        <v>3057.2860000000001</v>
      </c>
      <c r="P3" s="534">
        <v>12059</v>
      </c>
      <c r="Q3" s="534">
        <v>18106</v>
      </c>
      <c r="R3" s="534">
        <v>13488</v>
      </c>
      <c r="S3" s="534">
        <v>4644</v>
      </c>
      <c r="T3" s="531">
        <f>IS!CJ29+IS!CJ82</f>
        <v>7471.8884087656488</v>
      </c>
      <c r="U3" s="531">
        <f>IS!CO29+IS!CO82</f>
        <v>7560.1187914066522</v>
      </c>
      <c r="V3" s="531">
        <f>IS!CT29+IS!CT82</f>
        <v>8436.9316372378798</v>
      </c>
      <c r="W3" s="531">
        <f>IS!CY29+IS!CY82</f>
        <v>7405.4092785834673</v>
      </c>
      <c r="X3" s="531">
        <f>IS!DD29+IS!DD82</f>
        <v>7993.8263287557656</v>
      </c>
      <c r="Y3" s="531">
        <f>IS!DI29+IS!DI82</f>
        <v>8534.4654793306363</v>
      </c>
      <c r="Z3" s="531">
        <f>IS!DN29+IS!DN82</f>
        <v>9150.4295821581127</v>
      </c>
      <c r="AA3" s="531">
        <f>IS!DS29+IS!DS82</f>
        <v>5548.3505454377319</v>
      </c>
      <c r="AB3" s="531">
        <f>IS!DX29+IS!DX82</f>
        <v>4384.9076549805577</v>
      </c>
      <c r="AC3" s="531">
        <f>IS!EC29+IS!EC82</f>
        <v>4106.8334771323216</v>
      </c>
      <c r="AD3" s="531">
        <f>IS!EH29+IS!EH82</f>
        <v>4568.8011493604699</v>
      </c>
      <c r="AE3" s="531">
        <f>IS!EM29+IS!EM82</f>
        <v>6407.0662351851242</v>
      </c>
      <c r="AF3" s="531">
        <f>IS!ER29+IS!ER82</f>
        <v>6422.513273049979</v>
      </c>
      <c r="AG3" s="613"/>
    </row>
    <row r="4" spans="1:39" ht="12.75" customHeight="1" outlineLevel="1">
      <c r="A4" s="56"/>
      <c r="B4" s="59" t="s">
        <v>319</v>
      </c>
      <c r="C4" s="139">
        <v>13.509</v>
      </c>
      <c r="D4" s="180">
        <v>13.189</v>
      </c>
      <c r="E4" s="180">
        <v>16.533000000000001</v>
      </c>
      <c r="F4" s="139">
        <v>20.265000000000001</v>
      </c>
      <c r="G4" s="139">
        <v>25.285</v>
      </c>
      <c r="H4" s="139">
        <v>27.62</v>
      </c>
      <c r="I4" s="139">
        <v>36.887999999999998</v>
      </c>
      <c r="J4" s="139">
        <v>51.722000000000001</v>
      </c>
      <c r="K4" s="531">
        <v>64.56</v>
      </c>
      <c r="L4" s="531">
        <v>67.239999999999995</v>
      </c>
      <c r="M4" s="531">
        <v>72.186999999999998</v>
      </c>
      <c r="N4" s="531">
        <v>82.846999999999994</v>
      </c>
      <c r="O4" s="534">
        <v>102.64400000000001</v>
      </c>
      <c r="P4" s="534">
        <v>125</v>
      </c>
      <c r="Q4" s="534">
        <v>161</v>
      </c>
      <c r="R4" s="534">
        <v>177</v>
      </c>
      <c r="S4" s="534">
        <v>233</v>
      </c>
      <c r="T4" s="531">
        <f>BS!T151</f>
        <v>327.35836546143503</v>
      </c>
      <c r="U4" s="531">
        <f>BS!U151</f>
        <v>369.15587582189033</v>
      </c>
      <c r="V4" s="531">
        <f>BS!V151</f>
        <v>417.70267922546776</v>
      </c>
      <c r="W4" s="531">
        <f>BS!W151</f>
        <v>464.38617366006127</v>
      </c>
      <c r="X4" s="531">
        <f>BS!X151</f>
        <v>519.99513110121973</v>
      </c>
      <c r="Y4" s="531">
        <f>BS!Y151</f>
        <v>581.842987238815</v>
      </c>
      <c r="Z4" s="531">
        <f>BS!Z151</f>
        <v>650.32959694774058</v>
      </c>
      <c r="AA4" s="531">
        <f>BS!AA151</f>
        <v>706.71584746646658</v>
      </c>
      <c r="AB4" s="531">
        <f>BS!AB151</f>
        <v>761.16549980551008</v>
      </c>
      <c r="AC4" s="531">
        <f>BS!AC151</f>
        <v>818.13677966616115</v>
      </c>
      <c r="AD4" s="531">
        <f>BS!AD151</f>
        <v>877.89516695303746</v>
      </c>
      <c r="AE4" s="531">
        <f>BS!AE151</f>
        <v>930.6674005779272</v>
      </c>
      <c r="AF4" s="531">
        <f>BS!AF151</f>
        <v>983.70293295883994</v>
      </c>
      <c r="AG4" s="614"/>
    </row>
    <row r="5" spans="1:39" ht="12.75" customHeight="1" outlineLevel="1">
      <c r="A5" s="56"/>
      <c r="B5" s="59" t="s">
        <v>320</v>
      </c>
      <c r="C5" s="180">
        <v>1.1819999999999999</v>
      </c>
      <c r="D5" s="180">
        <v>1.2390000000000001</v>
      </c>
      <c r="E5" s="180">
        <v>4.3259999999999996</v>
      </c>
      <c r="F5" s="180">
        <v>4.1429999999999998</v>
      </c>
      <c r="G5" s="180">
        <v>10.492000000000001</v>
      </c>
      <c r="H5" s="180">
        <v>19.664000000000001</v>
      </c>
      <c r="I5" s="180">
        <v>14.391</v>
      </c>
      <c r="J5" s="180">
        <v>103.88800000000001</v>
      </c>
      <c r="K5" s="532">
        <v>148.38399999999999</v>
      </c>
      <c r="L5" s="532">
        <v>198.23699999999999</v>
      </c>
      <c r="M5" s="532">
        <v>230.04499999999999</v>
      </c>
      <c r="N5" s="532">
        <v>195.35900000000001</v>
      </c>
      <c r="O5" s="535">
        <v>242.06</v>
      </c>
      <c r="P5" s="535">
        <v>925</v>
      </c>
      <c r="Q5" s="535">
        <v>937</v>
      </c>
      <c r="R5" s="535">
        <v>981</v>
      </c>
      <c r="S5" s="535">
        <v>1053</v>
      </c>
      <c r="T5" s="532">
        <f>BS!T167</f>
        <v>1053</v>
      </c>
      <c r="U5" s="532">
        <f>BS!U167</f>
        <v>1053</v>
      </c>
      <c r="V5" s="532">
        <f>BS!V167</f>
        <v>1053</v>
      </c>
      <c r="W5" s="532">
        <f>BS!W167</f>
        <v>1053</v>
      </c>
      <c r="X5" s="532">
        <f>BS!X167</f>
        <v>1053</v>
      </c>
      <c r="Y5" s="532">
        <f>BS!Y167</f>
        <v>1053</v>
      </c>
      <c r="Z5" s="532">
        <f>BS!Z167</f>
        <v>1053</v>
      </c>
      <c r="AA5" s="532">
        <f>BS!AA167</f>
        <v>1053</v>
      </c>
      <c r="AB5" s="532">
        <f>BS!AB167</f>
        <v>1053</v>
      </c>
      <c r="AC5" s="532">
        <f>BS!AC167</f>
        <v>1053</v>
      </c>
      <c r="AD5" s="532">
        <f>BS!AD167</f>
        <v>1053</v>
      </c>
      <c r="AE5" s="532">
        <f>BS!AE167</f>
        <v>1053</v>
      </c>
      <c r="AF5" s="532">
        <f>BS!AF167</f>
        <v>1053</v>
      </c>
      <c r="AG5" s="615"/>
    </row>
    <row r="6" spans="1:39" ht="12.75" customHeight="1">
      <c r="A6" s="56"/>
      <c r="B6" s="59" t="s">
        <v>696</v>
      </c>
      <c r="C6" s="180">
        <f t="shared" ref="C6:AF6" si="0">C4+C5</f>
        <v>14.691000000000001</v>
      </c>
      <c r="D6" s="180">
        <f t="shared" si="0"/>
        <v>14.428000000000001</v>
      </c>
      <c r="E6" s="180">
        <f t="shared" si="0"/>
        <v>20.859000000000002</v>
      </c>
      <c r="F6" s="180">
        <f t="shared" si="0"/>
        <v>24.408000000000001</v>
      </c>
      <c r="G6" s="180">
        <f t="shared" si="0"/>
        <v>35.777000000000001</v>
      </c>
      <c r="H6" s="180">
        <f t="shared" si="0"/>
        <v>47.284000000000006</v>
      </c>
      <c r="I6" s="180">
        <f t="shared" si="0"/>
        <v>51.278999999999996</v>
      </c>
      <c r="J6" s="180">
        <f t="shared" si="0"/>
        <v>155.61000000000001</v>
      </c>
      <c r="K6" s="532">
        <f t="shared" si="0"/>
        <v>212.94399999999999</v>
      </c>
      <c r="L6" s="532">
        <f t="shared" si="0"/>
        <v>265.47699999999998</v>
      </c>
      <c r="M6" s="532">
        <f t="shared" si="0"/>
        <v>302.23199999999997</v>
      </c>
      <c r="N6" s="532">
        <f t="shared" si="0"/>
        <v>278.20600000000002</v>
      </c>
      <c r="O6" s="532">
        <f t="shared" si="0"/>
        <v>344.70400000000001</v>
      </c>
      <c r="P6" s="532">
        <f t="shared" si="0"/>
        <v>1050</v>
      </c>
      <c r="Q6" s="532">
        <f t="shared" si="0"/>
        <v>1098</v>
      </c>
      <c r="R6" s="532">
        <f t="shared" si="0"/>
        <v>1158</v>
      </c>
      <c r="S6" s="532">
        <f t="shared" si="0"/>
        <v>1286</v>
      </c>
      <c r="T6" s="532">
        <f t="shared" si="0"/>
        <v>1380.3583654614349</v>
      </c>
      <c r="U6" s="532">
        <f t="shared" si="0"/>
        <v>1422.1558758218903</v>
      </c>
      <c r="V6" s="532">
        <f t="shared" si="0"/>
        <v>1470.7026792254678</v>
      </c>
      <c r="W6" s="532">
        <f t="shared" si="0"/>
        <v>1517.3861736600613</v>
      </c>
      <c r="X6" s="532">
        <f t="shared" si="0"/>
        <v>1572.9951311012196</v>
      </c>
      <c r="Y6" s="532">
        <f t="shared" si="0"/>
        <v>1634.8429872388151</v>
      </c>
      <c r="Z6" s="532">
        <f t="shared" si="0"/>
        <v>1703.3295969477406</v>
      </c>
      <c r="AA6" s="532">
        <f t="shared" si="0"/>
        <v>1759.7158474664666</v>
      </c>
      <c r="AB6" s="532">
        <f t="shared" si="0"/>
        <v>1814.1654998055101</v>
      </c>
      <c r="AC6" s="532">
        <f t="shared" si="0"/>
        <v>1871.1367796661611</v>
      </c>
      <c r="AD6" s="532">
        <f t="shared" si="0"/>
        <v>1930.8951669530375</v>
      </c>
      <c r="AE6" s="532">
        <f t="shared" si="0"/>
        <v>1983.6674005779273</v>
      </c>
      <c r="AF6" s="532">
        <f t="shared" si="0"/>
        <v>2036.7029329588399</v>
      </c>
      <c r="AG6" s="615"/>
    </row>
    <row r="7" spans="1:39" ht="12.75" customHeight="1">
      <c r="A7" s="56"/>
      <c r="B7" s="59" t="s">
        <v>697</v>
      </c>
      <c r="C7" s="180"/>
      <c r="D7" s="180"/>
      <c r="E7" s="180"/>
      <c r="F7" s="180"/>
      <c r="G7" s="180">
        <v>0.96899999999999997</v>
      </c>
      <c r="H7" s="180">
        <f>133.826-95.259</f>
        <v>38.566999999999993</v>
      </c>
      <c r="I7" s="180">
        <f>184.605-76.276</f>
        <v>108.32899999999999</v>
      </c>
      <c r="J7" s="180">
        <f>153.364-191.939</f>
        <v>-38.574999999999989</v>
      </c>
      <c r="K7" s="532">
        <f>180.684-80.186</f>
        <v>100.49799999999999</v>
      </c>
      <c r="L7" s="532">
        <f>200.041-81.62</f>
        <v>118.42099999999999</v>
      </c>
      <c r="M7" s="532">
        <f>192.378-40.848</f>
        <v>151.52999999999997</v>
      </c>
      <c r="N7" s="532">
        <v>208.72499999999999</v>
      </c>
      <c r="O7" s="535">
        <v>251.98400000000001</v>
      </c>
      <c r="P7" s="534">
        <v>360</v>
      </c>
      <c r="Q7" s="534">
        <v>382</v>
      </c>
      <c r="R7" s="534">
        <v>380</v>
      </c>
      <c r="S7" s="534">
        <v>638</v>
      </c>
      <c r="T7" s="531">
        <f>IS!CJ35</f>
        <v>713.90000000000009</v>
      </c>
      <c r="U7" s="531">
        <f>IS!CO35</f>
        <v>785.29000000000008</v>
      </c>
      <c r="V7" s="531">
        <f>IS!CT35</f>
        <v>863.81900000000019</v>
      </c>
      <c r="W7" s="531">
        <f>IS!CY35</f>
        <v>950.20090000000016</v>
      </c>
      <c r="X7" s="531">
        <f>IS!DD35</f>
        <v>1045.2209900000003</v>
      </c>
      <c r="Y7" s="531">
        <f>IS!DI35</f>
        <v>1149.7430890000005</v>
      </c>
      <c r="Z7" s="531">
        <f>IS!DN35</f>
        <v>1264.7173979000006</v>
      </c>
      <c r="AA7" s="531">
        <f>IS!DS35</f>
        <v>1391.1891376900007</v>
      </c>
      <c r="AB7" s="531">
        <f>IS!DX35</f>
        <v>1530.308051459001</v>
      </c>
      <c r="AC7" s="531">
        <f>IS!EC35</f>
        <v>1683.3388566049011</v>
      </c>
      <c r="AD7" s="531">
        <f>IS!EH35</f>
        <v>1851.6727422653917</v>
      </c>
      <c r="AE7" s="531">
        <f>IS!EM35</f>
        <v>2036.8400164919308</v>
      </c>
      <c r="AF7" s="531">
        <f>IS!ER35</f>
        <v>2240.5240181411241</v>
      </c>
      <c r="AG7" s="615"/>
    </row>
    <row r="8" spans="1:39" ht="12.75" customHeight="1">
      <c r="A8" s="56"/>
      <c r="B8" s="59" t="s">
        <v>698</v>
      </c>
      <c r="C8" s="139"/>
      <c r="D8" s="139"/>
      <c r="E8" s="139">
        <v>488.59899999999999</v>
      </c>
      <c r="F8" s="139"/>
      <c r="G8" s="139"/>
      <c r="H8" s="139">
        <v>2394.0509999999999</v>
      </c>
      <c r="I8" s="139"/>
      <c r="J8" s="139">
        <v>10.851000000000001</v>
      </c>
      <c r="K8" s="531"/>
      <c r="L8" s="531">
        <v>136</v>
      </c>
      <c r="M8" s="531">
        <v>26.63</v>
      </c>
      <c r="N8" s="534">
        <v>0</v>
      </c>
      <c r="O8" s="534">
        <v>0</v>
      </c>
      <c r="P8" s="534">
        <v>0</v>
      </c>
      <c r="Q8" s="534">
        <v>0</v>
      </c>
      <c r="R8" s="534">
        <v>432</v>
      </c>
      <c r="S8" s="534">
        <v>0</v>
      </c>
      <c r="T8" s="531">
        <f>IS!CJ77</f>
        <v>0</v>
      </c>
      <c r="U8" s="531">
        <f>IS!CO77</f>
        <v>0</v>
      </c>
      <c r="V8" s="531">
        <f>IS!CT77</f>
        <v>0</v>
      </c>
      <c r="W8" s="531">
        <f>IS!CY77</f>
        <v>0</v>
      </c>
      <c r="X8" s="531">
        <f>IS!DD77</f>
        <v>0</v>
      </c>
      <c r="Y8" s="531">
        <f>IS!DI77</f>
        <v>0</v>
      </c>
      <c r="Z8" s="531">
        <f>IS!DN77</f>
        <v>0</v>
      </c>
      <c r="AA8" s="531">
        <f>IS!DS77</f>
        <v>0</v>
      </c>
      <c r="AB8" s="531">
        <f>IS!DX77</f>
        <v>0</v>
      </c>
      <c r="AC8" s="531">
        <f>IS!EC77</f>
        <v>0</v>
      </c>
      <c r="AD8" s="531">
        <f>IS!EH77</f>
        <v>0</v>
      </c>
      <c r="AE8" s="531">
        <f>IS!EM77</f>
        <v>0</v>
      </c>
      <c r="AF8" s="531">
        <f>IS!ER77</f>
        <v>0</v>
      </c>
      <c r="AG8" s="614"/>
    </row>
    <row r="9" spans="1:39" ht="12.75" customHeight="1">
      <c r="A9" s="56"/>
      <c r="B9" s="59" t="s">
        <v>322</v>
      </c>
      <c r="C9" s="180">
        <v>1.5</v>
      </c>
      <c r="D9" s="180">
        <v>0.35</v>
      </c>
      <c r="E9" s="180">
        <v>132.363</v>
      </c>
      <c r="F9" s="180">
        <v>22.012</v>
      </c>
      <c r="G9" s="180">
        <v>168.47</v>
      </c>
      <c r="H9" s="180">
        <v>127.58</v>
      </c>
      <c r="I9" s="180">
        <v>110.678</v>
      </c>
      <c r="J9" s="180">
        <v>209.51900000000001</v>
      </c>
      <c r="K9" s="532">
        <v>88.367999999999995</v>
      </c>
      <c r="L9" s="532">
        <v>82.085999999999999</v>
      </c>
      <c r="M9" s="532">
        <v>37.231000000000002</v>
      </c>
      <c r="N9" s="532">
        <f>112.629-114.236</f>
        <v>-1.6069999999999993</v>
      </c>
      <c r="O9" s="535">
        <f>284.655-278.773</f>
        <v>5.8819999999999482</v>
      </c>
      <c r="P9" s="535">
        <f>484-482</f>
        <v>2</v>
      </c>
      <c r="Q9" s="535">
        <f>586-585</f>
        <v>1</v>
      </c>
      <c r="R9" s="535">
        <f>-194+186</f>
        <v>-8</v>
      </c>
      <c r="S9" s="535">
        <v>0</v>
      </c>
      <c r="T9" s="532"/>
      <c r="U9" s="532"/>
      <c r="V9" s="532"/>
      <c r="W9" s="58"/>
      <c r="X9" s="58"/>
      <c r="Y9" s="58"/>
      <c r="Z9" s="58"/>
      <c r="AA9" s="58"/>
      <c r="AB9" s="58"/>
      <c r="AC9" s="58"/>
      <c r="AD9" s="58"/>
      <c r="AE9" s="58"/>
      <c r="AF9" s="58"/>
      <c r="AG9" s="615"/>
    </row>
    <row r="10" spans="1:39" ht="12.75" customHeight="1">
      <c r="A10" s="56"/>
      <c r="B10" s="59" t="s">
        <v>323</v>
      </c>
      <c r="C10" s="180"/>
      <c r="D10" s="180"/>
      <c r="E10" s="180">
        <v>-250.06100000000001</v>
      </c>
      <c r="F10" s="180">
        <v>151.56800000000001</v>
      </c>
      <c r="G10" s="180">
        <v>-53.238999999999997</v>
      </c>
      <c r="H10" s="180">
        <v>-9.2200000000000006</v>
      </c>
      <c r="I10" s="180">
        <v>133.06899999999999</v>
      </c>
      <c r="J10" s="180">
        <v>-24.969000000000001</v>
      </c>
      <c r="K10" s="532">
        <v>-42.012999999999998</v>
      </c>
      <c r="L10" s="532">
        <v>12.151999999999999</v>
      </c>
      <c r="M10" s="532">
        <v>64.061000000000007</v>
      </c>
      <c r="N10" s="532">
        <v>-39.393000000000001</v>
      </c>
      <c r="O10" s="535">
        <v>-98.180999999999997</v>
      </c>
      <c r="P10" s="535">
        <v>-236</v>
      </c>
      <c r="Q10" s="535">
        <v>-393</v>
      </c>
      <c r="R10" s="535">
        <v>-119</v>
      </c>
      <c r="S10" s="535">
        <v>-82</v>
      </c>
      <c r="T10" s="532">
        <f>BS!S7-BS!T7</f>
        <v>0</v>
      </c>
      <c r="U10" s="532">
        <f>BS!T7-BS!U7</f>
        <v>0</v>
      </c>
      <c r="V10" s="532">
        <f>BS!U7-BS!V7</f>
        <v>0</v>
      </c>
      <c r="W10" s="532">
        <f>BS!V7-BS!W7</f>
        <v>0</v>
      </c>
      <c r="X10" s="532">
        <f>BS!W7-BS!X7</f>
        <v>0</v>
      </c>
      <c r="Y10" s="532">
        <f>BS!X7-BS!Y7</f>
        <v>0</v>
      </c>
      <c r="Z10" s="532">
        <f>BS!Y7-BS!Z7</f>
        <v>0</v>
      </c>
      <c r="AA10" s="532">
        <f>BS!Z7-BS!AA7</f>
        <v>0</v>
      </c>
      <c r="AB10" s="532">
        <f>BS!AA7-BS!AB7</f>
        <v>0</v>
      </c>
      <c r="AC10" s="532">
        <f>BS!AB7-BS!AC7</f>
        <v>0</v>
      </c>
      <c r="AD10" s="532">
        <f>BS!AC7-BS!AD7</f>
        <v>0</v>
      </c>
      <c r="AE10" s="532">
        <f>BS!AD7-BS!AE7</f>
        <v>0</v>
      </c>
      <c r="AF10" s="532">
        <f>BS!AE7-BS!AF7</f>
        <v>0</v>
      </c>
      <c r="AG10" s="615"/>
    </row>
    <row r="11" spans="1:39" ht="12.75" customHeight="1" collapsed="1">
      <c r="A11" s="56"/>
      <c r="B11" s="59" t="s">
        <v>321</v>
      </c>
      <c r="C11" s="180"/>
      <c r="D11" s="180"/>
      <c r="E11" s="180"/>
      <c r="F11" s="180"/>
      <c r="G11" s="180"/>
      <c r="H11" s="180"/>
      <c r="I11" s="180"/>
      <c r="J11" s="180"/>
      <c r="K11" s="532"/>
      <c r="L11" s="532"/>
      <c r="M11" s="532"/>
      <c r="N11" s="532"/>
      <c r="O11" s="532">
        <v>0</v>
      </c>
      <c r="P11" s="532">
        <v>0</v>
      </c>
      <c r="Q11" s="532">
        <v>0</v>
      </c>
      <c r="R11" s="535">
        <v>0</v>
      </c>
      <c r="S11" s="535">
        <v>0</v>
      </c>
      <c r="T11" s="532">
        <f>DEBT!T113+DEBT!T119+DEBT!T125</f>
        <v>0</v>
      </c>
      <c r="U11" s="532">
        <f>DEBT!U113+DEBT!U119+DEBT!U125</f>
        <v>0</v>
      </c>
      <c r="V11" s="532">
        <f>DEBT!V113+DEBT!V119+DEBT!V125</f>
        <v>0</v>
      </c>
      <c r="W11" s="532">
        <f>DEBT!W113+DEBT!W119+DEBT!W125</f>
        <v>0</v>
      </c>
      <c r="X11" s="532">
        <f>DEBT!X113+DEBT!X119+DEBT!X125</f>
        <v>0</v>
      </c>
      <c r="Y11" s="532">
        <f>DEBT!Y113+DEBT!Y119+DEBT!Y125</f>
        <v>0</v>
      </c>
      <c r="Z11" s="532">
        <f>DEBT!Z113+DEBT!Z119+DEBT!Z125</f>
        <v>0</v>
      </c>
      <c r="AA11" s="532">
        <f>DEBT!AA113+DEBT!AA119+DEBT!AA125</f>
        <v>0</v>
      </c>
      <c r="AB11" s="532">
        <f>DEBT!AB113+DEBT!AB119+DEBT!AB125</f>
        <v>0</v>
      </c>
      <c r="AC11" s="532">
        <f>DEBT!AC113+DEBT!AC119+DEBT!AC125</f>
        <v>0</v>
      </c>
      <c r="AD11" s="532">
        <f>DEBT!AD113+DEBT!AD119+DEBT!AD125</f>
        <v>0</v>
      </c>
      <c r="AE11" s="532">
        <f>DEBT!AE113+DEBT!AE119+DEBT!AE125</f>
        <v>0</v>
      </c>
      <c r="AF11" s="532">
        <f>DEBT!AF113+DEBT!AF119+DEBT!AF125</f>
        <v>0</v>
      </c>
      <c r="AG11" s="615"/>
    </row>
    <row r="12" spans="1:39" ht="12.75" customHeight="1">
      <c r="A12" s="56"/>
      <c r="B12" s="59" t="s">
        <v>68</v>
      </c>
      <c r="C12" s="180">
        <f>-0.17+0.298+0.737+(-8.754+2.13)-157.771-1.089</f>
        <v>-164.61899999999997</v>
      </c>
      <c r="D12" s="180">
        <f>3.262+3.48+16.048</f>
        <v>22.79</v>
      </c>
      <c r="E12" s="180">
        <f>0.568+1.276+10.219</f>
        <v>12.062999999999999</v>
      </c>
      <c r="F12" s="180">
        <f>6.195+1.29-20.576</f>
        <v>-13.091000000000001</v>
      </c>
      <c r="G12" s="180">
        <f>-3.995-5.177+2.33</f>
        <v>-6.8420000000000005</v>
      </c>
      <c r="H12" s="180">
        <f>61.022+34.901</f>
        <v>95.923000000000002</v>
      </c>
      <c r="I12" s="180">
        <f>96.316-17.19</f>
        <v>79.126000000000005</v>
      </c>
      <c r="J12" s="180">
        <v>-11.257</v>
      </c>
      <c r="K12" s="532">
        <v>64.456000000000003</v>
      </c>
      <c r="L12" s="532">
        <v>10.407999999999999</v>
      </c>
      <c r="M12" s="532">
        <v>47.930999999999997</v>
      </c>
      <c r="N12" s="532">
        <v>-1.8779999999999999</v>
      </c>
      <c r="O12" s="535">
        <f>58.7+47.289</f>
        <v>105.989</v>
      </c>
      <c r="P12" s="535">
        <f>79+22</f>
        <v>101</v>
      </c>
      <c r="Q12" s="535">
        <v>-24</v>
      </c>
      <c r="R12" s="535">
        <v>-24</v>
      </c>
      <c r="S12" s="535">
        <v>304</v>
      </c>
      <c r="T12" s="532"/>
      <c r="U12" s="532"/>
      <c r="V12" s="532"/>
      <c r="W12" s="58"/>
      <c r="X12" s="58"/>
      <c r="Y12" s="58"/>
      <c r="Z12" s="58"/>
      <c r="AA12" s="58"/>
      <c r="AB12" s="58"/>
      <c r="AC12" s="58"/>
      <c r="AD12" s="58"/>
      <c r="AE12" s="58"/>
      <c r="AF12" s="58"/>
      <c r="AG12" s="615"/>
    </row>
    <row r="13" spans="1:39" ht="12.75" customHeight="1">
      <c r="A13" s="56"/>
      <c r="B13" s="545" t="s">
        <v>701</v>
      </c>
      <c r="C13" s="180"/>
      <c r="D13" s="180"/>
      <c r="E13" s="180"/>
      <c r="F13" s="180"/>
      <c r="G13" s="180"/>
      <c r="H13" s="180"/>
      <c r="I13" s="180"/>
      <c r="J13" s="180"/>
      <c r="K13" s="532"/>
      <c r="L13" s="532"/>
      <c r="M13" s="532"/>
      <c r="N13" s="532"/>
      <c r="O13" s="532"/>
      <c r="P13" s="535"/>
      <c r="Q13" s="535"/>
      <c r="R13" s="535"/>
      <c r="S13" s="532"/>
      <c r="T13" s="532"/>
      <c r="U13" s="532"/>
      <c r="V13" s="532"/>
      <c r="W13" s="58"/>
      <c r="X13" s="58"/>
      <c r="Y13" s="58"/>
      <c r="Z13" s="58"/>
      <c r="AA13" s="58"/>
      <c r="AB13" s="58"/>
      <c r="AC13" s="58"/>
      <c r="AD13" s="58"/>
      <c r="AE13" s="58"/>
      <c r="AF13" s="58"/>
      <c r="AG13" s="615"/>
    </row>
    <row r="14" spans="1:39" ht="12.75" customHeight="1">
      <c r="A14" s="56"/>
      <c r="B14" s="158" t="s">
        <v>699</v>
      </c>
      <c r="C14" s="139">
        <v>-25.481999999999999</v>
      </c>
      <c r="D14" s="139">
        <v>-43.89</v>
      </c>
      <c r="E14" s="180">
        <v>-92.206999999999994</v>
      </c>
      <c r="F14" s="180">
        <v>-118.843</v>
      </c>
      <c r="G14" s="180">
        <v>13.753</v>
      </c>
      <c r="H14" s="180">
        <v>-184.37</v>
      </c>
      <c r="I14" s="180">
        <v>-138.03399999999999</v>
      </c>
      <c r="J14" s="180">
        <v>-257.161</v>
      </c>
      <c r="K14" s="532">
        <v>-356.46199999999999</v>
      </c>
      <c r="L14" s="532">
        <v>-348.875</v>
      </c>
      <c r="M14" s="532">
        <v>-375.73599999999999</v>
      </c>
      <c r="N14" s="532">
        <v>197.98599999999999</v>
      </c>
      <c r="O14" s="535">
        <v>-315.29899999999998</v>
      </c>
      <c r="P14" s="535">
        <v>-2578</v>
      </c>
      <c r="Q14" s="535">
        <v>-1397</v>
      </c>
      <c r="R14" s="535">
        <v>1192</v>
      </c>
      <c r="S14" s="535">
        <v>754</v>
      </c>
      <c r="T14" s="532">
        <f>-(BS!T5-BS!S5)</f>
        <v>747.55982381605281</v>
      </c>
      <c r="U14" s="532">
        <f>-(BS!U5-BS!T5)</f>
        <v>-44.540115348353993</v>
      </c>
      <c r="V14" s="532">
        <f>-(BS!V5-BS!U5)</f>
        <v>-200.26198281416509</v>
      </c>
      <c r="W14" s="532">
        <f>-(BS!W5-BS!V5)</f>
        <v>181.57419407891075</v>
      </c>
      <c r="X14" s="532">
        <f>-(BS!X5-BS!W5)</f>
        <v>-105.16280243954634</v>
      </c>
      <c r="Y14" s="532">
        <f>-(BS!Y5-BS!X5)</f>
        <v>-125.12136977970431</v>
      </c>
      <c r="Z14" s="532">
        <f>-(BS!Z5-BS!Y5)</f>
        <v>-130.11248161120193</v>
      </c>
      <c r="AA14" s="532">
        <f>-(BS!AA5-BS!Z5)</f>
        <v>793.58845371370808</v>
      </c>
      <c r="AB14" s="532">
        <f>-(BS!AB5-BS!AA5)</f>
        <v>240.20308804673414</v>
      </c>
      <c r="AC14" s="532">
        <f>-(BS!AC5-BS!AB5)</f>
        <v>21.549223957144022</v>
      </c>
      <c r="AD14" s="532">
        <f>-(BS!AD5-BS!AC5)</f>
        <v>8.4553673642062677</v>
      </c>
      <c r="AE14" s="532">
        <f>-(BS!AE5-BS!AD5)</f>
        <v>391.36248057410876</v>
      </c>
      <c r="AF14" s="532">
        <f>-(BS!AF5-BS!AE5)</f>
        <v>84.139406826822778</v>
      </c>
      <c r="AG14" s="615"/>
    </row>
    <row r="15" spans="1:39" ht="12.75" customHeight="1">
      <c r="A15" s="56"/>
      <c r="B15" s="158" t="s">
        <v>178</v>
      </c>
      <c r="C15" s="139">
        <v>-18.718</v>
      </c>
      <c r="D15" s="139">
        <v>-12.348000000000001</v>
      </c>
      <c r="E15" s="180">
        <v>-46.473999999999997</v>
      </c>
      <c r="F15" s="180">
        <v>-37.889000000000003</v>
      </c>
      <c r="G15" s="180">
        <v>-81.923000000000002</v>
      </c>
      <c r="H15" s="180">
        <v>-358.18400000000003</v>
      </c>
      <c r="I15" s="180">
        <v>-34.619</v>
      </c>
      <c r="J15" s="180">
        <v>-330.726</v>
      </c>
      <c r="K15" s="532">
        <v>-75.266000000000005</v>
      </c>
      <c r="L15" s="532">
        <v>-161.19</v>
      </c>
      <c r="M15" s="532">
        <v>-200.79300000000001</v>
      </c>
      <c r="N15" s="532">
        <v>-349.92399999999998</v>
      </c>
      <c r="O15" s="535">
        <v>-343.14299999999997</v>
      </c>
      <c r="P15" s="535">
        <v>143</v>
      </c>
      <c r="Q15" s="535">
        <v>-855</v>
      </c>
      <c r="R15" s="535">
        <v>-488</v>
      </c>
      <c r="S15" s="535">
        <v>-253</v>
      </c>
      <c r="T15" s="532">
        <f>-(BS!T6-BS!S6)</f>
        <v>114.19267912897362</v>
      </c>
      <c r="U15" s="532">
        <f>-(BS!U6-BS!T6)</f>
        <v>-17.814257042152917</v>
      </c>
      <c r="V15" s="532">
        <f>-(BS!V6-BS!U6)</f>
        <v>-55.673177784429527</v>
      </c>
      <c r="W15" s="532">
        <f>-(BS!W6-BS!V6)</f>
        <v>30.443601793909011</v>
      </c>
      <c r="X15" s="532">
        <f>-(BS!X6-BS!W6)</f>
        <v>-5.461453864614441</v>
      </c>
      <c r="Y15" s="532">
        <f>-(BS!Y6-BS!X6)</f>
        <v>-26.291336331314142</v>
      </c>
      <c r="Z15" s="532">
        <f>-(BS!Z6-BS!Y6)</f>
        <v>-25.961868365373562</v>
      </c>
      <c r="AA15" s="532">
        <f>-(BS!AA6-BS!Z6)</f>
        <v>207.16499967536913</v>
      </c>
      <c r="AB15" s="532">
        <f>-(BS!AB6-BS!AA6)</f>
        <v>58.67475511589339</v>
      </c>
      <c r="AC15" s="532">
        <f>-(BS!AC6-BS!AB6)</f>
        <v>3.3198881059904579</v>
      </c>
      <c r="AD15" s="532">
        <f>-(BS!AD6-BS!AC6)</f>
        <v>0.89422517577929739</v>
      </c>
      <c r="AE15" s="532">
        <f>-(BS!AE6-BS!AD6)</f>
        <v>89.852914321959474</v>
      </c>
      <c r="AF15" s="532">
        <f>-(BS!AF6-BS!AE6)</f>
        <v>1.7660959389201025</v>
      </c>
      <c r="AG15" s="615"/>
    </row>
    <row r="16" spans="1:39" ht="12.75" customHeight="1">
      <c r="A16" s="56"/>
      <c r="B16" s="158" t="s">
        <v>324</v>
      </c>
      <c r="C16" s="139">
        <v>-2.734</v>
      </c>
      <c r="D16" s="139">
        <v>-8.9149999999999991</v>
      </c>
      <c r="E16" s="180">
        <v>-10.805999999999999</v>
      </c>
      <c r="F16" s="180">
        <v>-18.763999999999999</v>
      </c>
      <c r="G16" s="180">
        <f>-341.25-23.728</f>
        <v>-364.97800000000001</v>
      </c>
      <c r="H16" s="180">
        <v>19.027999999999999</v>
      </c>
      <c r="I16" s="180">
        <v>-252.489</v>
      </c>
      <c r="J16" s="180">
        <v>9.7189999999999994</v>
      </c>
      <c r="K16" s="532">
        <v>-65.667000000000002</v>
      </c>
      <c r="L16" s="532">
        <v>-70.465999999999994</v>
      </c>
      <c r="M16" s="532">
        <v>-13.959</v>
      </c>
      <c r="N16" s="532">
        <v>-129.31800000000001</v>
      </c>
      <c r="O16" s="535">
        <v>-170.35499999999999</v>
      </c>
      <c r="P16" s="535">
        <v>-371</v>
      </c>
      <c r="Q16" s="535">
        <v>-90</v>
      </c>
      <c r="R16" s="535">
        <v>-520</v>
      </c>
      <c r="S16" s="535">
        <v>358</v>
      </c>
      <c r="T16" s="532">
        <f>-(BS!T8-BS!S8)-(BS!T13-BS!S13)-(BS!T9-BS!S9)</f>
        <v>322.43491751712918</v>
      </c>
      <c r="U16" s="532">
        <f>-(BS!U8-BS!T8)-(BS!U13-BS!T13)-(BS!U9-BS!T9)</f>
        <v>-19.210888494836809</v>
      </c>
      <c r="V16" s="532">
        <f>-(BS!V8-BS!U8)-(BS!V13-BS!U13)-(BS!V9-BS!U9)</f>
        <v>-86.376305752876533</v>
      </c>
      <c r="W16" s="532">
        <f>-(BS!W8-BS!V8)-(BS!W13-BS!V13)-(BS!W9-BS!V9)</f>
        <v>78.315953353692748</v>
      </c>
      <c r="X16" s="532">
        <f>-(BS!X8-BS!W8)-(BS!X13-BS!W13)-(BS!X9-BS!W9)</f>
        <v>-45.358456206721939</v>
      </c>
      <c r="Y16" s="532">
        <f>-(BS!Y8-BS!X8)-(BS!Y13-BS!X13)-(BS!Y9-BS!X9)</f>
        <v>-53.966916438350836</v>
      </c>
      <c r="Z16" s="532">
        <f>-(BS!Z8-BS!Y8)-(BS!Z13-BS!Y13)-(BS!Z9-BS!Y9)</f>
        <v>-56.119665530045722</v>
      </c>
      <c r="AA16" s="532">
        <f>-(BS!AA8-BS!Z8)-(BS!AA13-BS!Z13)-(BS!AA9-BS!Z9)</f>
        <v>342.28782695883365</v>
      </c>
      <c r="AB16" s="532">
        <f>-(BS!AB8-BS!AA8)-(BS!AB13-BS!AA13)-(BS!AB9-BS!AA9)</f>
        <v>103.60356511182181</v>
      </c>
      <c r="AC16" s="532">
        <f>-(BS!AC8-BS!AB8)-(BS!AC13-BS!AB13)-(BS!AC9-BS!AB9)</f>
        <v>9.294536741837419</v>
      </c>
      <c r="AD16" s="532">
        <f>-(BS!AD8-BS!AC8)-(BS!AD13-BS!AC13)-(BS!AD9-BS!AC9)</f>
        <v>3.6469398057508897</v>
      </c>
      <c r="AE16" s="532">
        <f>-(BS!AE8-BS!AD8)-(BS!AE13-BS!AD13)-(BS!AE9-BS!AD9)</f>
        <v>168.80111146029458</v>
      </c>
      <c r="AF16" s="532">
        <f>-(BS!AF8-BS!AE8)-(BS!AF13-BS!AE13)-(BS!AF9-BS!AE9)</f>
        <v>36.290717927642845</v>
      </c>
      <c r="AG16" s="615"/>
    </row>
    <row r="17" spans="1:43" ht="12.75" customHeight="1">
      <c r="A17" s="56"/>
      <c r="B17" s="158" t="s">
        <v>191</v>
      </c>
      <c r="C17" s="139">
        <v>8.4540000000000006</v>
      </c>
      <c r="D17" s="139">
        <v>5.2320000000000002</v>
      </c>
      <c r="E17" s="180">
        <v>6.1440000000000001</v>
      </c>
      <c r="F17" s="180">
        <v>11.903</v>
      </c>
      <c r="G17" s="180">
        <v>23.356000000000002</v>
      </c>
      <c r="H17" s="180">
        <v>263.96499999999997</v>
      </c>
      <c r="I17" s="180">
        <v>-77.549000000000007</v>
      </c>
      <c r="J17" s="180">
        <v>312.56799999999998</v>
      </c>
      <c r="K17" s="532">
        <v>203.64099999999999</v>
      </c>
      <c r="L17" s="532">
        <v>-4.4530000000000003</v>
      </c>
      <c r="M17" s="532">
        <v>428.94400000000002</v>
      </c>
      <c r="N17" s="532">
        <v>117.485</v>
      </c>
      <c r="O17" s="535">
        <v>-97.673000000000002</v>
      </c>
      <c r="P17" s="535">
        <v>-289</v>
      </c>
      <c r="Q17" s="535">
        <v>226</v>
      </c>
      <c r="R17" s="535">
        <v>47</v>
      </c>
      <c r="S17" s="535">
        <v>-430</v>
      </c>
      <c r="T17" s="532">
        <f>BS!T22-BS!S22</f>
        <v>-116.04599352182845</v>
      </c>
      <c r="U17" s="532">
        <f>BS!U22-BS!T22</f>
        <v>18.103377318742218</v>
      </c>
      <c r="V17" s="532">
        <f>BS!V22-BS!U22</f>
        <v>56.576737473814774</v>
      </c>
      <c r="W17" s="532">
        <f>BS!W22-BS!V22</f>
        <v>-30.937692709415614</v>
      </c>
      <c r="X17" s="532">
        <f>BS!X22-BS!W22</f>
        <v>5.5500916926293939</v>
      </c>
      <c r="Y17" s="532">
        <f>BS!Y22-BS!X22</f>
        <v>26.718037170648813</v>
      </c>
      <c r="Z17" s="532">
        <f>BS!Z22-BS!Y22</f>
        <v>26.383222034224787</v>
      </c>
      <c r="AA17" s="532">
        <f>BS!AA22-BS!Z22</f>
        <v>-210.52722813451987</v>
      </c>
      <c r="AB17" s="532">
        <f>BS!AB22-BS!AA22</f>
        <v>-59.627029543492199</v>
      </c>
      <c r="AC17" s="532">
        <f>BS!AC22-BS!AB22</f>
        <v>-3.3737689366744235</v>
      </c>
      <c r="AD17" s="532">
        <f>BS!AD22-BS!AC22</f>
        <v>-0.90873819361343067</v>
      </c>
      <c r="AE17" s="532">
        <f>BS!AE22-BS!AD22</f>
        <v>-91.311201320942587</v>
      </c>
      <c r="AF17" s="532">
        <f>BS!AF22-BS!AE22</f>
        <v>-1.7947591688900957</v>
      </c>
      <c r="AG17" s="615"/>
    </row>
    <row r="18" spans="1:43" ht="12.75" customHeight="1">
      <c r="A18" s="56"/>
      <c r="B18" s="158" t="s">
        <v>700</v>
      </c>
      <c r="C18" s="139">
        <v>11.494999999999999</v>
      </c>
      <c r="D18" s="139">
        <v>11.544</v>
      </c>
      <c r="E18" s="180">
        <v>44.494999999999997</v>
      </c>
      <c r="F18" s="180">
        <f>-4.607+20.03</f>
        <v>15.423000000000002</v>
      </c>
      <c r="G18" s="180">
        <f>87.041+69.55</f>
        <v>156.59100000000001</v>
      </c>
      <c r="H18" s="180">
        <f>-69.085+38.698</f>
        <v>-30.386999999999993</v>
      </c>
      <c r="I18" s="180">
        <f>76.986+80.087</f>
        <v>157.07300000000001</v>
      </c>
      <c r="J18" s="180">
        <f>-23.887+136.276</f>
        <v>112.38900000000001</v>
      </c>
      <c r="K18" s="532">
        <f>166.334+109.026</f>
        <v>275.36</v>
      </c>
      <c r="L18" s="532">
        <f>-185.733+120.065</f>
        <v>-65.668000000000006</v>
      </c>
      <c r="M18" s="532">
        <f>110.771+300.593</f>
        <v>411.36400000000003</v>
      </c>
      <c r="N18" s="532">
        <f>386.063-68.473</f>
        <v>317.58999999999997</v>
      </c>
      <c r="O18" s="535">
        <f>311.628+30.021</f>
        <v>341.649</v>
      </c>
      <c r="P18" s="535">
        <f>2013+533</f>
        <v>2546</v>
      </c>
      <c r="Q18" s="535">
        <f>269+2632</f>
        <v>2901</v>
      </c>
      <c r="R18" s="535">
        <f>1010+425</f>
        <v>1435</v>
      </c>
      <c r="S18" s="535">
        <f>5497-818</f>
        <v>4679</v>
      </c>
      <c r="T18" s="532">
        <f>BS!T24-BS!S24+(BS!T23-BS!S23)</f>
        <v>-3874</v>
      </c>
      <c r="U18" s="532">
        <f>BS!U24-BS!T24+(BS!U23-BS!T23)</f>
        <v>52.5</v>
      </c>
      <c r="V18" s="532">
        <f>BS!V24-BS!U24+(BS!V23-BS!U23)</f>
        <v>0</v>
      </c>
      <c r="W18" s="532">
        <f>BS!W24-BS!V24+(BS!W23-BS!V23)</f>
        <v>52.499999999999091</v>
      </c>
      <c r="X18" s="532">
        <f>BS!X24-BS!W24+(BS!X23-BS!W23)</f>
        <v>0</v>
      </c>
      <c r="Y18" s="532">
        <f>BS!Y24-BS!X24+(BS!Y23-BS!X23)</f>
        <v>-52.467187500000364</v>
      </c>
      <c r="Z18" s="532">
        <f>BS!Z24-BS!Y24+(BS!Z23-BS!Y23)</f>
        <v>-51.155507812499309</v>
      </c>
      <c r="AA18" s="532">
        <f>BS!AA24-BS!Z24+(BS!AA23-BS!Z23)</f>
        <v>49.876620117186576</v>
      </c>
      <c r="AB18" s="532">
        <f>BS!AB24-BS!AA24+(BS!AB23-BS!AA23)</f>
        <v>51.123535620116854</v>
      </c>
      <c r="AC18" s="532">
        <f>BS!AC24-BS!AB24+(BS!AC23-BS!AB23)</f>
        <v>52.401624010620253</v>
      </c>
      <c r="AD18" s="532">
        <f>BS!AD24-BS!AC24+(BS!AD23-BS!AC23)</f>
        <v>-497.86646038911431</v>
      </c>
      <c r="AE18" s="532">
        <f>BS!AE24-BS!AD24+(BS!AE23-BS!AD23)</f>
        <v>-2892.6844680347317</v>
      </c>
      <c r="AF18" s="532">
        <f>BS!AF24-BS!AE24+(BS!AF23-BS!AE23)</f>
        <v>-482.1140780057886</v>
      </c>
      <c r="AG18" s="615"/>
    </row>
    <row r="19" spans="1:43" ht="12.75" customHeight="1">
      <c r="A19" s="56"/>
      <c r="B19" s="158" t="s">
        <v>194</v>
      </c>
      <c r="C19" s="139">
        <v>-3.8370000000000002</v>
      </c>
      <c r="D19" s="139">
        <v>13.121</v>
      </c>
      <c r="E19" s="180">
        <v>1.635</v>
      </c>
      <c r="F19" s="180">
        <v>25.28</v>
      </c>
      <c r="G19" s="180">
        <v>-0.20599999999999999</v>
      </c>
      <c r="H19" s="180">
        <v>3.7789999999999999</v>
      </c>
      <c r="I19" s="180">
        <v>13.237</v>
      </c>
      <c r="J19" s="180">
        <v>25.081</v>
      </c>
      <c r="K19" s="532">
        <v>48.603000000000002</v>
      </c>
      <c r="L19" s="532">
        <v>-29.728000000000002</v>
      </c>
      <c r="M19" s="532">
        <f>-29.484</f>
        <v>-29.484000000000002</v>
      </c>
      <c r="N19" s="532">
        <v>23.245000000000001</v>
      </c>
      <c r="O19" s="535">
        <v>22.145</v>
      </c>
      <c r="P19" s="535">
        <v>31</v>
      </c>
      <c r="Q19" s="535">
        <v>374</v>
      </c>
      <c r="R19" s="535">
        <v>-304</v>
      </c>
      <c r="S19" s="535">
        <v>0</v>
      </c>
      <c r="T19" s="532">
        <f>BS!T25-BS!S25</f>
        <v>0</v>
      </c>
      <c r="U19" s="532">
        <f>BS!U25-BS!T25</f>
        <v>0</v>
      </c>
      <c r="V19" s="532">
        <f>BS!V25-BS!U25</f>
        <v>0</v>
      </c>
      <c r="W19" s="532">
        <f>BS!W25-BS!V25</f>
        <v>0</v>
      </c>
      <c r="X19" s="532">
        <f>BS!X25-BS!W25</f>
        <v>0</v>
      </c>
      <c r="Y19" s="532">
        <f>BS!Y25-BS!X25</f>
        <v>0</v>
      </c>
      <c r="Z19" s="532">
        <f>BS!Z25-BS!Y25</f>
        <v>0</v>
      </c>
      <c r="AA19" s="532">
        <f>BS!AA25-BS!Z25</f>
        <v>0</v>
      </c>
      <c r="AB19" s="532">
        <f>BS!AB25-BS!AA25</f>
        <v>0</v>
      </c>
      <c r="AC19" s="532">
        <f>BS!AC25-BS!AB25</f>
        <v>0</v>
      </c>
      <c r="AD19" s="532">
        <f>BS!AD25-BS!AC25</f>
        <v>0</v>
      </c>
      <c r="AE19" s="532">
        <f>BS!AE25-BS!AD25</f>
        <v>0</v>
      </c>
      <c r="AF19" s="532">
        <f>BS!AF25-BS!AE25</f>
        <v>0</v>
      </c>
      <c r="AG19" s="615"/>
    </row>
    <row r="20" spans="1:43" s="9" customFormat="1" ht="12.75" customHeight="1">
      <c r="A20" s="542"/>
      <c r="B20" s="543" t="s">
        <v>325</v>
      </c>
      <c r="C20" s="544">
        <f t="shared" ref="C20:O20" si="1">SUM(C7:C19)+SUM(C3:C5)</f>
        <v>-126.97899999999994</v>
      </c>
      <c r="D20" s="544">
        <f t="shared" si="1"/>
        <v>74.409000000000006</v>
      </c>
      <c r="E20" s="544">
        <f t="shared" si="1"/>
        <v>234.60699999999991</v>
      </c>
      <c r="F20" s="544">
        <f t="shared" si="1"/>
        <v>511.37799999999993</v>
      </c>
      <c r="G20" s="544">
        <f t="shared" si="1"/>
        <v>705.64199999999994</v>
      </c>
      <c r="H20" s="544">
        <f t="shared" si="1"/>
        <v>1218.0589999999993</v>
      </c>
      <c r="I20" s="544">
        <f t="shared" si="1"/>
        <v>1765.3979999999999</v>
      </c>
      <c r="J20" s="544">
        <f t="shared" si="1"/>
        <v>2143.384</v>
      </c>
      <c r="K20" s="544">
        <f t="shared" si="1"/>
        <v>3080.0540000000001</v>
      </c>
      <c r="L20" s="544">
        <f t="shared" si="1"/>
        <v>2833.9129999999996</v>
      </c>
      <c r="M20" s="544">
        <f t="shared" si="1"/>
        <v>3639.01</v>
      </c>
      <c r="N20" s="544">
        <f t="shared" si="1"/>
        <v>3194.7160000000003</v>
      </c>
      <c r="O20" s="544">
        <f t="shared" si="1"/>
        <v>3104.9880000000003</v>
      </c>
      <c r="P20" s="544">
        <f t="shared" ref="P20:U20" si="2">SUM(P7:P19)+SUM(P3:P5)</f>
        <v>12818</v>
      </c>
      <c r="Q20" s="544">
        <f>SUM(Q7:Q19)+SUM(Q3:Q5)</f>
        <v>20329</v>
      </c>
      <c r="R20" s="544">
        <f t="shared" si="2"/>
        <v>16669</v>
      </c>
      <c r="S20" s="544">
        <f t="shared" si="2"/>
        <v>11898</v>
      </c>
      <c r="T20" s="544">
        <f t="shared" si="2"/>
        <v>6760.288201167411</v>
      </c>
      <c r="U20" s="544">
        <f t="shared" si="2"/>
        <v>9756.6027836619414</v>
      </c>
      <c r="V20" s="544">
        <f>SUM(V7:V19)+SUM(V3:V5)</f>
        <v>10485.71858758569</v>
      </c>
      <c r="W20" s="544">
        <f t="shared" ref="W20:AF20" si="3">SUM(W7:W19)+SUM(W3:W5)</f>
        <v>10184.892408760625</v>
      </c>
      <c r="X20" s="544">
        <f t="shared" si="3"/>
        <v>10461.609829038731</v>
      </c>
      <c r="Y20" s="544">
        <f t="shared" si="3"/>
        <v>11087.922782690732</v>
      </c>
      <c r="Z20" s="544">
        <f t="shared" si="3"/>
        <v>11881.510275720957</v>
      </c>
      <c r="AA20" s="544">
        <f t="shared" si="3"/>
        <v>9881.6462029247778</v>
      </c>
      <c r="AB20" s="544">
        <f t="shared" si="3"/>
        <v>8123.3591205961429</v>
      </c>
      <c r="AC20" s="544">
        <f>SUM(AC7:AC19)+SUM(AC3:AC5)</f>
        <v>7744.5006172823014</v>
      </c>
      <c r="AD20" s="544">
        <f>SUM(AD7:AD19)+SUM(AD3:AD5)</f>
        <v>7865.5903923419082</v>
      </c>
      <c r="AE20" s="544">
        <f>SUM(AE7:AE19)+SUM(AE3:AE5)</f>
        <v>8093.5944892556709</v>
      </c>
      <c r="AF20" s="544">
        <f t="shared" si="3"/>
        <v>10338.02760766865</v>
      </c>
      <c r="AG20" s="616"/>
      <c r="AH20"/>
      <c r="AI20"/>
      <c r="AJ20"/>
      <c r="AK20"/>
      <c r="AL20"/>
      <c r="AM20"/>
    </row>
    <row r="21" spans="1:43" ht="12.75" customHeight="1">
      <c r="A21" s="54"/>
      <c r="B21" s="142"/>
      <c r="C21" s="139"/>
      <c r="D21" s="139"/>
      <c r="E21" s="139"/>
      <c r="F21" s="139"/>
      <c r="G21" s="139"/>
      <c r="H21" s="139"/>
      <c r="I21" s="139"/>
      <c r="J21" s="139"/>
      <c r="K21" s="531"/>
      <c r="L21" s="531"/>
      <c r="M21" s="531"/>
      <c r="N21" s="531"/>
      <c r="O21" s="531"/>
      <c r="P21" s="531"/>
      <c r="Q21" s="531"/>
      <c r="R21" s="531"/>
      <c r="S21" s="531"/>
      <c r="T21" s="531"/>
      <c r="U21" s="531"/>
      <c r="V21" s="531"/>
      <c r="W21" s="55"/>
      <c r="X21" s="55"/>
      <c r="Y21" s="55"/>
      <c r="Z21" s="55"/>
      <c r="AA21" s="55"/>
      <c r="AB21" s="55"/>
      <c r="AC21" s="55"/>
      <c r="AD21" s="55"/>
      <c r="AE21" s="55"/>
      <c r="AF21" s="55"/>
      <c r="AG21" s="613"/>
    </row>
    <row r="22" spans="1:43" ht="12.75" customHeight="1">
      <c r="A22" s="56"/>
      <c r="B22" s="59" t="s">
        <v>327</v>
      </c>
      <c r="C22" s="139">
        <v>-377.72500000000002</v>
      </c>
      <c r="D22" s="139">
        <v>-490.25900000000001</v>
      </c>
      <c r="E22" s="139">
        <v>-934.75900000000001</v>
      </c>
      <c r="F22" s="139">
        <v>-1464.046</v>
      </c>
      <c r="G22" s="139">
        <v>-2225.98</v>
      </c>
      <c r="H22" s="139">
        <f>+-2600.831-8.652</f>
        <v>-2609.4830000000002</v>
      </c>
      <c r="I22" s="139">
        <f>-3502.119-5</f>
        <v>-3507.1190000000001</v>
      </c>
      <c r="J22" s="139">
        <v>-3273.1120000000001</v>
      </c>
      <c r="K22" s="531">
        <f>-2614.046</f>
        <v>-2614.0459999999998</v>
      </c>
      <c r="L22" s="531">
        <v>-5502.6869999999999</v>
      </c>
      <c r="M22" s="531">
        <v>-5127.79</v>
      </c>
      <c r="N22" s="531">
        <v>-1244.8979999999999</v>
      </c>
      <c r="O22" s="534">
        <v>-256.7</v>
      </c>
      <c r="P22" s="534">
        <v>-2107</v>
      </c>
      <c r="Q22" s="534">
        <v>-17239</v>
      </c>
      <c r="R22" s="534">
        <v>-25619</v>
      </c>
      <c r="S22" s="534">
        <v>-23314</v>
      </c>
      <c r="T22" s="531">
        <v>-1000</v>
      </c>
      <c r="U22" s="531">
        <f t="shared" ref="U22:AF23" si="4">T22</f>
        <v>-1000</v>
      </c>
      <c r="V22" s="531">
        <f t="shared" si="4"/>
        <v>-1000</v>
      </c>
      <c r="W22" s="531">
        <f t="shared" si="4"/>
        <v>-1000</v>
      </c>
      <c r="X22" s="531">
        <f t="shared" si="4"/>
        <v>-1000</v>
      </c>
      <c r="Y22" s="531">
        <f t="shared" si="4"/>
        <v>-1000</v>
      </c>
      <c r="Z22" s="531">
        <f t="shared" si="4"/>
        <v>-1000</v>
      </c>
      <c r="AA22" s="531">
        <f t="shared" si="4"/>
        <v>-1000</v>
      </c>
      <c r="AB22" s="531">
        <f t="shared" si="4"/>
        <v>-1000</v>
      </c>
      <c r="AC22" s="531">
        <f t="shared" si="4"/>
        <v>-1000</v>
      </c>
      <c r="AD22" s="531">
        <f t="shared" si="4"/>
        <v>-1000</v>
      </c>
      <c r="AE22" s="531">
        <f t="shared" si="4"/>
        <v>-1000</v>
      </c>
      <c r="AF22" s="531">
        <f t="shared" si="4"/>
        <v>-1000</v>
      </c>
      <c r="AG22" s="614"/>
    </row>
    <row r="23" spans="1:43" ht="12.75" customHeight="1">
      <c r="A23" s="56"/>
      <c r="B23" s="59" t="s">
        <v>512</v>
      </c>
      <c r="C23" s="139">
        <v>143.684</v>
      </c>
      <c r="D23" s="139">
        <v>603.678</v>
      </c>
      <c r="E23" s="139">
        <v>744.53</v>
      </c>
      <c r="F23" s="139">
        <v>712.94399999999996</v>
      </c>
      <c r="G23" s="139">
        <f>1139.437</f>
        <v>1139.4369999999999</v>
      </c>
      <c r="H23" s="139">
        <f>3254.059</f>
        <v>3254.0590000000002</v>
      </c>
      <c r="I23" s="139">
        <v>2134.348</v>
      </c>
      <c r="J23" s="139">
        <v>3026.4589999999998</v>
      </c>
      <c r="K23" s="531">
        <f>1440.509</f>
        <v>1440.509</v>
      </c>
      <c r="L23" s="531">
        <v>3033.893</v>
      </c>
      <c r="M23" s="531">
        <v>8649.7520000000004</v>
      </c>
      <c r="N23" s="531">
        <v>527.71199999999999</v>
      </c>
      <c r="O23" s="534">
        <v>494.11700000000002</v>
      </c>
      <c r="P23" s="534">
        <v>807</v>
      </c>
      <c r="Q23" s="534">
        <v>4792</v>
      </c>
      <c r="R23" s="534">
        <v>13039</v>
      </c>
      <c r="S23" s="534">
        <v>10440</v>
      </c>
      <c r="T23" s="531">
        <v>1500</v>
      </c>
      <c r="U23" s="531">
        <f>T23</f>
        <v>1500</v>
      </c>
      <c r="V23" s="531">
        <f t="shared" si="4"/>
        <v>1500</v>
      </c>
      <c r="W23" s="531">
        <f t="shared" si="4"/>
        <v>1500</v>
      </c>
      <c r="X23" s="531">
        <f t="shared" si="4"/>
        <v>1500</v>
      </c>
      <c r="Y23" s="531">
        <f t="shared" si="4"/>
        <v>1500</v>
      </c>
      <c r="Z23" s="531">
        <f t="shared" si="4"/>
        <v>1500</v>
      </c>
      <c r="AA23" s="531">
        <f t="shared" si="4"/>
        <v>1500</v>
      </c>
      <c r="AB23" s="531">
        <f t="shared" si="4"/>
        <v>1500</v>
      </c>
      <c r="AC23" s="531">
        <f t="shared" si="4"/>
        <v>1500</v>
      </c>
      <c r="AD23" s="531">
        <f t="shared" si="4"/>
        <v>1500</v>
      </c>
      <c r="AE23" s="531">
        <f t="shared" si="4"/>
        <v>1500</v>
      </c>
      <c r="AF23" s="531">
        <f t="shared" si="4"/>
        <v>1500</v>
      </c>
      <c r="AG23" s="614"/>
      <c r="AQ23" s="116"/>
    </row>
    <row r="24" spans="1:43" ht="12.75" customHeight="1">
      <c r="A24" s="56"/>
      <c r="B24" s="59" t="s">
        <v>511</v>
      </c>
      <c r="C24" s="139">
        <v>136.85</v>
      </c>
      <c r="D24" s="180"/>
      <c r="E24" s="139"/>
      <c r="F24" s="139">
        <v>311.64</v>
      </c>
      <c r="G24" s="139">
        <v>452.01600000000002</v>
      </c>
      <c r="H24" s="139">
        <v>457.47</v>
      </c>
      <c r="I24" s="139">
        <v>195.39500000000001</v>
      </c>
      <c r="J24" s="139">
        <v>193.69</v>
      </c>
      <c r="K24" s="531">
        <v>435.51</v>
      </c>
      <c r="L24" s="531">
        <v>683.92700000000002</v>
      </c>
      <c r="M24" s="531">
        <v>788.39499999999998</v>
      </c>
      <c r="N24" s="531">
        <v>44.813000000000002</v>
      </c>
      <c r="O24" s="534">
        <v>77.655000000000001</v>
      </c>
      <c r="P24" s="534">
        <v>52</v>
      </c>
      <c r="Q24" s="534">
        <v>719</v>
      </c>
      <c r="R24" s="534">
        <v>1700</v>
      </c>
      <c r="S24" s="534">
        <v>7821</v>
      </c>
      <c r="T24" s="531">
        <f>0.1*BS!S4</f>
        <v>1792.2</v>
      </c>
      <c r="U24" s="531">
        <f>0.1*BS!T4</f>
        <v>1562.98</v>
      </c>
      <c r="V24" s="531">
        <f>0.1*BS!U4</f>
        <v>1356.682</v>
      </c>
      <c r="W24" s="531">
        <f>0.1*BS!V4</f>
        <v>1171.0137999999999</v>
      </c>
      <c r="X24" s="531">
        <f>0.1*BS!W4</f>
        <v>1003.9124199999999</v>
      </c>
      <c r="Y24" s="531">
        <f>0.1*BS!X4</f>
        <v>853.52117799999985</v>
      </c>
      <c r="Z24" s="531">
        <f>0.1*BS!Y4</f>
        <v>718.16906019999988</v>
      </c>
      <c r="AA24" s="531">
        <f>0.1*BS!Z4</f>
        <v>596.35215417999984</v>
      </c>
      <c r="AB24" s="531">
        <f>0.1*BS!AA4</f>
        <v>486.71693876199981</v>
      </c>
      <c r="AC24" s="531">
        <f>0.1*BS!AB4</f>
        <v>388.04524488579983</v>
      </c>
      <c r="AD24" s="531">
        <f>0.1*BS!AC4</f>
        <v>299.24072039721983</v>
      </c>
      <c r="AE24" s="531">
        <f>0.1*BS!AD4</f>
        <v>219.31664835749785</v>
      </c>
      <c r="AF24" s="531">
        <f>0.1*BS!AE4</f>
        <v>147.38498352174807</v>
      </c>
      <c r="AG24" s="614"/>
      <c r="AQ24" s="116"/>
    </row>
    <row r="25" spans="1:43" ht="12.75" customHeight="1">
      <c r="A25" s="56"/>
      <c r="B25" s="59" t="s">
        <v>328</v>
      </c>
      <c r="C25" s="180"/>
      <c r="D25" s="180"/>
      <c r="E25" s="139">
        <v>-375.50700000000001</v>
      </c>
      <c r="F25" s="180"/>
      <c r="G25" s="139"/>
      <c r="H25" s="139">
        <v>-2736.172</v>
      </c>
      <c r="I25" s="139">
        <v>-46.442999999999998</v>
      </c>
      <c r="J25" s="139">
        <v>-10.851000000000001</v>
      </c>
      <c r="K25" s="531">
        <v>-1247.816</v>
      </c>
      <c r="L25" s="531">
        <v>-91</v>
      </c>
      <c r="M25" s="531">
        <v>-588.60799999999995</v>
      </c>
      <c r="N25" s="531">
        <v>-10751.635</v>
      </c>
      <c r="O25" s="534">
        <v>-378.64499999999998</v>
      </c>
      <c r="P25" s="534">
        <v>0</v>
      </c>
      <c r="Q25" s="534">
        <v>0</v>
      </c>
      <c r="R25" s="534">
        <v>0</v>
      </c>
      <c r="S25" s="534">
        <v>-10426</v>
      </c>
      <c r="T25" s="531">
        <f>-BS!T158</f>
        <v>0</v>
      </c>
      <c r="U25" s="531">
        <f>-BS!U158</f>
        <v>0</v>
      </c>
      <c r="V25" s="531">
        <f>-BS!V158</f>
        <v>0</v>
      </c>
      <c r="W25" s="531">
        <f>-BS!W158</f>
        <v>0</v>
      </c>
      <c r="X25" s="531">
        <f>-BS!X158</f>
        <v>0</v>
      </c>
      <c r="Y25" s="531">
        <f>-BS!Y158</f>
        <v>0</v>
      </c>
      <c r="Z25" s="531">
        <f>-BS!Z158</f>
        <v>0</v>
      </c>
      <c r="AA25" s="531">
        <f>-BS!AA158</f>
        <v>0</v>
      </c>
      <c r="AB25" s="531">
        <f>-BS!AB158</f>
        <v>0</v>
      </c>
      <c r="AC25" s="531">
        <f>-BS!AC158</f>
        <v>0</v>
      </c>
      <c r="AD25" s="531">
        <f>-BS!AD158</f>
        <v>0</v>
      </c>
      <c r="AE25" s="531">
        <f>-BS!AE158</f>
        <v>0</v>
      </c>
      <c r="AF25" s="531">
        <f>-BS!AF158</f>
        <v>0</v>
      </c>
      <c r="AG25" s="614"/>
    </row>
    <row r="26" spans="1:43" ht="12.75" customHeight="1">
      <c r="A26" s="56"/>
      <c r="B26" s="59" t="s">
        <v>326</v>
      </c>
      <c r="C26" s="139">
        <v>-26.331</v>
      </c>
      <c r="D26" s="139">
        <v>-17.597000000000001</v>
      </c>
      <c r="E26" s="139">
        <f>-123-38.609</f>
        <v>-161.60900000000001</v>
      </c>
      <c r="F26" s="139">
        <f>-51.366</f>
        <v>-51.366</v>
      </c>
      <c r="G26" s="139">
        <v>-47.951000000000001</v>
      </c>
      <c r="H26" s="139">
        <v>-105.208</v>
      </c>
      <c r="I26" s="139">
        <v>-78.647999999999996</v>
      </c>
      <c r="J26" s="139">
        <v>-115.005</v>
      </c>
      <c r="K26" s="531">
        <v>-230.05699999999999</v>
      </c>
      <c r="L26" s="531">
        <v>-61.884</v>
      </c>
      <c r="M26" s="531">
        <v>-131.904</v>
      </c>
      <c r="N26" s="531">
        <v>-397.04599999999999</v>
      </c>
      <c r="O26" s="534">
        <v>-190.78200000000001</v>
      </c>
      <c r="P26" s="534">
        <v>-557</v>
      </c>
      <c r="Q26" s="534">
        <v>-747</v>
      </c>
      <c r="R26" s="534">
        <v>-748</v>
      </c>
      <c r="S26" s="534">
        <v>-590</v>
      </c>
      <c r="T26" s="531">
        <f>-BS!T112-BS!T115</f>
        <v>-528.06634267660718</v>
      </c>
      <c r="U26" s="531">
        <f>-BS!U112-BS!U115</f>
        <v>-588.99765758484205</v>
      </c>
      <c r="V26" s="531">
        <f>-BS!V112-BS!V115</f>
        <v>-683.21400929294691</v>
      </c>
      <c r="W26" s="531">
        <f>-BS!W112-BS!W115</f>
        <v>-699.83282344152383</v>
      </c>
      <c r="X26" s="531">
        <f>-BS!X112-BS!X115</f>
        <v>-778.52540417621879</v>
      </c>
      <c r="Y26" s="531">
        <f>-BS!Y112-BS!Y115</f>
        <v>-865.86998592633381</v>
      </c>
      <c r="Z26" s="531">
        <f>-BS!Z112-BS!Z115</f>
        <v>-958.81253592495887</v>
      </c>
      <c r="AA26" s="531">
        <f>-BS!AA112-BS!AA115</f>
        <v>-789.40750726216459</v>
      </c>
      <c r="AB26" s="531">
        <f>-BS!AB112-BS!AB115</f>
        <v>-762.2951327466094</v>
      </c>
      <c r="AC26" s="531">
        <f>-BS!AC112-BS!AC115</f>
        <v>-797.59791804911481</v>
      </c>
      <c r="AD26" s="531">
        <f>-BS!AD112-BS!AD115</f>
        <v>-836.61742201626907</v>
      </c>
      <c r="AE26" s="531">
        <f>-BS!AE112-BS!AE115</f>
        <v>-738.81127074845654</v>
      </c>
      <c r="AF26" s="531">
        <f>-BS!AF112-BS!AF115</f>
        <v>-742.4974533327786</v>
      </c>
      <c r="AG26" s="614"/>
    </row>
    <row r="27" spans="1:43" ht="12.75" customHeight="1">
      <c r="A27" s="56"/>
      <c r="B27" s="59" t="s">
        <v>68</v>
      </c>
      <c r="C27" s="139">
        <f>130+14.3</f>
        <v>144.30000000000001</v>
      </c>
      <c r="D27" s="139">
        <v>-50</v>
      </c>
      <c r="E27" s="180"/>
      <c r="F27" s="180"/>
      <c r="G27" s="139"/>
      <c r="H27" s="139"/>
      <c r="I27" s="139"/>
      <c r="J27" s="139"/>
      <c r="K27" s="531"/>
      <c r="L27" s="531"/>
      <c r="M27" s="531"/>
      <c r="N27" s="531">
        <v>-25</v>
      </c>
      <c r="O27" s="534">
        <v>0</v>
      </c>
      <c r="P27" s="534">
        <v>-18</v>
      </c>
      <c r="Q27" s="534">
        <v>0</v>
      </c>
      <c r="R27" s="534">
        <v>-357</v>
      </c>
      <c r="S27" s="534">
        <v>0</v>
      </c>
      <c r="T27" s="531">
        <f>BS!S18-BS!T18</f>
        <v>528.3972579660599</v>
      </c>
      <c r="U27" s="531">
        <f>BS!T18-BS!U18</f>
        <v>1852.1461999574558</v>
      </c>
      <c r="V27" s="531">
        <f>BS!U18-BS!V18</f>
        <v>-21.722106820376666</v>
      </c>
      <c r="W27" s="531">
        <f>BS!V18-BS!W18</f>
        <v>19.695071346946236</v>
      </c>
      <c r="X27" s="531">
        <f>BS!W18-BS!X18</f>
        <v>-11.406846152331241</v>
      </c>
      <c r="Y27" s="531">
        <f>BS!X18-BS!Y18</f>
        <v>-13.571721011015313</v>
      </c>
      <c r="Z27" s="531">
        <f>BS!Y18-BS!Z18</f>
        <v>-14.11309917392316</v>
      </c>
      <c r="AA27" s="531">
        <f>BS!Z18-BS!AA18</f>
        <v>86.079309316452907</v>
      </c>
      <c r="AB27" s="531">
        <f>BS!AA18-BS!AB18</f>
        <v>26.054456586387289</v>
      </c>
      <c r="AC27" s="531">
        <f>BS!AB18-BS!AC18</f>
        <v>2.3374109160183139</v>
      </c>
      <c r="AD27" s="531">
        <f>BS!AC18-BS!AD18</f>
        <v>0.91714059009018456</v>
      </c>
      <c r="AE27" s="531">
        <f>BS!AD18-BS!AE18</f>
        <v>42.450481559483819</v>
      </c>
      <c r="AF27" s="531">
        <f>BS!AE18-BS!AF18</f>
        <v>9.1264710216686069</v>
      </c>
      <c r="AG27" s="614"/>
    </row>
    <row r="28" spans="1:43" ht="12.75" customHeight="1">
      <c r="A28" s="54"/>
      <c r="B28" s="543" t="s">
        <v>329</v>
      </c>
      <c r="C28" s="544">
        <f t="shared" ref="C28:O28" si="5">SUM(C22:C27)</f>
        <v>20.777999999999977</v>
      </c>
      <c r="D28" s="544">
        <f t="shared" si="5"/>
        <v>45.821999999999974</v>
      </c>
      <c r="E28" s="544">
        <f t="shared" si="5"/>
        <v>-727.34500000000014</v>
      </c>
      <c r="F28" s="544">
        <f t="shared" si="5"/>
        <v>-490.82800000000009</v>
      </c>
      <c r="G28" s="544">
        <f t="shared" si="5"/>
        <v>-682.47800000000007</v>
      </c>
      <c r="H28" s="544">
        <f t="shared" si="5"/>
        <v>-1739.3340000000001</v>
      </c>
      <c r="I28" s="544">
        <f t="shared" si="5"/>
        <v>-1302.4670000000001</v>
      </c>
      <c r="J28" s="544">
        <f t="shared" si="5"/>
        <v>-178.81900000000024</v>
      </c>
      <c r="K28" s="544">
        <f t="shared" si="5"/>
        <v>-2215.8999999999996</v>
      </c>
      <c r="L28" s="544">
        <f t="shared" si="5"/>
        <v>-1937.7509999999997</v>
      </c>
      <c r="M28" s="544">
        <f t="shared" si="5"/>
        <v>3589.8449999999998</v>
      </c>
      <c r="N28" s="544">
        <f t="shared" si="5"/>
        <v>-11846.054</v>
      </c>
      <c r="O28" s="544">
        <f t="shared" si="5"/>
        <v>-254.35499999999999</v>
      </c>
      <c r="P28" s="544">
        <f t="shared" ref="P28:U28" si="6">SUM(P22:P27)</f>
        <v>-1823</v>
      </c>
      <c r="Q28" s="544">
        <f t="shared" si="6"/>
        <v>-12475</v>
      </c>
      <c r="R28" s="544">
        <f t="shared" si="6"/>
        <v>-11985</v>
      </c>
      <c r="S28" s="544">
        <f t="shared" si="6"/>
        <v>-16069</v>
      </c>
      <c r="T28" s="544">
        <f t="shared" si="6"/>
        <v>2292.5309152894524</v>
      </c>
      <c r="U28" s="544">
        <f t="shared" si="6"/>
        <v>3326.128542372614</v>
      </c>
      <c r="V28" s="544">
        <f>SUM(V22:V27)</f>
        <v>1151.7458838866764</v>
      </c>
      <c r="W28" s="544">
        <f t="shared" ref="W28:AF28" si="7">SUM(W22:W27)</f>
        <v>990.87604790542241</v>
      </c>
      <c r="X28" s="544">
        <f t="shared" si="7"/>
        <v>713.98016967144986</v>
      </c>
      <c r="Y28" s="544">
        <f t="shared" si="7"/>
        <v>474.07947106265084</v>
      </c>
      <c r="Z28" s="544">
        <f t="shared" si="7"/>
        <v>245.24342510111785</v>
      </c>
      <c r="AA28" s="544">
        <f t="shared" si="7"/>
        <v>393.02395623428816</v>
      </c>
      <c r="AB28" s="544">
        <f t="shared" si="7"/>
        <v>250.47626260177771</v>
      </c>
      <c r="AC28" s="544">
        <f t="shared" si="7"/>
        <v>92.784737752703279</v>
      </c>
      <c r="AD28" s="544">
        <f t="shared" si="7"/>
        <v>-36.459561028959115</v>
      </c>
      <c r="AE28" s="544">
        <f t="shared" si="7"/>
        <v>22.95585916852508</v>
      </c>
      <c r="AF28" s="544">
        <f t="shared" si="7"/>
        <v>-85.985998789361958</v>
      </c>
      <c r="AG28" s="613"/>
    </row>
    <row r="29" spans="1:43" ht="12.75" customHeight="1">
      <c r="A29" s="43"/>
      <c r="B29" s="48"/>
      <c r="C29" s="139"/>
      <c r="D29" s="139"/>
      <c r="E29" s="139"/>
      <c r="F29" s="139"/>
      <c r="G29" s="139"/>
      <c r="H29" s="139"/>
      <c r="I29" s="139"/>
      <c r="J29" s="139"/>
      <c r="K29" s="531"/>
      <c r="L29" s="531"/>
      <c r="M29" s="531"/>
      <c r="N29" s="531"/>
      <c r="O29" s="531"/>
      <c r="P29" s="531"/>
      <c r="Q29" s="531"/>
      <c r="R29" s="531"/>
      <c r="S29" s="531"/>
      <c r="T29" s="531"/>
      <c r="U29" s="531"/>
      <c r="V29" s="531"/>
      <c r="W29" s="61"/>
      <c r="X29" s="61"/>
      <c r="Y29" s="61"/>
      <c r="Z29" s="61"/>
      <c r="AA29" s="61"/>
      <c r="AB29" s="61"/>
      <c r="AC29" s="61"/>
      <c r="AD29" s="61"/>
      <c r="AE29" s="61"/>
      <c r="AF29" s="61"/>
      <c r="AG29" s="617"/>
    </row>
    <row r="30" spans="1:43" ht="12.75" customHeight="1">
      <c r="A30" s="43"/>
      <c r="B30" s="52" t="s">
        <v>502</v>
      </c>
      <c r="C30" s="139"/>
      <c r="D30" s="139"/>
      <c r="E30" s="139"/>
      <c r="F30" s="139"/>
      <c r="G30" s="139"/>
      <c r="H30" s="139"/>
      <c r="I30" s="139"/>
      <c r="J30" s="139"/>
      <c r="K30" s="531"/>
      <c r="L30" s="531"/>
      <c r="M30" s="531"/>
      <c r="N30" s="531"/>
      <c r="O30" s="531"/>
      <c r="P30" s="531"/>
      <c r="Q30" s="531"/>
      <c r="R30" s="531"/>
      <c r="S30" s="531"/>
      <c r="T30" s="531"/>
      <c r="U30" s="531"/>
      <c r="V30" s="531"/>
      <c r="W30" s="60"/>
      <c r="X30" s="60"/>
      <c r="Y30" s="60"/>
      <c r="Z30" s="60"/>
      <c r="AA30" s="60"/>
      <c r="AB30" s="60"/>
      <c r="AC30" s="60"/>
      <c r="AD30" s="60"/>
      <c r="AE30" s="60"/>
      <c r="AF30" s="60"/>
      <c r="AG30" s="618"/>
    </row>
    <row r="31" spans="1:43" ht="12.75" customHeight="1" outlineLevel="1">
      <c r="A31" s="43"/>
      <c r="B31" s="52"/>
      <c r="C31" s="139"/>
      <c r="D31" s="139"/>
      <c r="E31" s="139"/>
      <c r="F31" s="139"/>
      <c r="G31" s="139"/>
      <c r="H31" s="139"/>
      <c r="I31" s="139"/>
      <c r="J31" s="139"/>
      <c r="K31" s="531"/>
      <c r="L31" s="531"/>
      <c r="M31" s="531"/>
      <c r="N31" s="531"/>
      <c r="O31" s="531"/>
      <c r="P31" s="531"/>
      <c r="Q31" s="531"/>
      <c r="R31" s="531"/>
      <c r="S31" s="531"/>
      <c r="T31" s="531"/>
      <c r="U31" s="531"/>
      <c r="V31" s="531"/>
      <c r="W31" s="60"/>
      <c r="X31" s="60"/>
      <c r="Y31" s="60"/>
      <c r="Z31" s="60"/>
      <c r="AA31" s="60"/>
      <c r="AB31" s="60"/>
      <c r="AC31" s="60"/>
      <c r="AD31" s="60"/>
      <c r="AE31" s="60"/>
      <c r="AF31" s="60"/>
      <c r="AG31" s="618"/>
    </row>
    <row r="32" spans="1:43" ht="12.75" customHeight="1" outlineLevel="1">
      <c r="A32" s="56"/>
      <c r="B32" s="158" t="s">
        <v>703</v>
      </c>
      <c r="C32" s="139">
        <v>36.311</v>
      </c>
      <c r="D32" s="139">
        <v>51.386000000000003</v>
      </c>
      <c r="E32" s="139">
        <v>83.805999999999997</v>
      </c>
      <c r="F32" s="139">
        <v>78.796000000000006</v>
      </c>
      <c r="G32" s="139">
        <v>143.28299999999999</v>
      </c>
      <c r="H32" s="139">
        <v>167.89099999999999</v>
      </c>
      <c r="I32" s="139">
        <v>243.42699999999999</v>
      </c>
      <c r="J32" s="139">
        <v>246.125</v>
      </c>
      <c r="K32" s="531">
        <v>222.72800000000001</v>
      </c>
      <c r="L32" s="531">
        <v>221.22300000000001</v>
      </c>
      <c r="M32" s="531">
        <v>211.73699999999999</v>
      </c>
      <c r="N32" s="531">
        <v>466.28300000000002</v>
      </c>
      <c r="O32" s="534">
        <v>313.07900000000001</v>
      </c>
      <c r="P32" s="534">
        <v>331</v>
      </c>
      <c r="Q32" s="534">
        <v>319</v>
      </c>
      <c r="R32" s="534">
        <v>208</v>
      </c>
      <c r="S32" s="534">
        <v>234</v>
      </c>
      <c r="T32" s="531">
        <f>CF!T80</f>
        <v>182.747895</v>
      </c>
      <c r="U32" s="531">
        <f>CF!U80</f>
        <v>162.82837444500001</v>
      </c>
      <c r="V32" s="531">
        <f>CF!V80</f>
        <v>87.048048978297004</v>
      </c>
      <c r="W32" s="531">
        <f>CF!W80</f>
        <v>87.135097027275293</v>
      </c>
      <c r="X32" s="531">
        <f>CF!X80</f>
        <v>87.222232124302565</v>
      </c>
      <c r="Y32" s="531">
        <f>CF!Y80</f>
        <v>87.309454356426869</v>
      </c>
      <c r="Z32" s="531">
        <f>CF!Z80</f>
        <v>87.396763810783312</v>
      </c>
      <c r="AA32" s="531">
        <f>CF!AA80</f>
        <v>87.484160574594085</v>
      </c>
      <c r="AB32" s="531">
        <f>CF!AB80</f>
        <v>87.57164473516869</v>
      </c>
      <c r="AC32" s="531">
        <f>CF!AC80</f>
        <v>87.659216379903867</v>
      </c>
      <c r="AD32" s="531">
        <f>CF!AD80</f>
        <v>87.7468755962838</v>
      </c>
      <c r="AE32" s="531">
        <f>CF!AE80</f>
        <v>87.834622471880095</v>
      </c>
      <c r="AF32" s="531">
        <f>CF!AF80</f>
        <v>87.922457094351984</v>
      </c>
      <c r="AG32" s="614"/>
    </row>
    <row r="33" spans="1:39" ht="12.75" customHeight="1" outlineLevel="1">
      <c r="A33" s="56"/>
      <c r="B33" s="158" t="s">
        <v>704</v>
      </c>
      <c r="C33" s="180"/>
      <c r="D33" s="180"/>
      <c r="E33" s="139"/>
      <c r="F33" s="139"/>
      <c r="G33" s="139"/>
      <c r="H33" s="139">
        <v>95.259</v>
      </c>
      <c r="I33" s="139">
        <v>76.275999999999996</v>
      </c>
      <c r="J33" s="139">
        <v>191.93899999999999</v>
      </c>
      <c r="K33" s="531">
        <v>80.186000000000007</v>
      </c>
      <c r="L33" s="531">
        <v>81.62</v>
      </c>
      <c r="M33" s="531">
        <v>40.847999999999999</v>
      </c>
      <c r="N33" s="531">
        <v>114.236</v>
      </c>
      <c r="O33" s="534">
        <v>278.77300000000002</v>
      </c>
      <c r="P33" s="534">
        <v>482</v>
      </c>
      <c r="Q33" s="534">
        <v>585</v>
      </c>
      <c r="R33" s="534"/>
      <c r="S33" s="534">
        <v>0</v>
      </c>
      <c r="T33" s="531">
        <f>CF!T81</f>
        <v>89.073387288383074</v>
      </c>
      <c r="U33" s="531">
        <f>CF!U81</f>
        <v>79.364388073949343</v>
      </c>
      <c r="V33" s="531">
        <f>CF!V81</f>
        <v>42.428201864333317</v>
      </c>
      <c r="W33" s="531">
        <f>CF!W81</f>
        <v>42.47063006619765</v>
      </c>
      <c r="X33" s="531">
        <f>CF!X81</f>
        <v>42.513100696263841</v>
      </c>
      <c r="Y33" s="531">
        <f>CF!Y81</f>
        <v>42.55561379696011</v>
      </c>
      <c r="Z33" s="531">
        <f>CF!Z81</f>
        <v>42.598169410757073</v>
      </c>
      <c r="AA33" s="531">
        <f>CF!AA81</f>
        <v>42.640767580167825</v>
      </c>
      <c r="AB33" s="531">
        <f>CF!AB81</f>
        <v>42.683408347748006</v>
      </c>
      <c r="AC33" s="531">
        <f>CF!AC81</f>
        <v>42.726091756095762</v>
      </c>
      <c r="AD33" s="531">
        <f>CF!AD81</f>
        <v>42.768817847851878</v>
      </c>
      <c r="AE33" s="531">
        <f>CF!AE81</f>
        <v>42.811586665699721</v>
      </c>
      <c r="AF33" s="531">
        <f>CF!AF81</f>
        <v>42.854398252365435</v>
      </c>
      <c r="AG33" s="614"/>
    </row>
    <row r="34" spans="1:39" ht="12.75" customHeight="1" outlineLevel="1">
      <c r="A34" s="56"/>
      <c r="B34" s="158" t="s">
        <v>706</v>
      </c>
      <c r="C34" s="180"/>
      <c r="D34" s="180"/>
      <c r="E34" s="180"/>
      <c r="F34" s="180"/>
      <c r="G34" s="180"/>
      <c r="H34" s="139">
        <v>235.495</v>
      </c>
      <c r="I34" s="180"/>
      <c r="J34" s="180"/>
      <c r="K34" s="532"/>
      <c r="L34" s="531">
        <v>155.42500000000001</v>
      </c>
      <c r="M34" s="531"/>
      <c r="N34" s="531"/>
      <c r="O34" s="534">
        <v>-1039.6949999999999</v>
      </c>
      <c r="P34" s="534">
        <v>-4093</v>
      </c>
      <c r="Q34" s="534">
        <v>-3865</v>
      </c>
      <c r="R34" s="534">
        <v>-469</v>
      </c>
      <c r="S34" s="531"/>
      <c r="T34" s="531"/>
      <c r="U34" s="531"/>
      <c r="V34" s="531"/>
      <c r="W34" s="57"/>
      <c r="X34" s="57"/>
      <c r="Y34" s="57"/>
      <c r="Z34" s="57"/>
      <c r="AA34" s="57"/>
      <c r="AB34" s="57"/>
      <c r="AC34" s="57"/>
      <c r="AD34" s="57"/>
      <c r="AE34" s="57"/>
      <c r="AF34" s="57"/>
      <c r="AG34" s="614"/>
    </row>
    <row r="35" spans="1:39" ht="12.75" customHeight="1" outlineLevel="1">
      <c r="A35" s="56"/>
      <c r="B35" s="158" t="s">
        <v>705</v>
      </c>
      <c r="C35" s="180"/>
      <c r="D35" s="180"/>
      <c r="E35" s="180"/>
      <c r="F35" s="180"/>
      <c r="G35" s="180"/>
      <c r="H35" s="139">
        <v>-379.14499999999998</v>
      </c>
      <c r="I35" s="180"/>
      <c r="J35" s="180"/>
      <c r="K35" s="532"/>
      <c r="L35" s="531">
        <v>-362.62200000000001</v>
      </c>
      <c r="M35" s="531"/>
      <c r="N35" s="531">
        <v>213.85599999999999</v>
      </c>
      <c r="O35" s="534">
        <v>2774.402</v>
      </c>
      <c r="P35" s="534">
        <f>2543-26</f>
        <v>2517</v>
      </c>
      <c r="Q35" s="534">
        <v>784</v>
      </c>
      <c r="R35" s="534">
        <v>956</v>
      </c>
      <c r="S35" s="531"/>
      <c r="T35" s="531"/>
      <c r="U35" s="531"/>
      <c r="V35" s="531"/>
      <c r="W35" s="57"/>
      <c r="X35" s="57"/>
      <c r="Y35" s="57"/>
      <c r="Z35" s="57"/>
      <c r="AA35" s="57"/>
      <c r="AB35" s="57"/>
      <c r="AC35" s="57"/>
      <c r="AD35" s="57"/>
      <c r="AE35" s="57"/>
      <c r="AF35" s="57"/>
      <c r="AG35" s="614"/>
    </row>
    <row r="36" spans="1:39" ht="12.75" customHeight="1" outlineLevel="2">
      <c r="A36" s="56"/>
      <c r="B36" s="536" t="s">
        <v>330</v>
      </c>
      <c r="C36" s="180"/>
      <c r="D36" s="180"/>
      <c r="E36" s="180"/>
      <c r="F36" s="180"/>
      <c r="G36" s="180"/>
      <c r="H36" s="180"/>
      <c r="I36" s="180"/>
      <c r="J36" s="180"/>
      <c r="K36" s="531">
        <v>400</v>
      </c>
      <c r="L36" s="531">
        <v>500</v>
      </c>
      <c r="M36" s="531"/>
      <c r="N36" s="531"/>
      <c r="O36" s="531"/>
      <c r="P36" s="531"/>
      <c r="Q36" s="531"/>
      <c r="R36" s="534">
        <v>5293</v>
      </c>
      <c r="S36" s="534">
        <v>0</v>
      </c>
      <c r="T36" s="531">
        <f>IF(DEBT!T98&gt;0,DEBT!T98,0)</f>
        <v>0</v>
      </c>
      <c r="U36" s="531">
        <f>IF(DEBT!U98&gt;0,DEBT!U98,0)</f>
        <v>0</v>
      </c>
      <c r="V36" s="531">
        <f>IF(DEBT!V98&gt;0,DEBT!V98,0)</f>
        <v>0</v>
      </c>
      <c r="W36" s="531">
        <f>IF(DEBT!W98&gt;0,DEBT!W98,0)</f>
        <v>0</v>
      </c>
      <c r="X36" s="531">
        <f>IF(DEBT!X98&gt;0,DEBT!X98,0)</f>
        <v>0</v>
      </c>
      <c r="Y36" s="531">
        <f>IF(DEBT!Y98&gt;0,DEBT!Y98,0)</f>
        <v>0</v>
      </c>
      <c r="Z36" s="531">
        <f>IF(DEBT!Z98&gt;0,DEBT!Z98,0)</f>
        <v>0</v>
      </c>
      <c r="AA36" s="531">
        <f>IF(DEBT!AA98&gt;0,DEBT!AA98,0)</f>
        <v>0</v>
      </c>
      <c r="AB36" s="531">
        <f>IF(DEBT!AB98&gt;0,DEBT!AB98,0)</f>
        <v>0</v>
      </c>
      <c r="AC36" s="531">
        <f>IF(DEBT!AC98&gt;0,DEBT!AC98,0)</f>
        <v>0</v>
      </c>
      <c r="AD36" s="531">
        <f>IF(DEBT!AD98&gt;0,DEBT!AD98,0)</f>
        <v>0</v>
      </c>
      <c r="AE36" s="531">
        <f>IF(DEBT!AE98&gt;0,DEBT!AE98,0)</f>
        <v>0</v>
      </c>
      <c r="AF36" s="531">
        <f>IF(DEBT!AF98&gt;0,DEBT!AF98,0)</f>
        <v>0</v>
      </c>
      <c r="AG36" s="614"/>
    </row>
    <row r="37" spans="1:39" ht="12.75" customHeight="1" outlineLevel="2">
      <c r="A37" s="56"/>
      <c r="B37" s="536" t="s">
        <v>331</v>
      </c>
      <c r="C37" s="180"/>
      <c r="D37" s="180"/>
      <c r="E37" s="180"/>
      <c r="F37" s="180"/>
      <c r="G37" s="180"/>
      <c r="H37" s="180"/>
      <c r="I37" s="180"/>
      <c r="J37" s="180"/>
      <c r="K37" s="531">
        <v>-400</v>
      </c>
      <c r="L37" s="531">
        <v>-500</v>
      </c>
      <c r="M37" s="531"/>
      <c r="N37" s="531"/>
      <c r="O37" s="531"/>
      <c r="P37" s="531"/>
      <c r="Q37" s="531"/>
      <c r="R37" s="534">
        <v>-1981</v>
      </c>
      <c r="S37" s="534">
        <v>0</v>
      </c>
      <c r="T37" s="531">
        <f>IF(DEBT!T98&lt;0,DEBT!T98,0)</f>
        <v>0</v>
      </c>
      <c r="U37" s="531">
        <f>IF(DEBT!U98&lt;0,DEBT!U98,0)</f>
        <v>0</v>
      </c>
      <c r="V37" s="531">
        <f>IF(DEBT!V98&lt;0,DEBT!V98,0)</f>
        <v>0</v>
      </c>
      <c r="W37" s="531">
        <f>IF(DEBT!W98&lt;0,DEBT!W98,0)</f>
        <v>0</v>
      </c>
      <c r="X37" s="531">
        <f>IF(DEBT!X98&lt;0,DEBT!X98,0)</f>
        <v>0</v>
      </c>
      <c r="Y37" s="531">
        <f>IF(DEBT!Y98&lt;0,DEBT!Y98,0)</f>
        <v>0</v>
      </c>
      <c r="Z37" s="531">
        <f>IF(DEBT!Z98&lt;0,DEBT!Z98,0)</f>
        <v>0</v>
      </c>
      <c r="AA37" s="531">
        <f>IF(DEBT!AA98&lt;0,DEBT!AA98,0)</f>
        <v>0</v>
      </c>
      <c r="AB37" s="531">
        <f>IF(DEBT!AB98&lt;0,DEBT!AB98,0)</f>
        <v>0</v>
      </c>
      <c r="AC37" s="531">
        <f>IF(DEBT!AC98&lt;0,DEBT!AC98,0)</f>
        <v>0</v>
      </c>
      <c r="AD37" s="531">
        <f>IF(DEBT!AD98&lt;0,DEBT!AD98,0)</f>
        <v>0</v>
      </c>
      <c r="AE37" s="531">
        <f>IF(DEBT!AE98&lt;0,DEBT!AE98,0)</f>
        <v>0</v>
      </c>
      <c r="AF37" s="531">
        <f>IF(DEBT!AF98&lt;0,DEBT!AF98,0)</f>
        <v>0</v>
      </c>
      <c r="AG37" s="614"/>
    </row>
    <row r="38" spans="1:39" ht="12.75" customHeight="1" outlineLevel="2">
      <c r="A38" s="56"/>
      <c r="B38" s="536" t="s">
        <v>333</v>
      </c>
      <c r="C38" s="180"/>
      <c r="D38" s="139">
        <v>336.637</v>
      </c>
      <c r="E38" s="180"/>
      <c r="F38" s="180"/>
      <c r="G38" s="139">
        <v>298.81599999999997</v>
      </c>
      <c r="H38" s="139">
        <v>1276.242</v>
      </c>
      <c r="I38" s="139"/>
      <c r="J38" s="139"/>
      <c r="K38" s="531"/>
      <c r="L38" s="531">
        <v>2462.5</v>
      </c>
      <c r="M38" s="531">
        <v>4660.7020000000002</v>
      </c>
      <c r="N38" s="531">
        <v>2144.7330000000002</v>
      </c>
      <c r="O38" s="531">
        <v>0</v>
      </c>
      <c r="P38" s="534">
        <v>7932</v>
      </c>
      <c r="Q38" s="534">
        <v>9902</v>
      </c>
      <c r="R38" s="531"/>
      <c r="S38" s="534">
        <v>0</v>
      </c>
      <c r="T38" s="531">
        <f>SUM(DEBT!T61:T66)-DEBT!T113-DEBT!T119-DEBT!T125</f>
        <v>0</v>
      </c>
      <c r="U38" s="531">
        <f>SUM(DEBT!U61:U66)-DEBT!U113-DEBT!U119-DEBT!U125</f>
        <v>0</v>
      </c>
      <c r="V38" s="531">
        <f>SUM(DEBT!V61:V66)-DEBT!V113-DEBT!V119-DEBT!V125</f>
        <v>0</v>
      </c>
      <c r="W38" s="531">
        <f>SUM(DEBT!W61:W66)-DEBT!W113-DEBT!W119-DEBT!W125</f>
        <v>0</v>
      </c>
      <c r="X38" s="531">
        <f>SUM(DEBT!X61:X66)-DEBT!X113-DEBT!X119-DEBT!X125</f>
        <v>0</v>
      </c>
      <c r="Y38" s="531">
        <f>SUM(DEBT!Y61:Y66)-DEBT!Y113-DEBT!Y119-DEBT!Y125</f>
        <v>0</v>
      </c>
      <c r="Z38" s="531">
        <f>SUM(DEBT!Z61:Z66)-DEBT!Z113-DEBT!Z119-DEBT!Z125</f>
        <v>0</v>
      </c>
      <c r="AA38" s="531">
        <f>SUM(DEBT!AA61:AA66)-DEBT!AA113-DEBT!AA119-DEBT!AA125</f>
        <v>0</v>
      </c>
      <c r="AB38" s="531">
        <f>SUM(DEBT!AB61:AB66)-DEBT!AB113-DEBT!AB119-DEBT!AB125</f>
        <v>0</v>
      </c>
      <c r="AC38" s="531">
        <f>SUM(DEBT!AC61:AC66)-DEBT!AC113-DEBT!AC119-DEBT!AC125</f>
        <v>0</v>
      </c>
      <c r="AD38" s="531">
        <f>SUM(DEBT!AD61:AD66)-DEBT!AD113-DEBT!AD119-DEBT!AD125</f>
        <v>0</v>
      </c>
      <c r="AE38" s="531">
        <f>SUM(DEBT!AE61:AE66)-DEBT!AE113-DEBT!AE119-DEBT!AE125</f>
        <v>0</v>
      </c>
      <c r="AF38" s="531">
        <f>SUM(DEBT!AF61:AF66)-DEBT!AF113-DEBT!AF119-DEBT!AF125</f>
        <v>0</v>
      </c>
      <c r="AG38" s="614"/>
    </row>
    <row r="39" spans="1:39" ht="12.75" customHeight="1" outlineLevel="2">
      <c r="A39" s="56"/>
      <c r="B39" s="536" t="s">
        <v>334</v>
      </c>
      <c r="C39" s="139">
        <v>-2.7610000000000001</v>
      </c>
      <c r="D39" s="139">
        <v>-1.4139999999999999</v>
      </c>
      <c r="E39" s="139">
        <v>-1.7150000000000001</v>
      </c>
      <c r="F39" s="139">
        <v>-0.13700000000000001</v>
      </c>
      <c r="G39" s="139">
        <v>-0.20300000000000001</v>
      </c>
      <c r="H39" s="139">
        <v>-201.53899999999999</v>
      </c>
      <c r="I39" s="139">
        <v>-99.459000000000003</v>
      </c>
      <c r="J39" s="139">
        <v>-4.3259999999999996</v>
      </c>
      <c r="K39" s="531">
        <f>-305.455-5.648</f>
        <v>-311.10300000000001</v>
      </c>
      <c r="L39" s="531">
        <v>-5.7859999999999996</v>
      </c>
      <c r="M39" s="531">
        <f>-649.987-1.562</f>
        <v>-651.54899999999998</v>
      </c>
      <c r="N39" s="531">
        <f>-1837.139-2.186</f>
        <v>-1839.3249999999998</v>
      </c>
      <c r="O39" s="534">
        <v>-4439.8909999999996</v>
      </c>
      <c r="P39" s="534">
        <v>-4779</v>
      </c>
      <c r="Q39" s="534">
        <v>-997</v>
      </c>
      <c r="R39" s="531"/>
      <c r="S39" s="534">
        <f>-1811+8985</f>
        <v>7174</v>
      </c>
      <c r="T39" s="531">
        <f>SUM(DEBT!T67:T97)</f>
        <v>-2644</v>
      </c>
      <c r="U39" s="531">
        <f>SUM(DEBT!U67:U97)</f>
        <v>-2743</v>
      </c>
      <c r="V39" s="531">
        <f>SUM(DEBT!V67:V97)</f>
        <v>-3498</v>
      </c>
      <c r="W39" s="531">
        <f>SUM(DEBT!W67:W97)</f>
        <v>-2241</v>
      </c>
      <c r="X39" s="531">
        <f>SUM(DEBT!X67:X97)</f>
        <v>-3994</v>
      </c>
      <c r="Y39" s="531">
        <f>SUM(DEBT!Y67:Y97)</f>
        <v>-745</v>
      </c>
      <c r="Z39" s="531">
        <f>SUM(DEBT!Z67:Z97)</f>
        <v>-1742</v>
      </c>
      <c r="AA39" s="531">
        <f>SUM(DEBT!AA67:AA97)</f>
        <v>-1750</v>
      </c>
      <c r="AB39" s="531">
        <f>SUM(DEBT!AB67:AB97)</f>
        <v>-2750</v>
      </c>
      <c r="AC39" s="531">
        <f>SUM(DEBT!AC67:AC97)</f>
        <v>-1244</v>
      </c>
      <c r="AD39" s="531">
        <f>SUM(DEBT!AD67:AD97)</f>
        <v>0</v>
      </c>
      <c r="AE39" s="531">
        <f>SUM(DEBT!AE67:AE97)</f>
        <v>0</v>
      </c>
      <c r="AF39" s="531">
        <f>SUM(DEBT!AF67:AF97)</f>
        <v>0</v>
      </c>
      <c r="AG39" s="614"/>
    </row>
    <row r="40" spans="1:39" ht="12.75" customHeight="1" outlineLevel="1">
      <c r="A40" s="56"/>
      <c r="B40" s="158" t="s">
        <v>708</v>
      </c>
      <c r="C40" s="531">
        <f>SUM(C36:C39)</f>
        <v>-2.7610000000000001</v>
      </c>
      <c r="D40" s="531">
        <f t="shared" ref="D40:AF40" si="8">SUM(D36:D39)</f>
        <v>335.22300000000001</v>
      </c>
      <c r="E40" s="531">
        <f t="shared" si="8"/>
        <v>-1.7150000000000001</v>
      </c>
      <c r="F40" s="531">
        <f t="shared" si="8"/>
        <v>-0.13700000000000001</v>
      </c>
      <c r="G40" s="531">
        <f t="shared" si="8"/>
        <v>298.613</v>
      </c>
      <c r="H40" s="531">
        <f t="shared" si="8"/>
        <v>1074.703</v>
      </c>
      <c r="I40" s="531">
        <f t="shared" si="8"/>
        <v>-99.459000000000003</v>
      </c>
      <c r="J40" s="531">
        <f t="shared" si="8"/>
        <v>-4.3259999999999996</v>
      </c>
      <c r="K40" s="531">
        <f t="shared" si="8"/>
        <v>-311.10300000000001</v>
      </c>
      <c r="L40" s="531">
        <f t="shared" si="8"/>
        <v>2456.7139999999999</v>
      </c>
      <c r="M40" s="531">
        <f t="shared" si="8"/>
        <v>4009.1530000000002</v>
      </c>
      <c r="N40" s="531">
        <f t="shared" si="8"/>
        <v>305.40800000000036</v>
      </c>
      <c r="O40" s="531">
        <f t="shared" si="8"/>
        <v>-4439.8909999999996</v>
      </c>
      <c r="P40" s="531">
        <f>SUM(P36:P39)</f>
        <v>3153</v>
      </c>
      <c r="Q40" s="531">
        <f>SUM(Q36:Q39)</f>
        <v>8905</v>
      </c>
      <c r="R40" s="531">
        <f>SUM(R36:R39)</f>
        <v>3312</v>
      </c>
      <c r="S40" s="531">
        <f>SUM(S36:S39)</f>
        <v>7174</v>
      </c>
      <c r="T40" s="531">
        <f t="shared" si="8"/>
        <v>-2644</v>
      </c>
      <c r="U40" s="531">
        <f t="shared" si="8"/>
        <v>-2743</v>
      </c>
      <c r="V40" s="531">
        <f t="shared" si="8"/>
        <v>-3498</v>
      </c>
      <c r="W40" s="531">
        <f t="shared" si="8"/>
        <v>-2241</v>
      </c>
      <c r="X40" s="531">
        <f t="shared" si="8"/>
        <v>-3994</v>
      </c>
      <c r="Y40" s="531">
        <f t="shared" si="8"/>
        <v>-745</v>
      </c>
      <c r="Z40" s="531">
        <f t="shared" si="8"/>
        <v>-1742</v>
      </c>
      <c r="AA40" s="531">
        <f t="shared" si="8"/>
        <v>-1750</v>
      </c>
      <c r="AB40" s="531">
        <f t="shared" si="8"/>
        <v>-2750</v>
      </c>
      <c r="AC40" s="531">
        <f t="shared" si="8"/>
        <v>-1244</v>
      </c>
      <c r="AD40" s="531">
        <f t="shared" si="8"/>
        <v>0</v>
      </c>
      <c r="AE40" s="531">
        <f t="shared" si="8"/>
        <v>0</v>
      </c>
      <c r="AF40" s="531">
        <f t="shared" si="8"/>
        <v>0</v>
      </c>
      <c r="AG40" s="614"/>
    </row>
    <row r="41" spans="1:39" ht="12.75" customHeight="1" outlineLevel="1">
      <c r="A41" s="56"/>
      <c r="B41" s="158" t="s">
        <v>707</v>
      </c>
      <c r="C41" s="180"/>
      <c r="D41" s="180"/>
      <c r="E41" s="180"/>
      <c r="F41" s="180"/>
      <c r="G41" s="180"/>
      <c r="H41" s="180"/>
      <c r="I41" s="180"/>
      <c r="J41" s="139">
        <v>61.274999999999999</v>
      </c>
      <c r="K41" s="531">
        <v>-44.753999999999998</v>
      </c>
      <c r="L41" s="531">
        <v>131.523</v>
      </c>
      <c r="M41" s="531">
        <v>-115.03700000000001</v>
      </c>
      <c r="N41" s="531">
        <v>130.60400000000001</v>
      </c>
      <c r="O41" s="534">
        <v>151.82599999999999</v>
      </c>
      <c r="P41" s="534">
        <v>35</v>
      </c>
      <c r="Q41" s="534">
        <v>188</v>
      </c>
      <c r="R41" s="534">
        <v>-90</v>
      </c>
      <c r="S41" s="531"/>
      <c r="T41" s="531"/>
      <c r="U41" s="531"/>
      <c r="V41" s="531"/>
      <c r="W41" s="57"/>
      <c r="X41" s="57"/>
      <c r="Y41" s="57"/>
      <c r="Z41" s="57"/>
      <c r="AA41" s="57"/>
      <c r="AB41" s="57"/>
      <c r="AC41" s="57"/>
      <c r="AD41" s="57"/>
      <c r="AE41" s="57"/>
      <c r="AF41" s="57"/>
      <c r="AG41" s="614"/>
    </row>
    <row r="42" spans="1:39" ht="12.75" customHeight="1" outlineLevel="1">
      <c r="A42" s="56"/>
      <c r="B42" s="158" t="s">
        <v>702</v>
      </c>
      <c r="C42" s="180"/>
      <c r="D42" s="180"/>
      <c r="E42" s="180"/>
      <c r="F42" s="180"/>
      <c r="G42" s="180"/>
      <c r="H42" s="139">
        <v>-544.94200000000001</v>
      </c>
      <c r="I42" s="139">
        <v>-487.54300000000001</v>
      </c>
      <c r="J42" s="139">
        <v>-1969.5820000000001</v>
      </c>
      <c r="K42" s="531">
        <v>-998.495</v>
      </c>
      <c r="L42" s="531">
        <v>-4022.5929999999998</v>
      </c>
      <c r="M42" s="531">
        <v>-2383.1320000000001</v>
      </c>
      <c r="N42" s="531">
        <v>-667.04100000000005</v>
      </c>
      <c r="O42" s="534">
        <v>-582.35799999999995</v>
      </c>
      <c r="P42" s="534">
        <v>-5349</v>
      </c>
      <c r="Q42" s="534">
        <v>-10002</v>
      </c>
      <c r="R42" s="534">
        <v>-11001</v>
      </c>
      <c r="S42" s="534">
        <v>-954</v>
      </c>
      <c r="T42" s="531">
        <f>-CF!T88</f>
        <v>-777.79871360557775</v>
      </c>
      <c r="U42" s="531">
        <f>-CF!U88</f>
        <v>-4277.8929248306777</v>
      </c>
      <c r="V42" s="531">
        <f>-CF!V88</f>
        <v>-7058.5233259706192</v>
      </c>
      <c r="W42" s="531">
        <f>-CF!W88</f>
        <v>-5176.2504390451213</v>
      </c>
      <c r="X42" s="531">
        <f>-CF!X88</f>
        <v>-5693.8754829496338</v>
      </c>
      <c r="Y42" s="531">
        <f>-CF!Y88</f>
        <v>-6263.2630312445972</v>
      </c>
      <c r="Z42" s="531">
        <f>-CF!Z88</f>
        <v>-1377.9178668738114</v>
      </c>
      <c r="AA42" s="531">
        <f>-CF!AA88</f>
        <v>-1515.7096535611927</v>
      </c>
      <c r="AB42" s="531">
        <f>-CF!AB88</f>
        <v>-1667.280618917312</v>
      </c>
      <c r="AC42" s="531">
        <f>-CF!AC88</f>
        <v>-1834.0086808090437</v>
      </c>
      <c r="AD42" s="531">
        <f>-CF!AD88</f>
        <v>-2017.4095488899482</v>
      </c>
      <c r="AE42" s="531">
        <f>-CF!AE88</f>
        <v>-2219.1505037789429</v>
      </c>
      <c r="AF42" s="531">
        <f>-CF!AF88</f>
        <v>-2441.0655541568376</v>
      </c>
      <c r="AG42" s="614"/>
    </row>
    <row r="43" spans="1:39" ht="12.75" customHeight="1" outlineLevel="1">
      <c r="A43" s="56"/>
      <c r="B43" s="158" t="s">
        <v>332</v>
      </c>
      <c r="C43" s="180"/>
      <c r="D43" s="180"/>
      <c r="E43" s="180"/>
      <c r="F43" s="180"/>
      <c r="G43" s="180"/>
      <c r="H43" s="180"/>
      <c r="I43" s="180"/>
      <c r="J43" s="180"/>
      <c r="K43" s="532"/>
      <c r="L43" s="532"/>
      <c r="M43" s="532"/>
      <c r="N43" s="532"/>
      <c r="O43" s="534">
        <v>0</v>
      </c>
      <c r="P43" s="531"/>
      <c r="Q43" s="534">
        <v>-1874</v>
      </c>
      <c r="R43" s="534">
        <v>-2455</v>
      </c>
      <c r="S43" s="534">
        <v>-2731</v>
      </c>
      <c r="T43" s="531">
        <f>-T3*0.2</f>
        <v>-1494.3776817531298</v>
      </c>
      <c r="U43" s="531">
        <f>-U3*0.2</f>
        <v>-1512.0237582813306</v>
      </c>
      <c r="V43" s="531">
        <f>-V3*0.2</f>
        <v>-1687.3863274475762</v>
      </c>
      <c r="W43" s="531">
        <f t="shared" ref="W43:AF43" si="9">-W3*0.2</f>
        <v>-1481.0818557166936</v>
      </c>
      <c r="X43" s="531">
        <f t="shared" si="9"/>
        <v>-1598.7652657511533</v>
      </c>
      <c r="Y43" s="531">
        <f t="shared" si="9"/>
        <v>-1706.8930958661274</v>
      </c>
      <c r="Z43" s="531">
        <f t="shared" si="9"/>
        <v>-1830.0859164316225</v>
      </c>
      <c r="AA43" s="531">
        <f t="shared" si="9"/>
        <v>-1109.6701090875465</v>
      </c>
      <c r="AB43" s="531">
        <f t="shared" si="9"/>
        <v>-876.98153099611159</v>
      </c>
      <c r="AC43" s="531">
        <f t="shared" si="9"/>
        <v>-821.36669542646439</v>
      </c>
      <c r="AD43" s="531">
        <f t="shared" si="9"/>
        <v>-913.76022987209399</v>
      </c>
      <c r="AE43" s="531">
        <f t="shared" si="9"/>
        <v>-1281.413247037025</v>
      </c>
      <c r="AF43" s="531">
        <f t="shared" si="9"/>
        <v>-1284.5026546099959</v>
      </c>
      <c r="AG43" s="614"/>
    </row>
    <row r="44" spans="1:39" ht="12.75" customHeight="1" outlineLevel="1">
      <c r="A44" s="56"/>
      <c r="B44" s="158" t="s">
        <v>68</v>
      </c>
      <c r="C44" s="139"/>
      <c r="D44" s="139"/>
      <c r="E44" s="139"/>
      <c r="F44" s="139"/>
      <c r="G44" s="139"/>
      <c r="H44" s="139"/>
      <c r="I44" s="139"/>
      <c r="J44" s="139"/>
      <c r="K44" s="531"/>
      <c r="L44" s="531"/>
      <c r="M44" s="531"/>
      <c r="N44" s="531"/>
      <c r="O44" s="534">
        <v>-7.6999999999999999E-2</v>
      </c>
      <c r="P44" s="534">
        <v>-101</v>
      </c>
      <c r="Q44" s="534">
        <v>-3</v>
      </c>
      <c r="R44" s="531">
        <f>-2+194</f>
        <v>192</v>
      </c>
      <c r="S44" s="534">
        <v>-330</v>
      </c>
      <c r="T44" s="531">
        <f t="shared" ref="T44:AF44" si="10">+T120</f>
        <v>0</v>
      </c>
      <c r="U44" s="531">
        <f t="shared" si="10"/>
        <v>0</v>
      </c>
      <c r="V44" s="531">
        <f t="shared" si="10"/>
        <v>0</v>
      </c>
      <c r="W44" s="531">
        <f t="shared" si="10"/>
        <v>0</v>
      </c>
      <c r="X44" s="531">
        <f t="shared" si="10"/>
        <v>0</v>
      </c>
      <c r="Y44" s="531">
        <f t="shared" si="10"/>
        <v>0</v>
      </c>
      <c r="Z44" s="531">
        <f t="shared" si="10"/>
        <v>0</v>
      </c>
      <c r="AA44" s="531">
        <f t="shared" si="10"/>
        <v>0</v>
      </c>
      <c r="AB44" s="531">
        <f t="shared" si="10"/>
        <v>0</v>
      </c>
      <c r="AC44" s="531">
        <f t="shared" si="10"/>
        <v>0</v>
      </c>
      <c r="AD44" s="531">
        <f t="shared" si="10"/>
        <v>0</v>
      </c>
      <c r="AE44" s="531">
        <f t="shared" si="10"/>
        <v>0</v>
      </c>
      <c r="AF44" s="531">
        <f t="shared" si="10"/>
        <v>0</v>
      </c>
      <c r="AG44" s="614"/>
    </row>
    <row r="45" spans="1:39" s="116" customFormat="1" ht="12.75" customHeight="1" outlineLevel="1" collapsed="1">
      <c r="A45" s="537"/>
      <c r="B45" s="550" t="s">
        <v>335</v>
      </c>
      <c r="C45" s="544">
        <f>SUM(C40:C44,C32:C35)</f>
        <v>33.549999999999997</v>
      </c>
      <c r="D45" s="544">
        <f t="shared" ref="D45:U45" si="11">SUM(D40:D44,D32:D35)</f>
        <v>386.60900000000004</v>
      </c>
      <c r="E45" s="544">
        <f t="shared" si="11"/>
        <v>82.090999999999994</v>
      </c>
      <c r="F45" s="544">
        <f t="shared" si="11"/>
        <v>78.659000000000006</v>
      </c>
      <c r="G45" s="544">
        <f t="shared" si="11"/>
        <v>441.89599999999996</v>
      </c>
      <c r="H45" s="544">
        <f t="shared" si="11"/>
        <v>649.26099999999997</v>
      </c>
      <c r="I45" s="544">
        <f t="shared" si="11"/>
        <v>-267.29899999999992</v>
      </c>
      <c r="J45" s="544">
        <f t="shared" si="11"/>
        <v>-1474.569</v>
      </c>
      <c r="K45" s="544">
        <f t="shared" si="11"/>
        <v>-1051.4380000000001</v>
      </c>
      <c r="L45" s="544">
        <f t="shared" si="11"/>
        <v>-1338.71</v>
      </c>
      <c r="M45" s="544">
        <f t="shared" si="11"/>
        <v>1763.5690000000004</v>
      </c>
      <c r="N45" s="544">
        <f t="shared" si="11"/>
        <v>563.34600000000034</v>
      </c>
      <c r="O45" s="544">
        <f t="shared" si="11"/>
        <v>-2543.9409999999998</v>
      </c>
      <c r="P45" s="544">
        <f t="shared" si="11"/>
        <v>-3025</v>
      </c>
      <c r="Q45" s="544">
        <f t="shared" si="11"/>
        <v>-4963</v>
      </c>
      <c r="R45" s="544">
        <f t="shared" si="11"/>
        <v>-9347</v>
      </c>
      <c r="S45" s="544">
        <f t="shared" si="11"/>
        <v>3393</v>
      </c>
      <c r="T45" s="544">
        <f t="shared" si="11"/>
        <v>-4644.3551130703236</v>
      </c>
      <c r="U45" s="544">
        <f t="shared" si="11"/>
        <v>-8290.72392059306</v>
      </c>
      <c r="V45" s="544">
        <f>SUM(V40:V44,V32:V35)</f>
        <v>-12114.433402575565</v>
      </c>
      <c r="W45" s="544">
        <f t="shared" ref="W45:AF45" si="12">SUM(W40:W44,W32:W35)</f>
        <v>-8768.7265676683401</v>
      </c>
      <c r="X45" s="544">
        <f t="shared" si="12"/>
        <v>-11156.905415880221</v>
      </c>
      <c r="Y45" s="544">
        <f t="shared" si="12"/>
        <v>-8585.2910589573366</v>
      </c>
      <c r="Z45" s="544">
        <f t="shared" si="12"/>
        <v>-4820.0088500838938</v>
      </c>
      <c r="AA45" s="544">
        <f t="shared" si="12"/>
        <v>-4245.2548344939778</v>
      </c>
      <c r="AB45" s="544">
        <f t="shared" si="12"/>
        <v>-5164.0070968305063</v>
      </c>
      <c r="AC45" s="544">
        <f t="shared" si="12"/>
        <v>-3768.9900680995088</v>
      </c>
      <c r="AD45" s="544">
        <f t="shared" si="12"/>
        <v>-2800.6540853179067</v>
      </c>
      <c r="AE45" s="544">
        <f t="shared" si="12"/>
        <v>-3369.9175416783878</v>
      </c>
      <c r="AF45" s="544">
        <f t="shared" si="12"/>
        <v>-3594.7913534201161</v>
      </c>
      <c r="AG45" s="619"/>
      <c r="AH45"/>
      <c r="AI45"/>
      <c r="AJ45"/>
      <c r="AK45"/>
      <c r="AL45"/>
      <c r="AM45"/>
    </row>
    <row r="46" spans="1:39" s="116" customFormat="1" ht="12.75" customHeight="1" outlineLevel="1">
      <c r="A46" s="537"/>
      <c r="B46" s="546" t="s">
        <v>336</v>
      </c>
      <c r="C46" s="541">
        <v>-1.151</v>
      </c>
      <c r="D46" s="541">
        <v>-13.398999999999999</v>
      </c>
      <c r="E46" s="541">
        <v>-11.565</v>
      </c>
      <c r="F46" s="541">
        <v>-13.019</v>
      </c>
      <c r="G46" s="541">
        <v>-38.055999999999997</v>
      </c>
      <c r="H46" s="541">
        <v>-19.891999999999999</v>
      </c>
      <c r="I46" s="541">
        <v>-43.552999999999997</v>
      </c>
      <c r="J46" s="541">
        <v>1.22</v>
      </c>
      <c r="K46" s="541">
        <v>0.94</v>
      </c>
      <c r="L46" s="746">
        <v>77.468999999999994</v>
      </c>
      <c r="M46" s="746">
        <v>-16.526</v>
      </c>
      <c r="N46" s="746">
        <v>7.9089999999999998</v>
      </c>
      <c r="O46" s="746">
        <v>2.42</v>
      </c>
      <c r="P46" s="746">
        <v>-56</v>
      </c>
      <c r="Q46" s="746">
        <v>-67</v>
      </c>
      <c r="R46" s="746">
        <v>41</v>
      </c>
      <c r="S46" s="746">
        <v>137</v>
      </c>
      <c r="T46" s="541"/>
      <c r="U46" s="541"/>
      <c r="V46" s="541"/>
      <c r="W46" s="541"/>
      <c r="X46" s="541"/>
      <c r="Y46" s="541"/>
      <c r="Z46" s="541"/>
      <c r="AA46" s="541"/>
      <c r="AB46" s="541"/>
      <c r="AC46" s="541"/>
      <c r="AD46" s="541"/>
      <c r="AE46" s="541"/>
      <c r="AF46" s="541"/>
      <c r="AG46" s="619"/>
      <c r="AH46"/>
      <c r="AI46"/>
      <c r="AJ46"/>
      <c r="AK46"/>
      <c r="AL46"/>
      <c r="AM46"/>
    </row>
    <row r="47" spans="1:39" s="116" customFormat="1" ht="12.75" customHeight="1" outlineLevel="1">
      <c r="A47" s="537"/>
      <c r="B47" s="539" t="s">
        <v>337</v>
      </c>
      <c r="C47" s="524">
        <f t="shared" ref="C47:AF47" si="13">C45+C28+C20+C46</f>
        <v>-73.801999999999964</v>
      </c>
      <c r="D47" s="524">
        <f t="shared" si="13"/>
        <v>493.44100000000003</v>
      </c>
      <c r="E47" s="524">
        <f t="shared" si="13"/>
        <v>-422.21200000000022</v>
      </c>
      <c r="F47" s="524">
        <f t="shared" si="13"/>
        <v>86.189999999999827</v>
      </c>
      <c r="G47" s="524">
        <f t="shared" si="13"/>
        <v>427.00399999999985</v>
      </c>
      <c r="H47" s="524">
        <f t="shared" si="13"/>
        <v>108.0939999999992</v>
      </c>
      <c r="I47" s="524">
        <f t="shared" si="13"/>
        <v>152.07899999999984</v>
      </c>
      <c r="J47" s="524">
        <f t="shared" si="13"/>
        <v>491.21599999999989</v>
      </c>
      <c r="K47" s="524">
        <f t="shared" si="13"/>
        <v>-186.34399999999965</v>
      </c>
      <c r="L47" s="524">
        <f t="shared" si="13"/>
        <v>-365.07900000000024</v>
      </c>
      <c r="M47" s="524">
        <f t="shared" si="13"/>
        <v>8975.898000000001</v>
      </c>
      <c r="N47" s="524">
        <f t="shared" si="13"/>
        <v>-8080.0830000000005</v>
      </c>
      <c r="O47" s="524">
        <f t="shared" si="13"/>
        <v>309.11200000000048</v>
      </c>
      <c r="P47" s="524">
        <f t="shared" si="13"/>
        <v>7914</v>
      </c>
      <c r="Q47" s="524">
        <f t="shared" si="13"/>
        <v>2824</v>
      </c>
      <c r="R47" s="524">
        <f t="shared" si="13"/>
        <v>-4622</v>
      </c>
      <c r="S47" s="524">
        <f t="shared" si="13"/>
        <v>-641</v>
      </c>
      <c r="T47" s="524">
        <f t="shared" si="13"/>
        <v>4408.4640033865398</v>
      </c>
      <c r="U47" s="524">
        <f t="shared" si="13"/>
        <v>4792.0074054414954</v>
      </c>
      <c r="V47" s="524">
        <f t="shared" si="13"/>
        <v>-476.96893110319797</v>
      </c>
      <c r="W47" s="524">
        <f t="shared" si="13"/>
        <v>2407.0418889977072</v>
      </c>
      <c r="X47" s="524">
        <f t="shared" si="13"/>
        <v>18.684582829959254</v>
      </c>
      <c r="Y47" s="524">
        <f t="shared" si="13"/>
        <v>2976.7111947960457</v>
      </c>
      <c r="Z47" s="524">
        <f t="shared" si="13"/>
        <v>7306.7448507381814</v>
      </c>
      <c r="AA47" s="524">
        <f t="shared" si="13"/>
        <v>6029.4153246650876</v>
      </c>
      <c r="AB47" s="524">
        <f t="shared" si="13"/>
        <v>3209.828286367414</v>
      </c>
      <c r="AC47" s="524">
        <f t="shared" si="13"/>
        <v>4068.2952869354958</v>
      </c>
      <c r="AD47" s="524">
        <f t="shared" si="13"/>
        <v>5028.4767459950426</v>
      </c>
      <c r="AE47" s="524">
        <f t="shared" si="13"/>
        <v>4746.632806745808</v>
      </c>
      <c r="AF47" s="524">
        <f t="shared" si="13"/>
        <v>6657.250255459172</v>
      </c>
      <c r="AG47" s="620"/>
      <c r="AH47"/>
      <c r="AI47"/>
      <c r="AJ47"/>
      <c r="AK47"/>
      <c r="AL47"/>
      <c r="AM47"/>
    </row>
    <row r="48" spans="1:39" s="116" customFormat="1" ht="12.75" customHeight="1" outlineLevel="1">
      <c r="A48" s="537"/>
      <c r="B48" s="539" t="s">
        <v>338</v>
      </c>
      <c r="C48" s="524">
        <v>197.292</v>
      </c>
      <c r="D48" s="524">
        <f t="shared" ref="D48:V48" si="14">C49</f>
        <v>123.49000000000004</v>
      </c>
      <c r="E48" s="524">
        <f t="shared" si="14"/>
        <v>616.93100000000004</v>
      </c>
      <c r="F48" s="524">
        <f t="shared" si="14"/>
        <v>194.71899999999982</v>
      </c>
      <c r="G48" s="524">
        <f t="shared" si="14"/>
        <v>280.90899999999965</v>
      </c>
      <c r="H48" s="524">
        <f t="shared" si="14"/>
        <v>707.91299999999956</v>
      </c>
      <c r="I48" s="524">
        <f t="shared" si="14"/>
        <v>816.0069999999987</v>
      </c>
      <c r="J48" s="524">
        <f t="shared" si="14"/>
        <v>968.08599999999853</v>
      </c>
      <c r="K48" s="524">
        <f t="shared" si="14"/>
        <v>1459.3019999999983</v>
      </c>
      <c r="L48" s="524">
        <f t="shared" si="14"/>
        <v>1272.9579999999987</v>
      </c>
      <c r="M48" s="524">
        <f t="shared" si="14"/>
        <v>907.87899999999854</v>
      </c>
      <c r="N48" s="524">
        <f t="shared" si="14"/>
        <v>9883.777</v>
      </c>
      <c r="O48" s="524">
        <f t="shared" si="14"/>
        <v>1803.6939999999995</v>
      </c>
      <c r="P48" s="524">
        <v>2113</v>
      </c>
      <c r="Q48" s="524">
        <f t="shared" si="14"/>
        <v>10027</v>
      </c>
      <c r="R48" s="524">
        <f t="shared" si="14"/>
        <v>12851</v>
      </c>
      <c r="S48" s="524">
        <f t="shared" si="14"/>
        <v>8229</v>
      </c>
      <c r="T48" s="524">
        <f t="shared" si="14"/>
        <v>7588</v>
      </c>
      <c r="U48" s="524">
        <f t="shared" si="14"/>
        <v>11996.46400338654</v>
      </c>
      <c r="V48" s="524">
        <f t="shared" si="14"/>
        <v>16788.471408828034</v>
      </c>
      <c r="W48" s="524">
        <f t="shared" ref="W48:AF48" si="15">V49</f>
        <v>16311.502477724836</v>
      </c>
      <c r="X48" s="524">
        <f t="shared" si="15"/>
        <v>18718.544366722545</v>
      </c>
      <c r="Y48" s="524">
        <f t="shared" si="15"/>
        <v>18737.228949552504</v>
      </c>
      <c r="Z48" s="524">
        <f t="shared" si="15"/>
        <v>21713.940144348548</v>
      </c>
      <c r="AA48" s="524">
        <f t="shared" si="15"/>
        <v>29020.684995086729</v>
      </c>
      <c r="AB48" s="524">
        <f t="shared" si="15"/>
        <v>35050.100319751815</v>
      </c>
      <c r="AC48" s="524">
        <f t="shared" si="15"/>
        <v>38259.928606119225</v>
      </c>
      <c r="AD48" s="524">
        <f t="shared" si="15"/>
        <v>42328.223893054717</v>
      </c>
      <c r="AE48" s="524">
        <f t="shared" si="15"/>
        <v>47356.700639049763</v>
      </c>
      <c r="AF48" s="524">
        <f t="shared" si="15"/>
        <v>52103.333445795572</v>
      </c>
      <c r="AG48" s="620"/>
      <c r="AH48"/>
      <c r="AI48"/>
      <c r="AJ48"/>
      <c r="AK48"/>
      <c r="AL48"/>
      <c r="AM48"/>
    </row>
    <row r="49" spans="1:39" s="116" customFormat="1" ht="12.75" customHeight="1" outlineLevel="1" thickBot="1">
      <c r="A49" s="537"/>
      <c r="B49" s="547" t="s">
        <v>339</v>
      </c>
      <c r="C49" s="548">
        <f t="shared" ref="C49:U49" si="16">C48+C47</f>
        <v>123.49000000000004</v>
      </c>
      <c r="D49" s="548">
        <f t="shared" si="16"/>
        <v>616.93100000000004</v>
      </c>
      <c r="E49" s="548">
        <f t="shared" si="16"/>
        <v>194.71899999999982</v>
      </c>
      <c r="F49" s="548">
        <f t="shared" si="16"/>
        <v>280.90899999999965</v>
      </c>
      <c r="G49" s="548">
        <f t="shared" si="16"/>
        <v>707.91299999999956</v>
      </c>
      <c r="H49" s="548">
        <f t="shared" si="16"/>
        <v>816.0069999999987</v>
      </c>
      <c r="I49" s="548">
        <f t="shared" si="16"/>
        <v>968.08599999999853</v>
      </c>
      <c r="J49" s="548">
        <f t="shared" si="16"/>
        <v>1459.3019999999983</v>
      </c>
      <c r="K49" s="549">
        <f t="shared" si="16"/>
        <v>1272.9579999999987</v>
      </c>
      <c r="L49" s="549">
        <f t="shared" si="16"/>
        <v>907.87899999999854</v>
      </c>
      <c r="M49" s="549">
        <f t="shared" si="16"/>
        <v>9883.777</v>
      </c>
      <c r="N49" s="549">
        <f t="shared" si="16"/>
        <v>1803.6939999999995</v>
      </c>
      <c r="O49" s="549">
        <f t="shared" si="16"/>
        <v>2112.806</v>
      </c>
      <c r="P49" s="549">
        <f t="shared" si="16"/>
        <v>10027</v>
      </c>
      <c r="Q49" s="549">
        <f t="shared" si="16"/>
        <v>12851</v>
      </c>
      <c r="R49" s="549">
        <f t="shared" si="16"/>
        <v>8229</v>
      </c>
      <c r="S49" s="549">
        <f t="shared" si="16"/>
        <v>7588</v>
      </c>
      <c r="T49" s="549">
        <f t="shared" si="16"/>
        <v>11996.46400338654</v>
      </c>
      <c r="U49" s="549">
        <f t="shared" si="16"/>
        <v>16788.471408828034</v>
      </c>
      <c r="V49" s="549">
        <f>V48+V47</f>
        <v>16311.502477724836</v>
      </c>
      <c r="W49" s="549">
        <f t="shared" ref="W49:AF49" si="17">W48+W47</f>
        <v>18718.544366722545</v>
      </c>
      <c r="X49" s="549">
        <f t="shared" si="17"/>
        <v>18737.228949552504</v>
      </c>
      <c r="Y49" s="549">
        <f t="shared" si="17"/>
        <v>21713.940144348548</v>
      </c>
      <c r="Z49" s="549">
        <f t="shared" si="17"/>
        <v>29020.684995086729</v>
      </c>
      <c r="AA49" s="549">
        <f t="shared" si="17"/>
        <v>35050.100319751815</v>
      </c>
      <c r="AB49" s="549">
        <f t="shared" si="17"/>
        <v>38259.928606119225</v>
      </c>
      <c r="AC49" s="549">
        <f t="shared" si="17"/>
        <v>42328.223893054717</v>
      </c>
      <c r="AD49" s="549">
        <f t="shared" si="17"/>
        <v>47356.700639049763</v>
      </c>
      <c r="AE49" s="549">
        <f t="shared" si="17"/>
        <v>52103.333445795572</v>
      </c>
      <c r="AF49" s="549">
        <f t="shared" si="17"/>
        <v>58760.583701254742</v>
      </c>
      <c r="AG49" s="619"/>
      <c r="AH49"/>
      <c r="AI49"/>
      <c r="AJ49"/>
      <c r="AK49"/>
      <c r="AL49"/>
      <c r="AM49"/>
    </row>
    <row r="50" spans="1:39" s="116" customFormat="1" ht="12.75" customHeight="1" outlineLevel="1" thickTop="1">
      <c r="A50" s="537"/>
      <c r="B50" s="539"/>
      <c r="C50" s="531"/>
      <c r="D50" s="531"/>
      <c r="E50" s="531"/>
      <c r="F50" s="531"/>
      <c r="G50" s="531"/>
      <c r="H50" s="531"/>
      <c r="I50" s="531"/>
      <c r="J50" s="531"/>
      <c r="K50" s="524"/>
      <c r="L50" s="524"/>
      <c r="M50" s="524"/>
      <c r="N50" s="524"/>
      <c r="O50" s="524"/>
      <c r="P50" s="524"/>
      <c r="Q50" s="524"/>
      <c r="R50" s="524"/>
      <c r="S50" s="524"/>
      <c r="T50" s="524"/>
      <c r="U50" s="524"/>
      <c r="V50" s="524"/>
      <c r="W50" s="524"/>
      <c r="X50" s="524"/>
      <c r="Y50" s="524"/>
      <c r="Z50" s="524"/>
      <c r="AA50" s="524"/>
      <c r="AB50" s="524"/>
      <c r="AC50" s="524"/>
      <c r="AD50" s="524"/>
      <c r="AE50" s="524"/>
      <c r="AF50" s="524"/>
      <c r="AG50" s="619"/>
      <c r="AH50"/>
      <c r="AI50"/>
      <c r="AJ50"/>
      <c r="AK50"/>
      <c r="AL50"/>
      <c r="AM50"/>
    </row>
    <row r="51" spans="1:39" s="116" customFormat="1" ht="12.75" customHeight="1" outlineLevel="1">
      <c r="A51" s="537"/>
      <c r="B51" s="538" t="s">
        <v>340</v>
      </c>
      <c r="C51" s="531">
        <f>BS!C3+BS!C4+BS!C16</f>
        <v>582.851</v>
      </c>
      <c r="D51" s="531">
        <f>BS!D3+BS!D4+BS!D16</f>
        <v>942.37400000000002</v>
      </c>
      <c r="E51" s="531">
        <f>BS!E3+BS!E4+BS!E16</f>
        <v>707</v>
      </c>
      <c r="F51" s="531">
        <f>BS!F3+BS!F4+BS!F16</f>
        <v>1254.038</v>
      </c>
      <c r="G51" s="531">
        <f>BS!G3+BS!G4+BS!G16</f>
        <v>2311.0329999999999</v>
      </c>
      <c r="H51" s="531">
        <f>BS!H3+BS!H4+BS!H16</f>
        <v>1389.5659999999998</v>
      </c>
      <c r="I51" s="531">
        <f>BS!I3+BS!I4+BS!I16</f>
        <v>2722.422</v>
      </c>
      <c r="J51" s="531">
        <f>BS!J3+BS!J4+BS!J16</f>
        <v>3239.6390000000001</v>
      </c>
      <c r="K51" s="531">
        <f>BS!K3+BS!K4+BS!K16</f>
        <v>3904.8460000000005</v>
      </c>
      <c r="L51" s="531">
        <f>BS!L3+BS!L4+BS!L16</f>
        <v>5318.0709999999999</v>
      </c>
      <c r="M51" s="531">
        <f>BS!M3+BS!M4+BS!M16</f>
        <v>9963.9719999999998</v>
      </c>
      <c r="N51" s="531">
        <f>BS!N3+BS!N4+BS!N16</f>
        <v>2582.0860000000002</v>
      </c>
      <c r="O51" s="531">
        <f>BS!O3+BS!O4+BS!O16</f>
        <v>2570.59</v>
      </c>
      <c r="P51" s="531">
        <f>BS!P3+BS!P4+BS!P16</f>
        <v>11726</v>
      </c>
      <c r="Q51" s="531">
        <f>BS!Q3+BS!Q4+BS!Q16</f>
        <v>26208</v>
      </c>
      <c r="R51" s="531">
        <f>BS!R3+BS!R4+BS!R16</f>
        <v>32380</v>
      </c>
      <c r="S51" s="531">
        <f>BS!S3+BS!S4+BS!S16</f>
        <v>36694</v>
      </c>
      <c r="T51" s="531">
        <f>BS!T3+BS!T4+BS!T16</f>
        <v>38810.264003386539</v>
      </c>
      <c r="U51" s="531">
        <f>BS!U3+BS!U4+BS!U16</f>
        <v>41539.291408828038</v>
      </c>
      <c r="V51" s="531">
        <f>BS!V3+BS!V4+BS!V16</f>
        <v>39205.640477724839</v>
      </c>
      <c r="W51" s="531">
        <f>BS!W3+BS!W4+BS!W16</f>
        <v>39941.668566722539</v>
      </c>
      <c r="X51" s="531">
        <f>BS!X3+BS!X4+BS!X16</f>
        <v>38456.440729552502</v>
      </c>
      <c r="Y51" s="531">
        <f>BS!Y3+BS!Y4+BS!Y16</f>
        <v>40079.630746348543</v>
      </c>
      <c r="Z51" s="531">
        <f>BS!Z3+BS!Z4+BS!Z16</f>
        <v>46168.206536886726</v>
      </c>
      <c r="AA51" s="531">
        <f>BS!AA3+BS!AA4+BS!AA16</f>
        <v>51101.269707371815</v>
      </c>
      <c r="AB51" s="531">
        <f>BS!AB3+BS!AB4+BS!AB16</f>
        <v>53324.381054977224</v>
      </c>
      <c r="AC51" s="531">
        <f>BS!AC3+BS!AC4+BS!AC16</f>
        <v>56504.631097026919</v>
      </c>
      <c r="AD51" s="531">
        <f>BS!AD3+BS!AD4+BS!AD16</f>
        <v>60733.867122624739</v>
      </c>
      <c r="AE51" s="531">
        <f>BS!AE3+BS!AE4+BS!AE16</f>
        <v>64761.183281013051</v>
      </c>
      <c r="AF51" s="531">
        <f>BS!AF3+BS!AF4+BS!AF16</f>
        <v>70771.048552950466</v>
      </c>
      <c r="AG51" s="619"/>
      <c r="AH51"/>
      <c r="AI51"/>
      <c r="AJ51"/>
      <c r="AK51"/>
      <c r="AL51"/>
      <c r="AM51"/>
    </row>
    <row r="52" spans="1:39" s="116" customFormat="1" ht="12.75" customHeight="1" outlineLevel="1">
      <c r="A52" s="537"/>
      <c r="B52" s="540"/>
      <c r="C52" s="531"/>
      <c r="D52" s="531"/>
      <c r="E52" s="531"/>
      <c r="F52" s="531"/>
      <c r="G52" s="531"/>
      <c r="H52" s="531"/>
      <c r="I52" s="531"/>
      <c r="J52" s="531"/>
      <c r="K52" s="531"/>
      <c r="L52" s="531"/>
      <c r="M52" s="531"/>
      <c r="N52" s="531"/>
      <c r="O52" s="531"/>
      <c r="P52" s="531"/>
      <c r="Q52" s="531"/>
      <c r="R52" s="531"/>
      <c r="S52" s="531"/>
      <c r="T52" s="531"/>
      <c r="U52" s="531"/>
      <c r="V52" s="531"/>
      <c r="W52" s="531"/>
      <c r="X52" s="531"/>
      <c r="Y52" s="531"/>
      <c r="Z52" s="531"/>
      <c r="AA52" s="531"/>
      <c r="AB52" s="531"/>
      <c r="AC52" s="531"/>
      <c r="AD52" s="531"/>
      <c r="AE52" s="531"/>
      <c r="AF52" s="531"/>
      <c r="AG52" s="619"/>
      <c r="AH52"/>
      <c r="AI52"/>
      <c r="AJ52"/>
      <c r="AK52"/>
      <c r="AL52"/>
      <c r="AM52"/>
    </row>
    <row r="53" spans="1:39" ht="12.75" customHeight="1" outlineLevel="1">
      <c r="B53" s="21" t="s">
        <v>415</v>
      </c>
      <c r="C53" s="4">
        <f>BS!C3-CF!C49</f>
        <v>0</v>
      </c>
      <c r="D53" s="4">
        <f>BS!D3-CF!D49</f>
        <v>0</v>
      </c>
      <c r="E53" s="4">
        <f>BS!E3-CF!E49</f>
        <v>0</v>
      </c>
      <c r="F53" s="4">
        <f>BS!F3-CF!F49</f>
        <v>0</v>
      </c>
      <c r="G53" s="4">
        <f>BS!G3-CF!G49</f>
        <v>0</v>
      </c>
      <c r="H53" s="4">
        <f>BS!H3-CF!H49</f>
        <v>1.2505552149377763E-12</v>
      </c>
      <c r="I53" s="4">
        <f>BS!I3-CF!I49</f>
        <v>1.4779288903810084E-12</v>
      </c>
      <c r="J53" s="4">
        <f>BS!J3-CF!J49</f>
        <v>0</v>
      </c>
      <c r="K53" s="4">
        <f>BS!K3-CF!K49</f>
        <v>0</v>
      </c>
      <c r="L53" s="4">
        <f>BS!L3-CF!L49</f>
        <v>1.4779288903810084E-12</v>
      </c>
      <c r="M53" s="4">
        <f>BS!M3-CF!M49</f>
        <v>0</v>
      </c>
      <c r="N53" s="4">
        <f>ROUND(BS!N3-CF!N49,3)</f>
        <v>0</v>
      </c>
      <c r="O53" s="4">
        <f>BS!O3-CF!O49</f>
        <v>0</v>
      </c>
      <c r="P53" s="4">
        <f>BS!P3-CF!P49</f>
        <v>0</v>
      </c>
      <c r="Q53" s="4">
        <f>BS!Q3-CF!Q49</f>
        <v>0</v>
      </c>
      <c r="R53" s="4">
        <f>BS!R3-CF!R49</f>
        <v>0</v>
      </c>
      <c r="S53" s="4">
        <f>BS!S3-CF!S49</f>
        <v>0</v>
      </c>
      <c r="T53" s="4">
        <f>BS!T3-CF!T49</f>
        <v>0</v>
      </c>
      <c r="U53" s="4">
        <f>BS!U3-CF!U49</f>
        <v>0</v>
      </c>
      <c r="V53" s="4">
        <f>BS!V3-CF!V49</f>
        <v>0</v>
      </c>
      <c r="W53" s="4">
        <f>BS!W3-CF!W49</f>
        <v>0</v>
      </c>
      <c r="X53" s="4">
        <f>BS!X3-CF!X49</f>
        <v>0</v>
      </c>
      <c r="Y53" s="4">
        <f>BS!Y3-CF!Y49</f>
        <v>0</v>
      </c>
      <c r="Z53" s="4">
        <f>BS!Z3-CF!Z49</f>
        <v>0</v>
      </c>
      <c r="AA53" s="4">
        <f>BS!AA3-CF!AA49</f>
        <v>0</v>
      </c>
      <c r="AB53" s="4">
        <f>BS!AB3-CF!AB49</f>
        <v>0</v>
      </c>
      <c r="AC53" s="4">
        <f>BS!AC3-CF!AC49</f>
        <v>0</v>
      </c>
      <c r="AD53" s="4">
        <f>BS!AD3-CF!AD49</f>
        <v>0</v>
      </c>
      <c r="AE53" s="4">
        <f>BS!AE3-CF!AE49</f>
        <v>0</v>
      </c>
      <c r="AF53" s="4">
        <f>BS!AF3-CF!AF49</f>
        <v>0</v>
      </c>
    </row>
    <row r="54" spans="1:39" ht="12.75" customHeight="1">
      <c r="A54" s="43"/>
      <c r="B54" s="48"/>
      <c r="C54" s="63"/>
      <c r="D54" s="63"/>
      <c r="E54" s="63"/>
      <c r="F54" s="63"/>
      <c r="G54" s="63"/>
      <c r="H54" s="63"/>
      <c r="I54" s="63"/>
      <c r="J54" s="63"/>
      <c r="K54" s="63"/>
      <c r="L54" s="63"/>
      <c r="M54" s="63"/>
      <c r="N54" s="63"/>
      <c r="O54" s="63"/>
      <c r="P54" s="63"/>
      <c r="Q54" s="63"/>
      <c r="R54" s="63"/>
      <c r="S54" s="63"/>
      <c r="T54" s="63"/>
      <c r="U54" s="63"/>
      <c r="V54" s="63"/>
      <c r="W54" s="63"/>
      <c r="X54" s="63"/>
      <c r="Y54" s="63"/>
      <c r="Z54" s="63"/>
      <c r="AA54" s="63"/>
      <c r="AB54" s="63"/>
      <c r="AC54" s="63"/>
      <c r="AD54" s="63"/>
      <c r="AE54" s="63"/>
      <c r="AF54" s="63"/>
      <c r="AG54" s="621"/>
    </row>
    <row r="55" spans="1:39" ht="12.75" customHeight="1">
      <c r="A55" s="43"/>
      <c r="B55" s="13" t="s">
        <v>341</v>
      </c>
      <c r="C55" s="28"/>
      <c r="D55" s="28"/>
      <c r="E55" s="28"/>
      <c r="F55" s="28"/>
      <c r="G55" s="28"/>
      <c r="H55" s="28"/>
      <c r="I55" s="28"/>
      <c r="J55" s="28"/>
      <c r="K55" s="28"/>
      <c r="L55" s="28"/>
      <c r="M55" s="28"/>
      <c r="N55" s="28"/>
      <c r="O55" s="28"/>
      <c r="P55" s="28"/>
      <c r="Q55" s="28"/>
      <c r="R55" s="28"/>
      <c r="S55" s="28"/>
      <c r="T55" s="28"/>
      <c r="U55" s="28"/>
      <c r="V55" s="28"/>
      <c r="W55" s="28"/>
      <c r="X55" s="28"/>
      <c r="Y55" s="28"/>
      <c r="Z55" s="28"/>
      <c r="AA55" s="28"/>
      <c r="AB55" s="28"/>
      <c r="AC55" s="28"/>
      <c r="AD55" s="28"/>
      <c r="AE55" s="28"/>
      <c r="AF55" s="28"/>
      <c r="AG55" s="618"/>
    </row>
    <row r="56" spans="1:39" ht="12.75" customHeight="1" outlineLevel="1">
      <c r="A56" s="43"/>
      <c r="B56" s="13"/>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618"/>
    </row>
    <row r="57" spans="1:39" ht="12.75" customHeight="1" outlineLevel="1">
      <c r="A57" s="56"/>
      <c r="B57" s="64" t="s">
        <v>342</v>
      </c>
      <c r="C57" s="58">
        <f t="shared" ref="C57:AF57" si="18">C20</f>
        <v>-126.97899999999994</v>
      </c>
      <c r="D57" s="58">
        <f t="shared" si="18"/>
        <v>74.409000000000006</v>
      </c>
      <c r="E57" s="58">
        <f t="shared" si="18"/>
        <v>234.60699999999991</v>
      </c>
      <c r="F57" s="58">
        <f t="shared" si="18"/>
        <v>511.37799999999993</v>
      </c>
      <c r="G57" s="58">
        <f t="shared" si="18"/>
        <v>705.64199999999994</v>
      </c>
      <c r="H57" s="58">
        <f t="shared" si="18"/>
        <v>1218.0589999999993</v>
      </c>
      <c r="I57" s="58">
        <f t="shared" si="18"/>
        <v>1765.3979999999999</v>
      </c>
      <c r="J57" s="58">
        <f t="shared" si="18"/>
        <v>2143.384</v>
      </c>
      <c r="K57" s="58">
        <f t="shared" si="18"/>
        <v>3080.0540000000001</v>
      </c>
      <c r="L57" s="58">
        <f t="shared" si="18"/>
        <v>2833.9129999999996</v>
      </c>
      <c r="M57" s="58">
        <f t="shared" si="18"/>
        <v>3639.01</v>
      </c>
      <c r="N57" s="58">
        <f t="shared" si="18"/>
        <v>3194.7160000000003</v>
      </c>
      <c r="O57" s="57">
        <f t="shared" si="18"/>
        <v>3104.9880000000003</v>
      </c>
      <c r="P57" s="58">
        <f t="shared" si="18"/>
        <v>12818</v>
      </c>
      <c r="Q57" s="58">
        <f t="shared" si="18"/>
        <v>20329</v>
      </c>
      <c r="R57" s="58">
        <f t="shared" si="18"/>
        <v>16669</v>
      </c>
      <c r="S57" s="58">
        <f t="shared" si="18"/>
        <v>11898</v>
      </c>
      <c r="T57" s="58">
        <f t="shared" si="18"/>
        <v>6760.288201167411</v>
      </c>
      <c r="U57" s="58">
        <f t="shared" si="18"/>
        <v>9756.6027836619414</v>
      </c>
      <c r="V57" s="58">
        <f t="shared" si="18"/>
        <v>10485.71858758569</v>
      </c>
      <c r="W57" s="58">
        <f t="shared" si="18"/>
        <v>10184.892408760625</v>
      </c>
      <c r="X57" s="58">
        <f t="shared" si="18"/>
        <v>10461.609829038731</v>
      </c>
      <c r="Y57" s="58">
        <f t="shared" si="18"/>
        <v>11087.922782690732</v>
      </c>
      <c r="Z57" s="58">
        <f t="shared" si="18"/>
        <v>11881.510275720957</v>
      </c>
      <c r="AA57" s="58">
        <f t="shared" si="18"/>
        <v>9881.6462029247778</v>
      </c>
      <c r="AB57" s="58">
        <f t="shared" si="18"/>
        <v>8123.3591205961429</v>
      </c>
      <c r="AC57" s="58">
        <f t="shared" si="18"/>
        <v>7744.5006172823014</v>
      </c>
      <c r="AD57" s="58">
        <f t="shared" si="18"/>
        <v>7865.5903923419082</v>
      </c>
      <c r="AE57" s="58">
        <f>AE20</f>
        <v>8093.5944892556709</v>
      </c>
      <c r="AF57" s="58">
        <f t="shared" si="18"/>
        <v>10338.02760766865</v>
      </c>
      <c r="AG57" s="615"/>
    </row>
    <row r="58" spans="1:39" ht="12.75" customHeight="1" outlineLevel="1">
      <c r="A58" s="56"/>
      <c r="B58" s="99" t="s">
        <v>343</v>
      </c>
      <c r="C58" s="58">
        <f t="shared" ref="C58:AF58" si="19">C26</f>
        <v>-26.331</v>
      </c>
      <c r="D58" s="58">
        <f t="shared" si="19"/>
        <v>-17.597000000000001</v>
      </c>
      <c r="E58" s="58">
        <f t="shared" si="19"/>
        <v>-161.60900000000001</v>
      </c>
      <c r="F58" s="58">
        <f t="shared" si="19"/>
        <v>-51.366</v>
      </c>
      <c r="G58" s="58">
        <f t="shared" si="19"/>
        <v>-47.951000000000001</v>
      </c>
      <c r="H58" s="58">
        <f t="shared" si="19"/>
        <v>-105.208</v>
      </c>
      <c r="I58" s="58">
        <f t="shared" si="19"/>
        <v>-78.647999999999996</v>
      </c>
      <c r="J58" s="58">
        <f t="shared" si="19"/>
        <v>-115.005</v>
      </c>
      <c r="K58" s="58">
        <f t="shared" si="19"/>
        <v>-230.05699999999999</v>
      </c>
      <c r="L58" s="58">
        <f t="shared" si="19"/>
        <v>-61.884</v>
      </c>
      <c r="M58" s="58">
        <f t="shared" si="19"/>
        <v>-131.904</v>
      </c>
      <c r="N58" s="58">
        <f t="shared" si="19"/>
        <v>-397.04599999999999</v>
      </c>
      <c r="O58" s="58">
        <f t="shared" si="19"/>
        <v>-190.78200000000001</v>
      </c>
      <c r="P58" s="58">
        <f t="shared" si="19"/>
        <v>-557</v>
      </c>
      <c r="Q58" s="58">
        <f t="shared" si="19"/>
        <v>-747</v>
      </c>
      <c r="R58" s="58">
        <f t="shared" si="19"/>
        <v>-748</v>
      </c>
      <c r="S58" s="58">
        <f t="shared" si="19"/>
        <v>-590</v>
      </c>
      <c r="T58" s="58">
        <f t="shared" si="19"/>
        <v>-528.06634267660718</v>
      </c>
      <c r="U58" s="58">
        <f t="shared" si="19"/>
        <v>-588.99765758484205</v>
      </c>
      <c r="V58" s="58">
        <f t="shared" si="19"/>
        <v>-683.21400929294691</v>
      </c>
      <c r="W58" s="58">
        <f t="shared" si="19"/>
        <v>-699.83282344152383</v>
      </c>
      <c r="X58" s="58">
        <f t="shared" si="19"/>
        <v>-778.52540417621879</v>
      </c>
      <c r="Y58" s="58">
        <f t="shared" si="19"/>
        <v>-865.86998592633381</v>
      </c>
      <c r="Z58" s="58">
        <f t="shared" si="19"/>
        <v>-958.81253592495887</v>
      </c>
      <c r="AA58" s="58">
        <f t="shared" si="19"/>
        <v>-789.40750726216459</v>
      </c>
      <c r="AB58" s="58">
        <f t="shared" si="19"/>
        <v>-762.2951327466094</v>
      </c>
      <c r="AC58" s="58">
        <f t="shared" si="19"/>
        <v>-797.59791804911481</v>
      </c>
      <c r="AD58" s="58">
        <f t="shared" si="19"/>
        <v>-836.61742201626907</v>
      </c>
      <c r="AE58" s="58">
        <f t="shared" si="19"/>
        <v>-738.81127074845654</v>
      </c>
      <c r="AF58" s="58">
        <f t="shared" si="19"/>
        <v>-742.4974533327786</v>
      </c>
      <c r="AG58" s="615"/>
    </row>
    <row r="59" spans="1:39" ht="12.75" customHeight="1" outlineLevel="1">
      <c r="A59" s="56"/>
      <c r="B59" s="99" t="s">
        <v>344</v>
      </c>
      <c r="C59" s="58">
        <f t="shared" ref="C59:AF59" si="20">C33+C9</f>
        <v>1.5</v>
      </c>
      <c r="D59" s="58">
        <f t="shared" si="20"/>
        <v>0.35</v>
      </c>
      <c r="E59" s="58">
        <f t="shared" si="20"/>
        <v>132.363</v>
      </c>
      <c r="F59" s="58">
        <f t="shared" si="20"/>
        <v>22.012</v>
      </c>
      <c r="G59" s="58">
        <f t="shared" si="20"/>
        <v>168.47</v>
      </c>
      <c r="H59" s="58">
        <f t="shared" si="20"/>
        <v>222.839</v>
      </c>
      <c r="I59" s="58">
        <f t="shared" si="20"/>
        <v>186.95400000000001</v>
      </c>
      <c r="J59" s="58">
        <f t="shared" si="20"/>
        <v>401.45799999999997</v>
      </c>
      <c r="K59" s="58">
        <f t="shared" si="20"/>
        <v>168.554</v>
      </c>
      <c r="L59" s="58">
        <f t="shared" si="20"/>
        <v>163.70600000000002</v>
      </c>
      <c r="M59" s="58">
        <f t="shared" si="20"/>
        <v>78.079000000000008</v>
      </c>
      <c r="N59" s="58">
        <f t="shared" si="20"/>
        <v>112.629</v>
      </c>
      <c r="O59" s="58">
        <f t="shared" si="20"/>
        <v>284.65499999999997</v>
      </c>
      <c r="P59" s="58">
        <f t="shared" si="20"/>
        <v>484</v>
      </c>
      <c r="Q59" s="58">
        <f t="shared" si="20"/>
        <v>586</v>
      </c>
      <c r="R59" s="58">
        <f t="shared" si="20"/>
        <v>-8</v>
      </c>
      <c r="S59" s="58">
        <f t="shared" si="20"/>
        <v>0</v>
      </c>
      <c r="T59" s="58">
        <f t="shared" si="20"/>
        <v>89.073387288383074</v>
      </c>
      <c r="U59" s="58">
        <f t="shared" si="20"/>
        <v>79.364388073949343</v>
      </c>
      <c r="V59" s="58">
        <f t="shared" si="20"/>
        <v>42.428201864333317</v>
      </c>
      <c r="W59" s="58">
        <f t="shared" si="20"/>
        <v>42.47063006619765</v>
      </c>
      <c r="X59" s="58">
        <f t="shared" si="20"/>
        <v>42.513100696263841</v>
      </c>
      <c r="Y59" s="58">
        <f t="shared" si="20"/>
        <v>42.55561379696011</v>
      </c>
      <c r="Z59" s="58">
        <f t="shared" si="20"/>
        <v>42.598169410757073</v>
      </c>
      <c r="AA59" s="58">
        <f t="shared" si="20"/>
        <v>42.640767580167825</v>
      </c>
      <c r="AB59" s="58">
        <f t="shared" si="20"/>
        <v>42.683408347748006</v>
      </c>
      <c r="AC59" s="58">
        <f>AC33+AC9</f>
        <v>42.726091756095762</v>
      </c>
      <c r="AD59" s="58">
        <f>AD33+AD9</f>
        <v>42.768817847851878</v>
      </c>
      <c r="AE59" s="58">
        <f t="shared" si="20"/>
        <v>42.811586665699721</v>
      </c>
      <c r="AF59" s="58">
        <f t="shared" si="20"/>
        <v>42.854398252365435</v>
      </c>
      <c r="AG59" s="615"/>
    </row>
    <row r="60" spans="1:39" ht="12.75" customHeight="1" outlineLevel="1">
      <c r="A60" s="54"/>
      <c r="B60" s="159" t="s">
        <v>345</v>
      </c>
      <c r="C60" s="143">
        <f>SUM(C57:C59)</f>
        <v>-151.80999999999995</v>
      </c>
      <c r="D60" s="143">
        <f t="shared" ref="D60:U60" si="21">SUM(D57:D59)</f>
        <v>57.162000000000006</v>
      </c>
      <c r="E60" s="143">
        <f t="shared" si="21"/>
        <v>205.3609999999999</v>
      </c>
      <c r="F60" s="143">
        <f t="shared" si="21"/>
        <v>482.02399999999994</v>
      </c>
      <c r="G60" s="143">
        <f t="shared" si="21"/>
        <v>826.16099999999994</v>
      </c>
      <c r="H60" s="143">
        <f t="shared" si="21"/>
        <v>1335.6899999999991</v>
      </c>
      <c r="I60" s="143">
        <f t="shared" si="21"/>
        <v>1873.704</v>
      </c>
      <c r="J60" s="143">
        <f t="shared" si="21"/>
        <v>2429.837</v>
      </c>
      <c r="K60" s="143">
        <f t="shared" si="21"/>
        <v>3018.5510000000004</v>
      </c>
      <c r="L60" s="143">
        <f t="shared" si="21"/>
        <v>2935.7349999999997</v>
      </c>
      <c r="M60" s="143">
        <f t="shared" si="21"/>
        <v>3585.1850000000004</v>
      </c>
      <c r="N60" s="143">
        <f t="shared" si="21"/>
        <v>2910.2990000000004</v>
      </c>
      <c r="O60" s="143">
        <f t="shared" si="21"/>
        <v>3198.8609999999999</v>
      </c>
      <c r="P60" s="143">
        <f t="shared" si="21"/>
        <v>12745</v>
      </c>
      <c r="Q60" s="143">
        <f t="shared" si="21"/>
        <v>20168</v>
      </c>
      <c r="R60" s="143">
        <f t="shared" si="21"/>
        <v>15913</v>
      </c>
      <c r="S60" s="143">
        <f t="shared" si="21"/>
        <v>11308</v>
      </c>
      <c r="T60" s="143">
        <f t="shared" si="21"/>
        <v>6321.2952457791871</v>
      </c>
      <c r="U60" s="143">
        <f t="shared" si="21"/>
        <v>9246.9695141510492</v>
      </c>
      <c r="V60" s="143">
        <f>SUM(V57:V59)</f>
        <v>9844.9327801570762</v>
      </c>
      <c r="W60" s="143">
        <f t="shared" ref="W60:AF60" si="22">SUM(W57:W59)</f>
        <v>9527.530215385299</v>
      </c>
      <c r="X60" s="143">
        <f t="shared" si="22"/>
        <v>9725.5975255587764</v>
      </c>
      <c r="Y60" s="143">
        <f t="shared" si="22"/>
        <v>10264.608410561357</v>
      </c>
      <c r="Z60" s="143">
        <f t="shared" si="22"/>
        <v>10965.295909206756</v>
      </c>
      <c r="AA60" s="143">
        <f t="shared" si="22"/>
        <v>9134.8794632427798</v>
      </c>
      <c r="AB60" s="143">
        <f t="shared" si="22"/>
        <v>7403.747396197281</v>
      </c>
      <c r="AC60" s="143">
        <f t="shared" si="22"/>
        <v>6989.6287909892826</v>
      </c>
      <c r="AD60" s="143">
        <f t="shared" si="22"/>
        <v>7071.7417881734909</v>
      </c>
      <c r="AE60" s="143">
        <f>SUM(AE57:AE59)</f>
        <v>7397.5948051729147</v>
      </c>
      <c r="AF60" s="143">
        <f t="shared" si="22"/>
        <v>9638.3845525882371</v>
      </c>
      <c r="AG60" s="622"/>
    </row>
    <row r="61" spans="1:39" ht="12.75" customHeight="1" outlineLevel="1">
      <c r="A61" s="56"/>
      <c r="B61" s="64" t="s">
        <v>317</v>
      </c>
      <c r="C61" s="58"/>
      <c r="D61" s="58"/>
      <c r="E61" s="58"/>
      <c r="F61" s="58"/>
      <c r="G61" s="58"/>
      <c r="H61" s="58"/>
      <c r="I61" s="58"/>
      <c r="J61" s="57">
        <f>IS!AL87</f>
        <v>1917.65</v>
      </c>
      <c r="K61" s="57">
        <f>IS!AQ87</f>
        <v>1868.2180000000001</v>
      </c>
      <c r="L61" s="57">
        <f>IS!AV87</f>
        <v>1746.7919999999999</v>
      </c>
      <c r="M61" s="57">
        <f>IS!BA87</f>
        <v>1580.1475</v>
      </c>
      <c r="N61" s="57">
        <f>IS!BF87</f>
        <v>1582.549</v>
      </c>
      <c r="O61" s="57">
        <f>IS!BK87</f>
        <v>1686.4367499999998</v>
      </c>
      <c r="P61" s="57">
        <f>IS!BP87</f>
        <v>1647</v>
      </c>
      <c r="Q61" s="57">
        <f>IS!BU87</f>
        <v>1521</v>
      </c>
      <c r="R61" s="57">
        <f>IS!BZ87</f>
        <v>1358</v>
      </c>
      <c r="S61" s="57">
        <f>IS!CE87</f>
        <v>1315.75</v>
      </c>
      <c r="T61" s="57">
        <f>IS!CJ87</f>
        <v>1315.5260104246368</v>
      </c>
      <c r="U61" s="57">
        <f>IS!CO87</f>
        <v>1292.2082174493114</v>
      </c>
      <c r="V61" s="57">
        <f>IS!CT87</f>
        <v>1233.8670627813599</v>
      </c>
      <c r="W61" s="57">
        <f>IS!CY87</f>
        <v>1173.8079242695992</v>
      </c>
      <c r="X61" s="57">
        <f>IS!DD87</f>
        <v>1126.0751344289465</v>
      </c>
      <c r="Y61" s="57">
        <f>IS!DI87</f>
        <v>1078.1081694306474</v>
      </c>
      <c r="Z61" s="57">
        <f>IS!DN87</f>
        <v>1050.06199945358</v>
      </c>
      <c r="AA61" s="57">
        <f>IS!DS87</f>
        <v>1041.9558034431557</v>
      </c>
      <c r="AB61" s="57">
        <f>IS!DX87</f>
        <v>1033.6731398250083</v>
      </c>
      <c r="AC61" s="57">
        <f>IS!EC87</f>
        <v>1025.2298906838334</v>
      </c>
      <c r="AD61" s="57">
        <f>IS!EH87</f>
        <v>1016.640508716703</v>
      </c>
      <c r="AE61" s="57">
        <f>IS!EM87</f>
        <v>1007.9181458779533</v>
      </c>
      <c r="AF61" s="57">
        <f>IS!ER87</f>
        <v>999.07477044603013</v>
      </c>
      <c r="AG61" s="623"/>
    </row>
    <row r="62" spans="1:39" ht="12.75" customHeight="1" outlineLevel="1">
      <c r="A62" s="65"/>
      <c r="B62" s="100" t="s">
        <v>346</v>
      </c>
      <c r="C62" s="66"/>
      <c r="D62" s="66"/>
      <c r="E62" s="66"/>
      <c r="F62" s="66"/>
      <c r="G62" s="66"/>
      <c r="H62" s="66"/>
      <c r="I62" s="66"/>
      <c r="J62" s="66">
        <v>51.14</v>
      </c>
      <c r="K62" s="66">
        <v>43.27</v>
      </c>
      <c r="L62" s="678">
        <v>36.24</v>
      </c>
      <c r="M62" s="678">
        <v>40.93</v>
      </c>
      <c r="N62" s="678">
        <v>36.72</v>
      </c>
      <c r="O62" s="678">
        <v>56.06</v>
      </c>
      <c r="P62" s="678">
        <v>88.31</v>
      </c>
      <c r="Q62" s="678">
        <v>106.53</v>
      </c>
      <c r="R62" s="678">
        <v>83.58</v>
      </c>
      <c r="S62" s="678">
        <v>70.708973964143425</v>
      </c>
      <c r="T62" s="66">
        <f t="shared" ref="T62:AF62" si="23">S62*(1+$AG$62)</f>
        <v>77.779871360557777</v>
      </c>
      <c r="U62" s="66">
        <f t="shared" si="23"/>
        <v>85.557858496613562</v>
      </c>
      <c r="V62" s="66">
        <f t="shared" si="23"/>
        <v>94.113644346274924</v>
      </c>
      <c r="W62" s="66">
        <f t="shared" si="23"/>
        <v>103.52500878090243</v>
      </c>
      <c r="X62" s="66">
        <f t="shared" si="23"/>
        <v>113.87750965899268</v>
      </c>
      <c r="Y62" s="66">
        <f t="shared" si="23"/>
        <v>125.26526062489195</v>
      </c>
      <c r="Z62" s="66">
        <f t="shared" si="23"/>
        <v>137.79178668738115</v>
      </c>
      <c r="AA62" s="66">
        <f t="shared" si="23"/>
        <v>151.57096535611927</v>
      </c>
      <c r="AB62" s="66">
        <f t="shared" si="23"/>
        <v>166.72806189173122</v>
      </c>
      <c r="AC62" s="66">
        <f t="shared" si="23"/>
        <v>183.40086808090436</v>
      </c>
      <c r="AD62" s="66">
        <f t="shared" si="23"/>
        <v>201.74095488899482</v>
      </c>
      <c r="AE62" s="66">
        <f t="shared" si="23"/>
        <v>221.91505037789432</v>
      </c>
      <c r="AF62" s="66">
        <f t="shared" si="23"/>
        <v>244.10655541568377</v>
      </c>
      <c r="AG62" s="386">
        <v>0.1</v>
      </c>
    </row>
    <row r="63" spans="1:39" ht="12.75" customHeight="1" outlineLevel="1">
      <c r="A63" s="54"/>
      <c r="B63" s="159" t="s">
        <v>347</v>
      </c>
      <c r="C63" s="143"/>
      <c r="D63" s="143"/>
      <c r="E63" s="143"/>
      <c r="F63" s="143"/>
      <c r="G63" s="143"/>
      <c r="H63" s="143"/>
      <c r="I63" s="143"/>
      <c r="J63" s="55">
        <f>J61*J62</f>
        <v>98068.620999999999</v>
      </c>
      <c r="K63" s="55">
        <f t="shared" ref="K63:U63" si="24">K61*K62</f>
        <v>80837.792860000016</v>
      </c>
      <c r="L63" s="55">
        <f t="shared" si="24"/>
        <v>63303.742080000004</v>
      </c>
      <c r="M63" s="55">
        <f t="shared" si="24"/>
        <v>64675.437174999999</v>
      </c>
      <c r="N63" s="55">
        <f t="shared" si="24"/>
        <v>58111.199280000001</v>
      </c>
      <c r="O63" s="55">
        <f t="shared" si="24"/>
        <v>94541.64420499999</v>
      </c>
      <c r="P63" s="139">
        <f t="shared" si="24"/>
        <v>145446.57</v>
      </c>
      <c r="Q63" s="139">
        <f t="shared" si="24"/>
        <v>162032.13</v>
      </c>
      <c r="R63" s="139">
        <f t="shared" si="24"/>
        <v>113501.64</v>
      </c>
      <c r="S63" s="139">
        <f t="shared" si="24"/>
        <v>93035.332493321708</v>
      </c>
      <c r="T63" s="139">
        <f t="shared" si="24"/>
        <v>102321.44386229603</v>
      </c>
      <c r="U63" s="139">
        <f t="shared" si="24"/>
        <v>110558.56781668944</v>
      </c>
      <c r="V63" s="139">
        <f>V61*V62</f>
        <v>116123.72591718778</v>
      </c>
      <c r="W63" s="139">
        <f t="shared" ref="W63:AF63" si="25">W61*W62</f>
        <v>121518.47566710311</v>
      </c>
      <c r="X63" s="139">
        <f t="shared" si="25"/>
        <v>128234.63199768384</v>
      </c>
      <c r="Y63" s="139">
        <f t="shared" si="25"/>
        <v>135049.50082555521</v>
      </c>
      <c r="Z63" s="139">
        <f t="shared" si="25"/>
        <v>144689.91903723264</v>
      </c>
      <c r="AA63" s="139">
        <f t="shared" si="25"/>
        <v>157930.24698628997</v>
      </c>
      <c r="AB63" s="139">
        <f t="shared" si="25"/>
        <v>172342.31923256413</v>
      </c>
      <c r="AC63" s="139">
        <f t="shared" si="25"/>
        <v>188028.05193390572</v>
      </c>
      <c r="AD63" s="139">
        <f t="shared" si="25"/>
        <v>205098.02700734112</v>
      </c>
      <c r="AE63" s="139">
        <f t="shared" si="25"/>
        <v>223672.20611929984</v>
      </c>
      <c r="AF63" s="139">
        <f t="shared" si="25"/>
        <v>243880.7008162954</v>
      </c>
      <c r="AG63" s="624"/>
    </row>
    <row r="64" spans="1:39" ht="12.75" customHeight="1" outlineLevel="1">
      <c r="A64" s="84"/>
      <c r="B64" s="161" t="s">
        <v>348</v>
      </c>
      <c r="C64" s="110"/>
      <c r="D64" s="110"/>
      <c r="E64" s="110"/>
      <c r="F64" s="110"/>
      <c r="G64" s="110"/>
      <c r="H64" s="110"/>
      <c r="I64" s="110"/>
      <c r="J64" s="76">
        <f>J60/J63</f>
        <v>2.4776905958532852E-2</v>
      </c>
      <c r="K64" s="76">
        <f t="shared" ref="K64:U64" si="26">K60/K63</f>
        <v>3.7340838897317707E-2</v>
      </c>
      <c r="L64" s="76">
        <f t="shared" si="26"/>
        <v>4.6375378509061427E-2</v>
      </c>
      <c r="M64" s="76">
        <f t="shared" si="26"/>
        <v>5.5433486909398699E-2</v>
      </c>
      <c r="N64" s="76">
        <f t="shared" si="26"/>
        <v>5.0081551164985701E-2</v>
      </c>
      <c r="O64" s="76">
        <f t="shared" si="26"/>
        <v>3.3835470356996633E-2</v>
      </c>
      <c r="P64" s="76">
        <f t="shared" si="26"/>
        <v>8.7626679680380223E-2</v>
      </c>
      <c r="Q64" s="76">
        <f t="shared" si="26"/>
        <v>0.12446914078090561</v>
      </c>
      <c r="R64" s="76">
        <f t="shared" si="26"/>
        <v>0.14020061736552883</v>
      </c>
      <c r="S64" s="76">
        <f t="shared" si="26"/>
        <v>0.12154522047644334</v>
      </c>
      <c r="T64" s="76">
        <f t="shared" si="26"/>
        <v>6.1778792471755696E-2</v>
      </c>
      <c r="U64" s="76">
        <f t="shared" si="26"/>
        <v>8.3638651411285445E-2</v>
      </c>
      <c r="V64" s="76">
        <f>V60/V63</f>
        <v>8.4779683931067371E-2</v>
      </c>
      <c r="W64" s="76">
        <f t="shared" ref="W64:AF64" si="27">W60/W63</f>
        <v>7.8403964196240697E-2</v>
      </c>
      <c r="X64" s="76">
        <f t="shared" si="27"/>
        <v>7.5842207163930878E-2</v>
      </c>
      <c r="Y64" s="76">
        <f t="shared" si="27"/>
        <v>7.6006266945186668E-2</v>
      </c>
      <c r="Z64" s="76">
        <f t="shared" si="27"/>
        <v>7.5784795389823176E-2</v>
      </c>
      <c r="AA64" s="76">
        <f t="shared" si="27"/>
        <v>5.7841228248289793E-2</v>
      </c>
      <c r="AB64" s="76">
        <f t="shared" si="27"/>
        <v>4.2959543710250479E-2</v>
      </c>
      <c r="AC64" s="76">
        <f t="shared" si="27"/>
        <v>3.7173329825521073E-2</v>
      </c>
      <c r="AD64" s="76">
        <f t="shared" si="27"/>
        <v>3.4479813830292819E-2</v>
      </c>
      <c r="AE64" s="76">
        <f t="shared" si="27"/>
        <v>3.3073375246396357E-2</v>
      </c>
      <c r="AF64" s="76">
        <f t="shared" si="27"/>
        <v>3.9520899031073427E-2</v>
      </c>
      <c r="AG64" s="625"/>
    </row>
    <row r="65" spans="1:33" ht="12.75" customHeight="1" outlineLevel="1">
      <c r="A65" s="84"/>
      <c r="B65" s="161" t="s">
        <v>349</v>
      </c>
      <c r="C65" s="110"/>
      <c r="D65" s="110"/>
      <c r="E65" s="110"/>
      <c r="F65" s="110"/>
      <c r="G65" s="110"/>
      <c r="H65" s="110"/>
      <c r="I65" s="110"/>
      <c r="J65" s="76"/>
      <c r="K65" s="76"/>
      <c r="L65" s="76"/>
      <c r="M65" s="76">
        <f t="shared" ref="M65:U65" si="28">-M42/M60</f>
        <v>0.66471660458246917</v>
      </c>
      <c r="N65" s="76">
        <f t="shared" si="28"/>
        <v>0.22920016122054812</v>
      </c>
      <c r="O65" s="76">
        <f t="shared" si="28"/>
        <v>0.18205167401772068</v>
      </c>
      <c r="P65" s="76">
        <f t="shared" si="28"/>
        <v>0.41969399764613574</v>
      </c>
      <c r="Q65" s="76">
        <f t="shared" si="28"/>
        <v>0.4959341531138437</v>
      </c>
      <c r="R65" s="76">
        <f t="shared" si="28"/>
        <v>0.69132156098787156</v>
      </c>
      <c r="S65" s="76">
        <f t="shared" si="28"/>
        <v>8.4365051291121332E-2</v>
      </c>
      <c r="T65" s="76">
        <f t="shared" si="28"/>
        <v>0.12304419954516826</v>
      </c>
      <c r="U65" s="76">
        <f t="shared" si="28"/>
        <v>0.4626264765212027</v>
      </c>
      <c r="V65" s="76">
        <f>-V42/V60</f>
        <v>0.71697019000448681</v>
      </c>
      <c r="W65" s="76">
        <f t="shared" ref="W65:AF65" si="29">-W42/W60</f>
        <v>0.54329404599382747</v>
      </c>
      <c r="X65" s="76">
        <f t="shared" si="29"/>
        <v>0.5854525100371657</v>
      </c>
      <c r="Y65" s="76">
        <f t="shared" si="29"/>
        <v>0.61018041611799467</v>
      </c>
      <c r="Z65" s="76">
        <f t="shared" si="29"/>
        <v>0.12566171294263703</v>
      </c>
      <c r="AA65" s="76">
        <f t="shared" si="29"/>
        <v>0.16592552311830208</v>
      </c>
      <c r="AB65" s="76">
        <f t="shared" si="29"/>
        <v>0.22519415232530246</v>
      </c>
      <c r="AC65" s="76">
        <f t="shared" si="29"/>
        <v>0.26238999747359487</v>
      </c>
      <c r="AD65" s="76">
        <f t="shared" si="29"/>
        <v>0.28527760335703806</v>
      </c>
      <c r="AE65" s="76">
        <f t="shared" si="29"/>
        <v>0.29998270549059514</v>
      </c>
      <c r="AF65" s="76">
        <f t="shared" si="29"/>
        <v>0.25326500938389385</v>
      </c>
      <c r="AG65" s="625"/>
    </row>
    <row r="66" spans="1:33" ht="12.75" customHeight="1">
      <c r="A66" s="43"/>
      <c r="B66" s="43"/>
      <c r="C66" s="43"/>
      <c r="D66" s="43"/>
      <c r="E66" s="43"/>
      <c r="F66" s="43"/>
      <c r="G66" s="43"/>
      <c r="H66" s="43"/>
      <c r="I66" s="43"/>
      <c r="J66" s="46"/>
      <c r="K66" s="46"/>
      <c r="L66" s="46"/>
      <c r="M66" s="67"/>
      <c r="N66" s="67"/>
      <c r="O66" s="67"/>
      <c r="P66" s="67"/>
      <c r="Q66" s="67"/>
      <c r="R66" s="67"/>
      <c r="S66" s="67"/>
      <c r="T66" s="67"/>
      <c r="U66" s="67"/>
      <c r="V66" s="67"/>
      <c r="W66" s="67"/>
      <c r="X66" s="67"/>
      <c r="Y66" s="67"/>
      <c r="Z66" s="67"/>
      <c r="AA66" s="67"/>
      <c r="AB66" s="67"/>
      <c r="AC66" s="67"/>
      <c r="AD66" s="67"/>
      <c r="AE66" s="67"/>
      <c r="AF66" s="67"/>
      <c r="AG66" s="626"/>
    </row>
    <row r="67" spans="1:33" ht="12.75" customHeight="1">
      <c r="A67" s="68"/>
      <c r="B67" s="69" t="s">
        <v>498</v>
      </c>
      <c r="C67" s="53"/>
      <c r="D67" s="53"/>
      <c r="E67" s="53"/>
      <c r="F67" s="53"/>
      <c r="G67" s="53"/>
      <c r="H67" s="53"/>
      <c r="I67" s="53"/>
      <c r="J67" s="53"/>
      <c r="K67" s="53"/>
      <c r="L67" s="53"/>
      <c r="M67" s="53"/>
      <c r="N67" s="53"/>
      <c r="O67" s="53"/>
      <c r="P67" s="53"/>
      <c r="Q67" s="53"/>
      <c r="R67" s="53"/>
      <c r="S67" s="53"/>
      <c r="T67" s="53"/>
      <c r="U67" s="53"/>
      <c r="V67" s="53"/>
      <c r="W67" s="53"/>
      <c r="X67" s="53"/>
      <c r="Y67" s="53"/>
      <c r="Z67" s="53"/>
      <c r="AA67" s="53"/>
      <c r="AB67" s="53"/>
      <c r="AC67" s="53"/>
      <c r="AD67" s="53"/>
      <c r="AE67" s="53"/>
      <c r="AF67" s="53"/>
      <c r="AG67" s="627"/>
    </row>
    <row r="68" spans="1:33" ht="12.75" customHeight="1" outlineLevel="1">
      <c r="A68" s="68"/>
      <c r="B68" s="144"/>
      <c r="C68" s="53"/>
      <c r="D68" s="53"/>
      <c r="E68" s="53"/>
      <c r="F68" s="53"/>
      <c r="G68" s="53"/>
      <c r="H68" s="53"/>
      <c r="I68" s="53"/>
      <c r="J68" s="53"/>
      <c r="K68" s="53"/>
      <c r="L68" s="53"/>
      <c r="M68" s="53"/>
      <c r="N68" s="53"/>
      <c r="O68" s="53"/>
      <c r="P68" s="53"/>
      <c r="Q68" s="53"/>
      <c r="R68" s="53"/>
      <c r="S68" s="53"/>
      <c r="T68" s="53"/>
      <c r="U68" s="53"/>
      <c r="V68" s="53"/>
      <c r="W68" s="53"/>
      <c r="X68" s="53"/>
      <c r="Y68" s="53"/>
      <c r="Z68" s="53"/>
      <c r="AA68" s="53"/>
      <c r="AB68" s="53"/>
      <c r="AC68" s="53"/>
      <c r="AD68" s="53"/>
      <c r="AE68" s="53"/>
      <c r="AF68" s="53"/>
      <c r="AG68" s="627"/>
    </row>
    <row r="69" spans="1:33" ht="12.75" customHeight="1" outlineLevel="1">
      <c r="A69" s="70"/>
      <c r="B69" s="174" t="s">
        <v>350</v>
      </c>
      <c r="C69" s="71">
        <f>(25.1/2)/2</f>
        <v>6.2750000000000004</v>
      </c>
      <c r="D69" s="71">
        <f>(34.1/2)/2</f>
        <v>8.5250000000000004</v>
      </c>
      <c r="E69" s="71">
        <f>(51.4/2/2)/2</f>
        <v>6.4249999999999998</v>
      </c>
      <c r="F69" s="71">
        <f>(34/2)/2</f>
        <v>8.5</v>
      </c>
      <c r="G69" s="71">
        <f>(41/2)/2</f>
        <v>10.25</v>
      </c>
      <c r="H69" s="71">
        <f>(52/2)/2</f>
        <v>13</v>
      </c>
      <c r="I69" s="71">
        <v>19.7758421626984</v>
      </c>
      <c r="J69" s="71">
        <v>24.591999999999999</v>
      </c>
      <c r="K69" s="71">
        <v>22.5</v>
      </c>
      <c r="L69" s="71">
        <v>21</v>
      </c>
      <c r="M69" s="71">
        <v>19.954999999999998</v>
      </c>
      <c r="N69" s="71">
        <v>27.5</v>
      </c>
      <c r="O69" s="553">
        <v>56.06</v>
      </c>
      <c r="P69" s="553">
        <v>88.31</v>
      </c>
      <c r="Q69" s="553">
        <v>106.53</v>
      </c>
      <c r="R69" s="553">
        <f>R62</f>
        <v>83.58</v>
      </c>
      <c r="S69" s="553">
        <f>S62</f>
        <v>70.708973964143425</v>
      </c>
      <c r="T69" s="71">
        <f>+S69*(1+$AG$62)</f>
        <v>77.779871360557777</v>
      </c>
      <c r="U69" s="71">
        <f>+T69*(1+$AG$62)</f>
        <v>85.557858496613562</v>
      </c>
      <c r="V69" s="71">
        <f>+U69*(1+$AG$62)</f>
        <v>94.113644346274924</v>
      </c>
      <c r="W69" s="71">
        <f t="shared" ref="W69:AF69" si="30">+V69*(1+$AG$62)</f>
        <v>103.52500878090243</v>
      </c>
      <c r="X69" s="71">
        <f t="shared" si="30"/>
        <v>113.87750965899268</v>
      </c>
      <c r="Y69" s="71">
        <f t="shared" si="30"/>
        <v>125.26526062489195</v>
      </c>
      <c r="Z69" s="71">
        <f t="shared" si="30"/>
        <v>137.79178668738115</v>
      </c>
      <c r="AA69" s="71">
        <f t="shared" si="30"/>
        <v>151.57096535611927</v>
      </c>
      <c r="AB69" s="71">
        <f t="shared" si="30"/>
        <v>166.72806189173122</v>
      </c>
      <c r="AC69" s="71">
        <f t="shared" si="30"/>
        <v>183.40086808090436</v>
      </c>
      <c r="AD69" s="71">
        <f t="shared" si="30"/>
        <v>201.74095488899482</v>
      </c>
      <c r="AE69" s="71">
        <f t="shared" si="30"/>
        <v>221.91505037789432</v>
      </c>
      <c r="AF69" s="71">
        <f t="shared" si="30"/>
        <v>244.10655541568377</v>
      </c>
      <c r="AG69" s="628"/>
    </row>
    <row r="70" spans="1:33" ht="12.75" customHeight="1" outlineLevel="1">
      <c r="A70" s="73"/>
      <c r="B70" s="175" t="s">
        <v>351</v>
      </c>
      <c r="C70" s="74">
        <f>(21.672*2)*2</f>
        <v>86.688000000000002</v>
      </c>
      <c r="D70" s="74">
        <f>(21.686*2)*2</f>
        <v>86.744</v>
      </c>
      <c r="E70" s="74">
        <f>(42.12*2)*2</f>
        <v>168.48</v>
      </c>
      <c r="F70" s="74">
        <f>(45.52*2)*2</f>
        <v>182.08</v>
      </c>
      <c r="G70" s="74">
        <f>(49.413*2)*2</f>
        <v>197.65199999999999</v>
      </c>
      <c r="H70" s="74">
        <v>183.678</v>
      </c>
      <c r="I70" s="74">
        <v>187.51400000000001</v>
      </c>
      <c r="J70" s="74">
        <v>169.95400000000001</v>
      </c>
      <c r="K70" s="74">
        <v>153.62200000000001</v>
      </c>
      <c r="L70" s="74">
        <v>138.386</v>
      </c>
      <c r="M70" s="74">
        <v>120.502</v>
      </c>
      <c r="N70" s="74">
        <v>101.762</v>
      </c>
      <c r="O70" s="551">
        <v>72.247</v>
      </c>
      <c r="P70" s="551">
        <v>54.703000000000003</v>
      </c>
      <c r="Q70" s="551">
        <v>39.143999999999998</v>
      </c>
      <c r="R70" s="551">
        <v>27.413</v>
      </c>
      <c r="S70" s="551">
        <v>23.157</v>
      </c>
      <c r="T70" s="74">
        <f>S70-S76+S82-S74</f>
        <v>30.22</v>
      </c>
      <c r="U70" s="74">
        <f>T70-T76+T82-T74</f>
        <v>24.478200000000001</v>
      </c>
      <c r="V70" s="74">
        <f>U70-U76+U82-U74</f>
        <v>19.827342000000002</v>
      </c>
      <c r="W70" s="74">
        <f t="shared" ref="W70:AF70" si="31">V70-V76+V82-V74</f>
        <v>18.042881219999998</v>
      </c>
      <c r="X70" s="74">
        <f t="shared" si="31"/>
        <v>16.419021910199994</v>
      </c>
      <c r="Y70" s="74">
        <f t="shared" si="31"/>
        <v>14.941309938281996</v>
      </c>
      <c r="Z70" s="74">
        <f t="shared" si="31"/>
        <v>13.596592043836617</v>
      </c>
      <c r="AA70" s="74">
        <f t="shared" si="31"/>
        <v>12.372898759891321</v>
      </c>
      <c r="AB70" s="74">
        <f t="shared" si="31"/>
        <v>11.259337871501103</v>
      </c>
      <c r="AC70" s="74">
        <f t="shared" si="31"/>
        <v>10.245997463066004</v>
      </c>
      <c r="AD70" s="74">
        <f t="shared" si="31"/>
        <v>9.3238576913900655</v>
      </c>
      <c r="AE70" s="74">
        <f t="shared" si="31"/>
        <v>8.4847104991649598</v>
      </c>
      <c r="AF70" s="74">
        <f t="shared" si="31"/>
        <v>7.7210865542401139</v>
      </c>
      <c r="AG70" s="629"/>
    </row>
    <row r="71" spans="1:33" ht="12.75" customHeight="1" outlineLevel="1">
      <c r="A71" s="73"/>
      <c r="B71" s="175" t="s">
        <v>352</v>
      </c>
      <c r="C71" s="74">
        <f>(9.022*2)*2</f>
        <v>36.088000000000001</v>
      </c>
      <c r="D71" s="74">
        <f>(9.275*2)*2</f>
        <v>37.1</v>
      </c>
      <c r="E71" s="74">
        <f>(19.996*2)*2</f>
        <v>79.983999999999995</v>
      </c>
      <c r="F71" s="74">
        <f>(22.554*2)*2</f>
        <v>90.215999999999994</v>
      </c>
      <c r="G71" s="74">
        <f>(22.237*2)*2</f>
        <v>88.947999999999993</v>
      </c>
      <c r="H71" s="74">
        <v>94.7</v>
      </c>
      <c r="I71" s="74">
        <v>89.941999999999993</v>
      </c>
      <c r="J71" s="74">
        <v>90.47</v>
      </c>
      <c r="K71" s="74">
        <v>94.18</v>
      </c>
      <c r="L71" s="74">
        <v>90.036000000000001</v>
      </c>
      <c r="M71" s="74">
        <v>82.835999999999999</v>
      </c>
      <c r="N71" s="74">
        <v>59.616999999999997</v>
      </c>
      <c r="O71" s="551">
        <v>47.034999999999997</v>
      </c>
      <c r="P71" s="551">
        <v>39.143999999999998</v>
      </c>
      <c r="Q71" s="551">
        <v>27.413</v>
      </c>
      <c r="R71" s="551">
        <v>23.157</v>
      </c>
      <c r="S71" s="551">
        <v>30.22</v>
      </c>
      <c r="T71" s="74">
        <f t="shared" ref="T71:V71" si="32">((U70+T70)/2)*T72</f>
        <v>24.614190000000001</v>
      </c>
      <c r="U71" s="74">
        <f t="shared" si="32"/>
        <v>19.937493900000003</v>
      </c>
      <c r="V71" s="74">
        <f t="shared" si="32"/>
        <v>17.041600449000001</v>
      </c>
      <c r="W71" s="74">
        <f t="shared" ref="W71:AF71" si="33">((X70+W70)/2)*W72</f>
        <v>15.507856408589998</v>
      </c>
      <c r="X71" s="74">
        <f t="shared" si="33"/>
        <v>14.112149331816896</v>
      </c>
      <c r="Y71" s="74">
        <f t="shared" si="33"/>
        <v>12.842055891953375</v>
      </c>
      <c r="Z71" s="74">
        <f t="shared" si="33"/>
        <v>11.686270861677572</v>
      </c>
      <c r="AA71" s="74">
        <f t="shared" si="33"/>
        <v>10.634506484126591</v>
      </c>
      <c r="AB71" s="74">
        <f t="shared" si="33"/>
        <v>9.6774009005551989</v>
      </c>
      <c r="AC71" s="74">
        <f t="shared" si="33"/>
        <v>8.8064348195052329</v>
      </c>
      <c r="AD71" s="74">
        <f t="shared" si="33"/>
        <v>8.0138556857497623</v>
      </c>
      <c r="AE71" s="74">
        <f t="shared" si="33"/>
        <v>7.2926086740322837</v>
      </c>
      <c r="AF71" s="74">
        <f t="shared" si="33"/>
        <v>3.4744889494080513</v>
      </c>
      <c r="AG71" s="630"/>
    </row>
    <row r="72" spans="1:33" ht="12.75" customHeight="1" outlineLevel="1">
      <c r="A72" s="75"/>
      <c r="B72" s="176" t="s">
        <v>353</v>
      </c>
      <c r="C72" s="76">
        <f>C71/((C70+D70)/2)</f>
        <v>0.41616310715438903</v>
      </c>
      <c r="D72" s="76">
        <f>D71/((D70+E70)/2)</f>
        <v>0.29072501018712976</v>
      </c>
      <c r="E72" s="76">
        <f t="shared" ref="E72:L72" si="34">E71/((E70+F70)/2)</f>
        <v>0.45632131446827928</v>
      </c>
      <c r="F72" s="76">
        <f t="shared" si="34"/>
        <v>0.47515616276742545</v>
      </c>
      <c r="G72" s="76">
        <f t="shared" si="34"/>
        <v>0.46651456743503</v>
      </c>
      <c r="H72" s="76">
        <f t="shared" si="34"/>
        <v>0.51024806569107095</v>
      </c>
      <c r="I72" s="76">
        <f t="shared" si="34"/>
        <v>0.50321707117839909</v>
      </c>
      <c r="J72" s="76">
        <f t="shared" si="34"/>
        <v>0.5591885677553341</v>
      </c>
      <c r="K72" s="747">
        <f t="shared" si="34"/>
        <v>0.64505082052546503</v>
      </c>
      <c r="L72" s="747">
        <f t="shared" si="34"/>
        <v>0.69555946973208505</v>
      </c>
      <c r="M72" s="747">
        <f>M71/((M70+N70)/2)</f>
        <v>0.74538386783284738</v>
      </c>
      <c r="N72" s="747">
        <f>N71/((N70+O70)/2)</f>
        <v>0.68521743128228996</v>
      </c>
      <c r="O72" s="747">
        <f>O71/((O70+P70)/2)</f>
        <v>0.7410003938558487</v>
      </c>
      <c r="P72" s="747">
        <f>P71/((P70+Q70)/2)</f>
        <v>0.83420887188722059</v>
      </c>
      <c r="Q72" s="747">
        <f t="shared" ref="Q72:S72" si="35">Q71/((Q70+R70)/2)</f>
        <v>0.82374506062472763</v>
      </c>
      <c r="R72" s="747">
        <f t="shared" si="35"/>
        <v>0.91583943049238681</v>
      </c>
      <c r="S72" s="747">
        <f t="shared" si="35"/>
        <v>1.1323229106169324</v>
      </c>
      <c r="T72" s="641">
        <v>0.9</v>
      </c>
      <c r="U72" s="76">
        <f t="shared" ref="U72:V72" si="36">T72</f>
        <v>0.9</v>
      </c>
      <c r="V72" s="76">
        <f t="shared" si="36"/>
        <v>0.9</v>
      </c>
      <c r="W72" s="76">
        <f t="shared" ref="W72:AF72" si="37">V72</f>
        <v>0.9</v>
      </c>
      <c r="X72" s="76">
        <f t="shared" si="37"/>
        <v>0.9</v>
      </c>
      <c r="Y72" s="76">
        <f t="shared" si="37"/>
        <v>0.9</v>
      </c>
      <c r="Z72" s="76">
        <f t="shared" si="37"/>
        <v>0.9</v>
      </c>
      <c r="AA72" s="76">
        <f t="shared" si="37"/>
        <v>0.9</v>
      </c>
      <c r="AB72" s="76">
        <f t="shared" si="37"/>
        <v>0.9</v>
      </c>
      <c r="AC72" s="76">
        <f t="shared" si="37"/>
        <v>0.9</v>
      </c>
      <c r="AD72" s="76">
        <f t="shared" si="37"/>
        <v>0.9</v>
      </c>
      <c r="AE72" s="76">
        <f t="shared" si="37"/>
        <v>0.9</v>
      </c>
      <c r="AF72" s="76">
        <f t="shared" si="37"/>
        <v>0.9</v>
      </c>
      <c r="AG72" s="631"/>
    </row>
    <row r="73" spans="1:33" ht="12.75" customHeight="1" outlineLevel="1">
      <c r="A73" s="70"/>
      <c r="B73" s="174" t="s">
        <v>354</v>
      </c>
      <c r="C73" s="71">
        <f>(9.62/2)/2</f>
        <v>2.4049999999999998</v>
      </c>
      <c r="D73" s="71">
        <f>(11.82/2)/2</f>
        <v>2.9550000000000001</v>
      </c>
      <c r="E73" s="71">
        <f>(9.05/2)/2</f>
        <v>2.2625000000000002</v>
      </c>
      <c r="F73" s="71">
        <f>(11.41/2)/2</f>
        <v>2.8525</v>
      </c>
      <c r="G73" s="71">
        <f>(15.56/2)/2</f>
        <v>3.89</v>
      </c>
      <c r="H73" s="71">
        <f>(9.61)/2</f>
        <v>4.8049999999999997</v>
      </c>
      <c r="I73" s="71">
        <v>6.73</v>
      </c>
      <c r="J73" s="71">
        <v>8.6449999999999996</v>
      </c>
      <c r="K73" s="71">
        <v>11.18</v>
      </c>
      <c r="L73" s="71">
        <v>12.96</v>
      </c>
      <c r="M73" s="71">
        <v>14.61</v>
      </c>
      <c r="N73" s="71">
        <v>16.05</v>
      </c>
      <c r="O73" s="552">
        <v>18.02</v>
      </c>
      <c r="P73" s="552">
        <v>22.63</v>
      </c>
      <c r="Q73" s="552">
        <v>28.56</v>
      </c>
      <c r="R73" s="552">
        <v>37.69</v>
      </c>
      <c r="S73" s="552">
        <v>43.93</v>
      </c>
      <c r="T73" s="78">
        <f>S73*(1+$AG$62)</f>
        <v>48.323</v>
      </c>
      <c r="U73" s="78">
        <f>T73*(1+$AG$62)</f>
        <v>53.155300000000004</v>
      </c>
      <c r="V73" s="78">
        <f>U73*(1+$AG$62)</f>
        <v>58.470830000000007</v>
      </c>
      <c r="W73" s="78">
        <f t="shared" ref="W73:AF73" si="38">V73*(1+$AG$62)</f>
        <v>64.317913000000019</v>
      </c>
      <c r="X73" s="78">
        <f t="shared" si="38"/>
        <v>70.749704300000033</v>
      </c>
      <c r="Y73" s="78">
        <f t="shared" si="38"/>
        <v>77.824674730000041</v>
      </c>
      <c r="Z73" s="78">
        <f t="shared" si="38"/>
        <v>85.607142203000052</v>
      </c>
      <c r="AA73" s="78">
        <f t="shared" si="38"/>
        <v>94.167856423300066</v>
      </c>
      <c r="AB73" s="78">
        <f t="shared" si="38"/>
        <v>103.58464206563008</v>
      </c>
      <c r="AC73" s="78">
        <f t="shared" si="38"/>
        <v>113.94310627219309</v>
      </c>
      <c r="AD73" s="78">
        <f t="shared" si="38"/>
        <v>125.33741689941242</v>
      </c>
      <c r="AE73" s="78">
        <f t="shared" si="38"/>
        <v>137.87115858935368</v>
      </c>
      <c r="AF73" s="78">
        <f t="shared" si="38"/>
        <v>151.65827444828906</v>
      </c>
      <c r="AG73" s="632"/>
    </row>
    <row r="74" spans="1:33" ht="12.75" customHeight="1" outlineLevel="1">
      <c r="A74" s="73"/>
      <c r="B74" s="175" t="s">
        <v>355</v>
      </c>
      <c r="C74" s="74">
        <f>(2.596*2)*2</f>
        <v>10.384</v>
      </c>
      <c r="D74" s="74">
        <f>(0.785*2)*2</f>
        <v>3.14</v>
      </c>
      <c r="E74" s="74">
        <f>(1.942*2)*2</f>
        <v>7.7679999999999998</v>
      </c>
      <c r="F74" s="74">
        <f>(1.817*2)*2</f>
        <v>7.2679999999999998</v>
      </c>
      <c r="G74" s="74">
        <f>(1.997*2)*2</f>
        <v>7.9880000000000004</v>
      </c>
      <c r="H74" s="74">
        <v>8.5020000000000007</v>
      </c>
      <c r="I74" s="74">
        <v>7.976</v>
      </c>
      <c r="J74" s="74">
        <f>(2.471+0.059)*2</f>
        <v>5.0600000000000005</v>
      </c>
      <c r="K74" s="74">
        <f>(2.393+0.44)*2</f>
        <v>5.6659999999999995</v>
      </c>
      <c r="L74" s="74">
        <f>(2.348+0.759)*2</f>
        <v>6.2139999999999995</v>
      </c>
      <c r="M74" s="74">
        <f>(1.523+1.117)*2</f>
        <v>5.2799999999999994</v>
      </c>
      <c r="N74" s="74">
        <f>(1.001+0.513)</f>
        <v>1.5139999999999998</v>
      </c>
      <c r="O74" s="551">
        <v>0.68799999999999994</v>
      </c>
      <c r="P74" s="551">
        <f>0.249+0.004</f>
        <v>0.253</v>
      </c>
      <c r="Q74" s="551">
        <v>0.113</v>
      </c>
      <c r="R74" s="551">
        <f>0.244+0.42</f>
        <v>0.66399999999999992</v>
      </c>
      <c r="S74" s="551">
        <f>0.275+0.063</f>
        <v>0.33800000000000002</v>
      </c>
      <c r="T74" s="74">
        <f>T75*T70</f>
        <v>1.5110000000000001</v>
      </c>
      <c r="U74" s="74">
        <f>U75*U70</f>
        <v>1.2239100000000001</v>
      </c>
      <c r="V74" s="74">
        <f>V75*V70</f>
        <v>0.99136710000000017</v>
      </c>
      <c r="W74" s="74">
        <f t="shared" ref="W74:AF74" si="39">W75*W70</f>
        <v>0.902144061</v>
      </c>
      <c r="X74" s="74">
        <f t="shared" si="39"/>
        <v>0.82095109550999978</v>
      </c>
      <c r="Y74" s="74">
        <f t="shared" si="39"/>
        <v>0.74706549691409985</v>
      </c>
      <c r="Z74" s="74">
        <f t="shared" si="39"/>
        <v>0.67982960219183086</v>
      </c>
      <c r="AA74" s="74">
        <f t="shared" si="39"/>
        <v>0.6186449379945661</v>
      </c>
      <c r="AB74" s="74">
        <f t="shared" si="39"/>
        <v>0.56296689357505514</v>
      </c>
      <c r="AC74" s="74">
        <f t="shared" si="39"/>
        <v>0.51229987315330028</v>
      </c>
      <c r="AD74" s="74">
        <f t="shared" si="39"/>
        <v>0.46619288456950331</v>
      </c>
      <c r="AE74" s="74">
        <f t="shared" si="39"/>
        <v>0.42423552495824801</v>
      </c>
      <c r="AF74" s="74">
        <f t="shared" si="39"/>
        <v>0.38605432771200571</v>
      </c>
      <c r="AG74" s="633"/>
    </row>
    <row r="75" spans="1:33" ht="12.75" customHeight="1" outlineLevel="1">
      <c r="A75" s="75"/>
      <c r="B75" s="176" t="s">
        <v>356</v>
      </c>
      <c r="C75" s="76">
        <f>C74/C70</f>
        <v>0.1197858988556663</v>
      </c>
      <c r="D75" s="76">
        <f>D74/D70</f>
        <v>3.6198469058378681E-2</v>
      </c>
      <c r="E75" s="76">
        <f t="shared" ref="E75:S75" si="40">E74/E70</f>
        <v>4.6106362773029444E-2</v>
      </c>
      <c r="F75" s="76">
        <f t="shared" si="40"/>
        <v>3.9916520210896304E-2</v>
      </c>
      <c r="G75" s="76">
        <f t="shared" si="40"/>
        <v>4.0414465828830473E-2</v>
      </c>
      <c r="H75" s="76">
        <f t="shared" si="40"/>
        <v>4.6287524907718945E-2</v>
      </c>
      <c r="I75" s="76">
        <f t="shared" si="40"/>
        <v>4.2535490683362306E-2</v>
      </c>
      <c r="J75" s="76">
        <f t="shared" si="40"/>
        <v>2.9772762041493581E-2</v>
      </c>
      <c r="K75" s="747">
        <f t="shared" si="40"/>
        <v>3.6882738149483792E-2</v>
      </c>
      <c r="L75" s="747">
        <f t="shared" si="40"/>
        <v>4.4903386180683014E-2</v>
      </c>
      <c r="M75" s="747">
        <f t="shared" si="40"/>
        <v>4.3816700137757049E-2</v>
      </c>
      <c r="N75" s="747">
        <f t="shared" si="40"/>
        <v>1.4877852243470055E-2</v>
      </c>
      <c r="O75" s="747">
        <f t="shared" si="40"/>
        <v>9.5228867634642254E-3</v>
      </c>
      <c r="P75" s="747">
        <f t="shared" si="40"/>
        <v>4.6249748642670421E-3</v>
      </c>
      <c r="Q75" s="747">
        <f t="shared" si="40"/>
        <v>2.8867770284079297E-3</v>
      </c>
      <c r="R75" s="747">
        <f t="shared" si="40"/>
        <v>2.4222084412505014E-2</v>
      </c>
      <c r="S75" s="747">
        <f t="shared" si="40"/>
        <v>1.459601848253228E-2</v>
      </c>
      <c r="T75" s="641">
        <v>0.05</v>
      </c>
      <c r="U75" s="641">
        <v>0.05</v>
      </c>
      <c r="V75" s="641">
        <v>0.05</v>
      </c>
      <c r="W75" s="641">
        <v>0.05</v>
      </c>
      <c r="X75" s="641">
        <v>0.05</v>
      </c>
      <c r="Y75" s="641">
        <v>0.05</v>
      </c>
      <c r="Z75" s="641">
        <v>0.05</v>
      </c>
      <c r="AA75" s="641">
        <v>0.05</v>
      </c>
      <c r="AB75" s="641">
        <v>0.05</v>
      </c>
      <c r="AC75" s="641">
        <v>0.05</v>
      </c>
      <c r="AD75" s="641">
        <v>0.05</v>
      </c>
      <c r="AE75" s="641">
        <v>0.05</v>
      </c>
      <c r="AF75" s="641">
        <v>0.05</v>
      </c>
      <c r="AG75" s="631"/>
    </row>
    <row r="76" spans="1:33" ht="12.75" customHeight="1" outlineLevel="1">
      <c r="A76" s="73"/>
      <c r="B76" s="175" t="s">
        <v>357</v>
      </c>
      <c r="C76" s="74">
        <f>(4.098*2)*2</f>
        <v>16.391999999999999</v>
      </c>
      <c r="D76" s="74">
        <f>(4.212*2)*2</f>
        <v>16.847999999999999</v>
      </c>
      <c r="E76" s="74">
        <f>(10.4*2)*2</f>
        <v>41.6</v>
      </c>
      <c r="F76" s="74">
        <f>(7.038*2)*2</f>
        <v>28.152000000000001</v>
      </c>
      <c r="G76" s="74">
        <f>(10.426*2)*2</f>
        <v>41.704000000000001</v>
      </c>
      <c r="H76" s="74">
        <v>36.985999999999997</v>
      </c>
      <c r="I76" s="74">
        <v>42.457999999999998</v>
      </c>
      <c r="J76" s="74">
        <v>30.885999999999999</v>
      </c>
      <c r="K76" s="74">
        <v>24.141999999999999</v>
      </c>
      <c r="L76" s="74">
        <v>21.341999999999999</v>
      </c>
      <c r="M76" s="74">
        <f>(9.175)*2</f>
        <v>18.350000000000001</v>
      </c>
      <c r="N76" s="74">
        <f>31.693</f>
        <v>31.693000000000001</v>
      </c>
      <c r="O76" s="551">
        <v>19.010999999999999</v>
      </c>
      <c r="P76" s="551">
        <v>16.489999999999998</v>
      </c>
      <c r="Q76" s="551">
        <v>12.974</v>
      </c>
      <c r="R76" s="551">
        <v>6.8970000000000002</v>
      </c>
      <c r="S76" s="551">
        <v>6.702</v>
      </c>
      <c r="T76" s="74">
        <f t="shared" ref="T76:AF76" si="41">T77*T70</f>
        <v>7.5549999999999997</v>
      </c>
      <c r="U76" s="74">
        <f t="shared" si="41"/>
        <v>6.1195500000000003</v>
      </c>
      <c r="V76" s="74">
        <f t="shared" si="41"/>
        <v>2.9741013000000001</v>
      </c>
      <c r="W76" s="74">
        <f t="shared" si="41"/>
        <v>2.7064321829999995</v>
      </c>
      <c r="X76" s="74">
        <f t="shared" si="41"/>
        <v>2.4628532865299992</v>
      </c>
      <c r="Y76" s="74">
        <f t="shared" si="41"/>
        <v>2.2411964907422992</v>
      </c>
      <c r="Z76" s="74">
        <f t="shared" si="41"/>
        <v>2.0394888065754926</v>
      </c>
      <c r="AA76" s="74">
        <f t="shared" si="41"/>
        <v>1.855934813983698</v>
      </c>
      <c r="AB76" s="74">
        <f t="shared" si="41"/>
        <v>1.6889006807251654</v>
      </c>
      <c r="AC76" s="74">
        <f t="shared" si="41"/>
        <v>1.5368996194599005</v>
      </c>
      <c r="AD76" s="74">
        <f t="shared" si="41"/>
        <v>1.3985786537085099</v>
      </c>
      <c r="AE76" s="74">
        <f t="shared" si="41"/>
        <v>1.2727065748747439</v>
      </c>
      <c r="AF76" s="74">
        <f t="shared" si="41"/>
        <v>1.158162983136017</v>
      </c>
      <c r="AG76" s="633"/>
    </row>
    <row r="77" spans="1:33" ht="12.75" customHeight="1" outlineLevel="1">
      <c r="A77" s="75"/>
      <c r="B77" s="176" t="s">
        <v>358</v>
      </c>
      <c r="C77" s="79">
        <f>C76/C70</f>
        <v>0.18909191583610188</v>
      </c>
      <c r="D77" s="79">
        <f>D76/D70</f>
        <v>0.19422669003043436</v>
      </c>
      <c r="E77" s="79">
        <f t="shared" ref="E77:S77" si="42">E76/E70</f>
        <v>0.24691358024691359</v>
      </c>
      <c r="F77" s="79">
        <f t="shared" si="42"/>
        <v>0.15461335676625659</v>
      </c>
      <c r="G77" s="79">
        <f t="shared" si="42"/>
        <v>0.21099710602473035</v>
      </c>
      <c r="H77" s="79">
        <f t="shared" si="42"/>
        <v>0.20136325526192575</v>
      </c>
      <c r="I77" s="79">
        <f t="shared" si="42"/>
        <v>0.22642576020990432</v>
      </c>
      <c r="J77" s="79">
        <f t="shared" si="42"/>
        <v>0.1817315273544606</v>
      </c>
      <c r="K77" s="748">
        <f t="shared" si="42"/>
        <v>0.15715197042090323</v>
      </c>
      <c r="L77" s="748">
        <f t="shared" si="42"/>
        <v>0.15422080268235225</v>
      </c>
      <c r="M77" s="748">
        <f t="shared" si="42"/>
        <v>0.15227963021360644</v>
      </c>
      <c r="N77" s="748">
        <f t="shared" si="42"/>
        <v>0.3114423851732474</v>
      </c>
      <c r="O77" s="748">
        <f t="shared" si="42"/>
        <v>0.26313895386659653</v>
      </c>
      <c r="P77" s="748">
        <f t="shared" si="42"/>
        <v>0.30144599016507317</v>
      </c>
      <c r="Q77" s="748">
        <f t="shared" si="42"/>
        <v>0.33144287758021668</v>
      </c>
      <c r="R77" s="748">
        <f t="shared" si="42"/>
        <v>0.25159595812205887</v>
      </c>
      <c r="S77" s="748">
        <f t="shared" si="42"/>
        <v>0.28941572742583238</v>
      </c>
      <c r="T77" s="640">
        <v>0.25</v>
      </c>
      <c r="U77" s="640">
        <v>0.25</v>
      </c>
      <c r="V77" s="640">
        <v>0.15</v>
      </c>
      <c r="W77" s="640">
        <v>0.15</v>
      </c>
      <c r="X77" s="640">
        <v>0.15</v>
      </c>
      <c r="Y77" s="640">
        <v>0.15</v>
      </c>
      <c r="Z77" s="640">
        <v>0.15</v>
      </c>
      <c r="AA77" s="640">
        <v>0.15</v>
      </c>
      <c r="AB77" s="640">
        <v>0.15</v>
      </c>
      <c r="AC77" s="640">
        <v>0.15</v>
      </c>
      <c r="AD77" s="640">
        <v>0.15</v>
      </c>
      <c r="AE77" s="640">
        <v>0.15</v>
      </c>
      <c r="AF77" s="640">
        <v>0.15</v>
      </c>
      <c r="AG77" s="631"/>
    </row>
    <row r="78" spans="1:33" ht="12.75" customHeight="1" outlineLevel="1">
      <c r="A78" s="70"/>
      <c r="B78" s="174" t="s">
        <v>359</v>
      </c>
      <c r="C78" s="71">
        <f>(7.58/2)/2</f>
        <v>1.895</v>
      </c>
      <c r="D78" s="71">
        <f>(10.61/2)/2</f>
        <v>2.6524999999999999</v>
      </c>
      <c r="E78" s="71">
        <f>(7.27/2)/2</f>
        <v>1.8174999999999999</v>
      </c>
      <c r="F78" s="71">
        <f>(9.61/2)/2</f>
        <v>2.4024999999999999</v>
      </c>
      <c r="G78" s="71">
        <f>(12.45/2)/2</f>
        <v>3.1124999999999998</v>
      </c>
      <c r="H78" s="71">
        <f>(8.13)/2</f>
        <v>4.0650000000000004</v>
      </c>
      <c r="I78" s="71">
        <v>5.1749999999999998</v>
      </c>
      <c r="J78" s="71">
        <v>6.9850000000000003</v>
      </c>
      <c r="K78" s="71">
        <v>7.78</v>
      </c>
      <c r="L78" s="71">
        <v>8.84</v>
      </c>
      <c r="M78" s="71">
        <v>9.6300000000000008</v>
      </c>
      <c r="N78" s="71">
        <v>17.21</v>
      </c>
      <c r="O78" s="553">
        <v>13.58</v>
      </c>
      <c r="P78" s="553">
        <v>15.73</v>
      </c>
      <c r="Q78" s="553">
        <v>18.11</v>
      </c>
      <c r="R78" s="553">
        <v>18.46</v>
      </c>
      <c r="S78" s="553">
        <v>21.99</v>
      </c>
      <c r="T78" s="71">
        <f>+S78*(1+$AG$62)</f>
        <v>24.189</v>
      </c>
      <c r="U78" s="71">
        <f>+T78*(1+$AG$62)</f>
        <v>26.607900000000001</v>
      </c>
      <c r="V78" s="71">
        <f>+U78*(1+$AG$62)</f>
        <v>29.268690000000003</v>
      </c>
      <c r="W78" s="71">
        <f t="shared" ref="W78:AF78" si="43">+V78*(1+$AG$62)</f>
        <v>32.195559000000003</v>
      </c>
      <c r="X78" s="71">
        <f t="shared" si="43"/>
        <v>35.415114900000006</v>
      </c>
      <c r="Y78" s="71">
        <f t="shared" si="43"/>
        <v>38.956626390000011</v>
      </c>
      <c r="Z78" s="71">
        <f t="shared" si="43"/>
        <v>42.852289029000012</v>
      </c>
      <c r="AA78" s="71">
        <f t="shared" si="43"/>
        <v>47.137517931900014</v>
      </c>
      <c r="AB78" s="71">
        <f t="shared" si="43"/>
        <v>51.85126972509002</v>
      </c>
      <c r="AC78" s="71">
        <f t="shared" si="43"/>
        <v>57.036396697599024</v>
      </c>
      <c r="AD78" s="71">
        <f t="shared" si="43"/>
        <v>62.740036367358933</v>
      </c>
      <c r="AE78" s="71">
        <f t="shared" si="43"/>
        <v>69.014040004094838</v>
      </c>
      <c r="AF78" s="71">
        <f t="shared" si="43"/>
        <v>75.915444004504323</v>
      </c>
      <c r="AG78" s="634"/>
    </row>
    <row r="79" spans="1:33" ht="12.75" customHeight="1" outlineLevel="1">
      <c r="A79" s="75"/>
      <c r="B79" s="176" t="s">
        <v>360</v>
      </c>
      <c r="C79" s="76">
        <f>IS!C26</f>
        <v>-3.722609337582599E-2</v>
      </c>
      <c r="D79" s="76">
        <f>IS!H26</f>
        <v>1.453407121694896E-2</v>
      </c>
      <c r="E79" s="76">
        <f>IS!M26</f>
        <v>4.9997019504986855E-2</v>
      </c>
      <c r="F79" s="76">
        <f>IS!R26</f>
        <v>0.31390072487536586</v>
      </c>
      <c r="G79" s="76">
        <f>IS!W26</f>
        <v>0.32212814508933779</v>
      </c>
      <c r="H79" s="76">
        <f>IS!AB26</f>
        <v>0.31003413795685197</v>
      </c>
      <c r="I79" s="76">
        <f>IS!AG26</f>
        <v>0.28967162416274267</v>
      </c>
      <c r="J79" s="76">
        <f>IS!AL26</f>
        <v>0.26296541346174529</v>
      </c>
      <c r="K79" s="76">
        <f>IS!AQ26</f>
        <v>0.249812572857289</v>
      </c>
      <c r="L79" s="76">
        <f>IS!AV26</f>
        <v>0.2648152981216147</v>
      </c>
      <c r="M79" s="76">
        <f>IS!BA26</f>
        <v>0.24600004437954287</v>
      </c>
      <c r="N79" s="76">
        <f>IS!BF26</f>
        <v>0.26808993447102125</v>
      </c>
      <c r="O79" s="76">
        <f>IS!BK26</f>
        <v>0.26529337351885784</v>
      </c>
      <c r="P79" s="76">
        <f>IS!BP26</f>
        <v>0.18177930525562525</v>
      </c>
      <c r="Q79" s="76">
        <f>IS!BU26</f>
        <v>0.17443407209699963</v>
      </c>
      <c r="R79" s="76">
        <f>IS!BZ26</f>
        <v>0.19487179487179487</v>
      </c>
      <c r="S79" s="76">
        <f>IS!CE26</f>
        <v>0.24485570078943963</v>
      </c>
      <c r="T79" s="76">
        <f>IS!CJ26</f>
        <v>0.22</v>
      </c>
      <c r="U79" s="76">
        <f>IS!CO26</f>
        <v>0.22</v>
      </c>
      <c r="V79" s="76">
        <f>IS!CT26</f>
        <v>0.22</v>
      </c>
      <c r="W79" s="76">
        <f>IS!CY26</f>
        <v>0.22</v>
      </c>
      <c r="X79" s="76">
        <f>IS!DD26</f>
        <v>0.22</v>
      </c>
      <c r="Y79" s="76">
        <f>IS!DI26</f>
        <v>0.22</v>
      </c>
      <c r="Z79" s="76">
        <f>IS!DN26</f>
        <v>0.22</v>
      </c>
      <c r="AA79" s="76">
        <f>IS!DN26</f>
        <v>0.22</v>
      </c>
      <c r="AB79" s="76">
        <f>IS!DS26</f>
        <v>0.22</v>
      </c>
      <c r="AC79" s="76">
        <f>IS!DX26</f>
        <v>0.22</v>
      </c>
      <c r="AD79" s="76">
        <f>IS!EC26</f>
        <v>0.22</v>
      </c>
      <c r="AE79" s="76">
        <f>IS!EM26</f>
        <v>0.22</v>
      </c>
      <c r="AF79" s="76">
        <f>IS!ER26</f>
        <v>0.22</v>
      </c>
      <c r="AG79" s="631"/>
    </row>
    <row r="80" spans="1:33" ht="12.75" customHeight="1" outlineLevel="1">
      <c r="A80" s="73"/>
      <c r="B80" s="175" t="s">
        <v>361</v>
      </c>
      <c r="C80" s="74">
        <v>5.3570000000000002</v>
      </c>
      <c r="D80" s="74">
        <v>6.7009999999999996</v>
      </c>
      <c r="E80" s="74">
        <v>8.2379999999999995</v>
      </c>
      <c r="F80" s="74">
        <v>11.173</v>
      </c>
      <c r="G80" s="74">
        <f>13.502</f>
        <v>13.502000000000001</v>
      </c>
      <c r="H80" s="57">
        <f>17.503+95.282</f>
        <v>112.785</v>
      </c>
      <c r="I80" s="57">
        <f>23.651</f>
        <v>23.651</v>
      </c>
      <c r="J80" s="57">
        <f>30.385</f>
        <v>30.385000000000002</v>
      </c>
      <c r="K80" s="57">
        <f>34.872+15.655</f>
        <v>50.527000000000001</v>
      </c>
      <c r="L80" s="57">
        <v>32.305999999999997</v>
      </c>
      <c r="M80" s="57">
        <v>35.012</v>
      </c>
      <c r="N80" s="57">
        <v>30.734999999999999</v>
      </c>
      <c r="O80" s="554">
        <f>54.903+258.173</f>
        <v>313.07600000000002</v>
      </c>
      <c r="P80" s="554">
        <f>72+260</f>
        <v>332</v>
      </c>
      <c r="Q80" s="554">
        <f>86+235</f>
        <v>321</v>
      </c>
      <c r="R80" s="554">
        <f>84+128</f>
        <v>212</v>
      </c>
      <c r="S80" s="57">
        <f t="shared" ref="S80:AF80" si="44">S76*S78</f>
        <v>147.37697999999997</v>
      </c>
      <c r="T80" s="57">
        <f t="shared" si="44"/>
        <v>182.747895</v>
      </c>
      <c r="U80" s="57">
        <f t="shared" si="44"/>
        <v>162.82837444500001</v>
      </c>
      <c r="V80" s="57">
        <f t="shared" si="44"/>
        <v>87.048048978297004</v>
      </c>
      <c r="W80" s="57">
        <f t="shared" si="44"/>
        <v>87.135097027275293</v>
      </c>
      <c r="X80" s="57">
        <f t="shared" si="44"/>
        <v>87.222232124302565</v>
      </c>
      <c r="Y80" s="57">
        <f t="shared" si="44"/>
        <v>87.309454356426869</v>
      </c>
      <c r="Z80" s="57">
        <f t="shared" si="44"/>
        <v>87.396763810783312</v>
      </c>
      <c r="AA80" s="57">
        <f t="shared" si="44"/>
        <v>87.484160574594085</v>
      </c>
      <c r="AB80" s="57">
        <f t="shared" si="44"/>
        <v>87.57164473516869</v>
      </c>
      <c r="AC80" s="57">
        <f t="shared" si="44"/>
        <v>87.659216379903867</v>
      </c>
      <c r="AD80" s="57">
        <f t="shared" si="44"/>
        <v>87.7468755962838</v>
      </c>
      <c r="AE80" s="57">
        <f t="shared" si="44"/>
        <v>87.834622471880095</v>
      </c>
      <c r="AF80" s="57">
        <f t="shared" si="44"/>
        <v>87.922457094351984</v>
      </c>
      <c r="AG80" s="633"/>
    </row>
    <row r="81" spans="1:33" ht="12.75" customHeight="1" outlineLevel="1">
      <c r="A81" s="73"/>
      <c r="B81" s="175" t="s">
        <v>362</v>
      </c>
      <c r="C81" s="74">
        <v>1.5</v>
      </c>
      <c r="D81" s="74">
        <v>0.35</v>
      </c>
      <c r="E81" s="74">
        <v>132.363</v>
      </c>
      <c r="F81" s="74">
        <v>22.012</v>
      </c>
      <c r="G81" s="74">
        <v>168.47</v>
      </c>
      <c r="H81" s="74">
        <v>127.58</v>
      </c>
      <c r="I81" s="74">
        <f>110.678</f>
        <v>110.678</v>
      </c>
      <c r="J81" s="74">
        <f>209.519</f>
        <v>209.51900000000001</v>
      </c>
      <c r="K81" s="74">
        <f>88.368+181.53</f>
        <v>269.89800000000002</v>
      </c>
      <c r="L81" s="74">
        <f>82.086+200.595</f>
        <v>282.68099999999998</v>
      </c>
      <c r="M81" s="74">
        <f>37.231+192.03</f>
        <v>229.261</v>
      </c>
      <c r="N81" s="74">
        <f>112.629+208.23</f>
        <v>320.85899999999998</v>
      </c>
      <c r="O81" s="551">
        <f>284.655+254.316</f>
        <v>538.971</v>
      </c>
      <c r="P81" s="551">
        <v>484</v>
      </c>
      <c r="Q81" s="551">
        <v>586</v>
      </c>
      <c r="R81" s="551">
        <v>186</v>
      </c>
      <c r="S81" s="74">
        <f t="shared" ref="S81:AF81" si="45">((S69-S78)*S76)*S79</f>
        <v>79.948952265633253</v>
      </c>
      <c r="T81" s="74">
        <f t="shared" si="45"/>
        <v>89.073387288383074</v>
      </c>
      <c r="U81" s="74">
        <f t="shared" si="45"/>
        <v>79.364388073949343</v>
      </c>
      <c r="V81" s="74">
        <f>((V69-V78)*V76)*V79</f>
        <v>42.428201864333317</v>
      </c>
      <c r="W81" s="74">
        <f t="shared" si="45"/>
        <v>42.47063006619765</v>
      </c>
      <c r="X81" s="74">
        <f t="shared" si="45"/>
        <v>42.513100696263841</v>
      </c>
      <c r="Y81" s="74">
        <f t="shared" si="45"/>
        <v>42.55561379696011</v>
      </c>
      <c r="Z81" s="74">
        <f t="shared" si="45"/>
        <v>42.598169410757073</v>
      </c>
      <c r="AA81" s="74">
        <f t="shared" si="45"/>
        <v>42.640767580167825</v>
      </c>
      <c r="AB81" s="74">
        <f t="shared" si="45"/>
        <v>42.683408347748006</v>
      </c>
      <c r="AC81" s="74">
        <f t="shared" si="45"/>
        <v>42.726091756095762</v>
      </c>
      <c r="AD81" s="74">
        <f t="shared" si="45"/>
        <v>42.768817847851878</v>
      </c>
      <c r="AE81" s="74">
        <f t="shared" si="45"/>
        <v>42.811586665699721</v>
      </c>
      <c r="AF81" s="74">
        <f t="shared" si="45"/>
        <v>42.854398252365435</v>
      </c>
      <c r="AG81" s="633"/>
    </row>
    <row r="82" spans="1:33" ht="12.75" customHeight="1" outlineLevel="1">
      <c r="A82" s="73"/>
      <c r="B82" s="175" t="s">
        <v>363</v>
      </c>
      <c r="C82" s="74">
        <f>(6.708*2)*2</f>
        <v>26.832000000000001</v>
      </c>
      <c r="D82" s="74">
        <f>(4.371*2)*2</f>
        <v>17.484000000000002</v>
      </c>
      <c r="E82" s="74">
        <f>(15.742*2)*2</f>
        <v>62.968000000000004</v>
      </c>
      <c r="F82" s="74">
        <f>(12.748*2)*2</f>
        <v>50.991999999999997</v>
      </c>
      <c r="G82" s="74">
        <f>(8.93*2)*2</f>
        <v>35.72</v>
      </c>
      <c r="H82" s="74">
        <v>49.323999999999998</v>
      </c>
      <c r="I82" s="74">
        <v>32.874000000000002</v>
      </c>
      <c r="J82" s="74">
        <v>19.614000000000001</v>
      </c>
      <c r="K82" s="74">
        <v>14.571999999999999</v>
      </c>
      <c r="L82" s="74">
        <v>9.6720000000000006</v>
      </c>
      <c r="M82" s="74">
        <v>4.8899999999999997</v>
      </c>
      <c r="N82" s="74">
        <f>3.692</f>
        <v>3.6920000000000002</v>
      </c>
      <c r="O82" s="551">
        <v>2.1549999999999998</v>
      </c>
      <c r="P82" s="551">
        <v>1.1839999999999999</v>
      </c>
      <c r="Q82" s="551">
        <v>1.3560000000000001</v>
      </c>
      <c r="R82" s="551">
        <v>2.927</v>
      </c>
      <c r="S82" s="551">
        <f>6.056+8.047</f>
        <v>14.103000000000002</v>
      </c>
      <c r="T82" s="74">
        <f t="shared" ref="T82:AF82" si="46">T83*T70</f>
        <v>3.3241999999999998</v>
      </c>
      <c r="U82" s="74">
        <f t="shared" si="46"/>
        <v>2.6926019999999999</v>
      </c>
      <c r="V82" s="74">
        <f t="shared" si="46"/>
        <v>2.1810076200000004</v>
      </c>
      <c r="W82" s="74">
        <f t="shared" si="46"/>
        <v>1.9847169341999997</v>
      </c>
      <c r="X82" s="74">
        <f t="shared" si="46"/>
        <v>1.8060924101219993</v>
      </c>
      <c r="Y82" s="74">
        <f t="shared" si="46"/>
        <v>1.6435440932110197</v>
      </c>
      <c r="Z82" s="74">
        <f t="shared" si="46"/>
        <v>1.4956251248220278</v>
      </c>
      <c r="AA82" s="74">
        <f t="shared" si="46"/>
        <v>1.3610188635880454</v>
      </c>
      <c r="AB82" s="74">
        <f t="shared" si="46"/>
        <v>1.2385271658651213</v>
      </c>
      <c r="AC82" s="74">
        <f t="shared" si="46"/>
        <v>1.1270597209372604</v>
      </c>
      <c r="AD82" s="74">
        <f t="shared" si="46"/>
        <v>1.0256243460529073</v>
      </c>
      <c r="AE82" s="74">
        <f t="shared" si="46"/>
        <v>0.93331815490814563</v>
      </c>
      <c r="AF82" s="74">
        <f t="shared" si="46"/>
        <v>0.8493195209664125</v>
      </c>
      <c r="AG82" s="633"/>
    </row>
    <row r="83" spans="1:33" ht="12.75" customHeight="1" outlineLevel="1">
      <c r="A83" s="75"/>
      <c r="B83" s="176" t="s">
        <v>364</v>
      </c>
      <c r="C83" s="79">
        <f>C82/C70</f>
        <v>0.30952380952380953</v>
      </c>
      <c r="D83" s="79">
        <f>D82/D70</f>
        <v>0.20155860924098498</v>
      </c>
      <c r="E83" s="79">
        <f t="shared" ref="E83:S83" si="47">E82/E70</f>
        <v>0.37374169040835714</v>
      </c>
      <c r="F83" s="79">
        <f t="shared" si="47"/>
        <v>0.28005272407732862</v>
      </c>
      <c r="G83" s="79">
        <f t="shared" si="47"/>
        <v>0.18072167243437962</v>
      </c>
      <c r="H83" s="79">
        <f t="shared" si="47"/>
        <v>0.26853515391064797</v>
      </c>
      <c r="I83" s="79">
        <f t="shared" si="47"/>
        <v>0.17531490982006678</v>
      </c>
      <c r="J83" s="79">
        <f t="shared" si="47"/>
        <v>0.1154076985537263</v>
      </c>
      <c r="K83" s="748">
        <f t="shared" si="47"/>
        <v>9.4856205491400961E-2</v>
      </c>
      <c r="L83" s="748">
        <f t="shared" si="47"/>
        <v>6.9891463009263952E-2</v>
      </c>
      <c r="M83" s="748">
        <f t="shared" si="47"/>
        <v>4.0580239332127267E-2</v>
      </c>
      <c r="N83" s="748">
        <f t="shared" si="47"/>
        <v>3.6280733476150233E-2</v>
      </c>
      <c r="O83" s="748">
        <f t="shared" si="47"/>
        <v>2.9828228161722977E-2</v>
      </c>
      <c r="P83" s="748">
        <f t="shared" si="47"/>
        <v>2.1644151143447341E-2</v>
      </c>
      <c r="Q83" s="748">
        <f t="shared" si="47"/>
        <v>3.464132434089516E-2</v>
      </c>
      <c r="R83" s="748">
        <f t="shared" si="47"/>
        <v>0.10677415824608762</v>
      </c>
      <c r="S83" s="748">
        <f t="shared" si="47"/>
        <v>0.60901671200932772</v>
      </c>
      <c r="T83" s="640">
        <v>0.11</v>
      </c>
      <c r="U83" s="79">
        <f>T83</f>
        <v>0.11</v>
      </c>
      <c r="V83" s="79">
        <f>U83</f>
        <v>0.11</v>
      </c>
      <c r="W83" s="79">
        <f t="shared" ref="W83:AF83" si="48">V83</f>
        <v>0.11</v>
      </c>
      <c r="X83" s="79">
        <f t="shared" si="48"/>
        <v>0.11</v>
      </c>
      <c r="Y83" s="79">
        <f t="shared" si="48"/>
        <v>0.11</v>
      </c>
      <c r="Z83" s="79">
        <f t="shared" si="48"/>
        <v>0.11</v>
      </c>
      <c r="AA83" s="79">
        <f t="shared" si="48"/>
        <v>0.11</v>
      </c>
      <c r="AB83" s="79">
        <f t="shared" si="48"/>
        <v>0.11</v>
      </c>
      <c r="AC83" s="79">
        <f t="shared" si="48"/>
        <v>0.11</v>
      </c>
      <c r="AD83" s="79">
        <f t="shared" si="48"/>
        <v>0.11</v>
      </c>
      <c r="AE83" s="79">
        <f t="shared" si="48"/>
        <v>0.11</v>
      </c>
      <c r="AF83" s="79">
        <f t="shared" si="48"/>
        <v>0.11</v>
      </c>
      <c r="AG83" s="631"/>
    </row>
    <row r="84" spans="1:33" ht="12.75" customHeight="1" outlineLevel="1">
      <c r="A84" s="73"/>
      <c r="B84" s="175" t="s">
        <v>365</v>
      </c>
      <c r="C84" s="80">
        <f>C70-C74-C76+C82</f>
        <v>86.744</v>
      </c>
      <c r="D84" s="80">
        <f>D70-D74-D76+D82</f>
        <v>84.240000000000009</v>
      </c>
      <c r="E84" s="80">
        <f t="shared" ref="E84:U84" si="49">E70-E74-E76+E82</f>
        <v>182.07999999999998</v>
      </c>
      <c r="F84" s="80">
        <f t="shared" si="49"/>
        <v>197.65200000000002</v>
      </c>
      <c r="G84" s="80">
        <f t="shared" si="49"/>
        <v>183.67999999999998</v>
      </c>
      <c r="H84" s="80">
        <f t="shared" si="49"/>
        <v>187.51400000000001</v>
      </c>
      <c r="I84" s="80">
        <f t="shared" si="49"/>
        <v>169.95400000000001</v>
      </c>
      <c r="J84" s="80">
        <f t="shared" si="49"/>
        <v>153.62200000000001</v>
      </c>
      <c r="K84" s="80">
        <f t="shared" si="49"/>
        <v>138.38600000000002</v>
      </c>
      <c r="L84" s="80">
        <f t="shared" si="49"/>
        <v>120.502</v>
      </c>
      <c r="M84" s="80">
        <f t="shared" si="49"/>
        <v>101.76199999999999</v>
      </c>
      <c r="N84" s="80">
        <f>N70-N74-N76+N82</f>
        <v>72.247000000000014</v>
      </c>
      <c r="O84" s="80">
        <f>O70-O74-O76+O82</f>
        <v>54.703000000000003</v>
      </c>
      <c r="P84" s="80">
        <f>P70-P74-P76+P82</f>
        <v>39.144000000000005</v>
      </c>
      <c r="Q84" s="80">
        <f>Q70-Q74-Q76+Q82</f>
        <v>27.413</v>
      </c>
      <c r="R84" s="80">
        <f t="shared" si="49"/>
        <v>22.778999999999996</v>
      </c>
      <c r="S84" s="80">
        <f t="shared" si="49"/>
        <v>30.22</v>
      </c>
      <c r="T84" s="80">
        <f t="shared" si="49"/>
        <v>24.478200000000001</v>
      </c>
      <c r="U84" s="80">
        <f t="shared" si="49"/>
        <v>19.827342000000002</v>
      </c>
      <c r="V84" s="80">
        <f>V70-V74-V76+V82</f>
        <v>18.042881219999998</v>
      </c>
      <c r="W84" s="80">
        <f t="shared" ref="W84:AF84" si="50">W70-W74-W76+W82</f>
        <v>16.419021910199994</v>
      </c>
      <c r="X84" s="80">
        <f t="shared" si="50"/>
        <v>14.941309938281996</v>
      </c>
      <c r="Y84" s="80">
        <f t="shared" si="50"/>
        <v>13.596592043836617</v>
      </c>
      <c r="Z84" s="80">
        <f t="shared" si="50"/>
        <v>12.372898759891321</v>
      </c>
      <c r="AA84" s="80">
        <f t="shared" si="50"/>
        <v>11.259337871501103</v>
      </c>
      <c r="AB84" s="80">
        <f t="shared" si="50"/>
        <v>10.245997463066004</v>
      </c>
      <c r="AC84" s="80">
        <f t="shared" si="50"/>
        <v>9.3238576913900655</v>
      </c>
      <c r="AD84" s="80">
        <f t="shared" si="50"/>
        <v>8.4847104991649598</v>
      </c>
      <c r="AE84" s="80">
        <f t="shared" si="50"/>
        <v>7.721086554240113</v>
      </c>
      <c r="AF84" s="80">
        <f t="shared" si="50"/>
        <v>7.0261887643585039</v>
      </c>
      <c r="AG84" s="633"/>
    </row>
    <row r="85" spans="1:33" ht="12.75" customHeight="1" outlineLevel="1">
      <c r="A85" s="73"/>
      <c r="B85" s="175" t="s">
        <v>366</v>
      </c>
      <c r="C85" s="74"/>
      <c r="D85" s="74"/>
      <c r="E85" s="74"/>
      <c r="F85" s="74"/>
      <c r="G85" s="74"/>
      <c r="H85" s="74"/>
      <c r="I85" s="74"/>
      <c r="J85" s="74"/>
      <c r="K85" s="74"/>
      <c r="L85" s="74"/>
      <c r="M85" s="74"/>
      <c r="N85" s="74"/>
      <c r="O85" s="74"/>
      <c r="P85" s="74"/>
      <c r="Q85" s="74"/>
      <c r="R85" s="74"/>
      <c r="S85" s="74"/>
      <c r="T85" s="74"/>
      <c r="U85" s="74"/>
      <c r="V85" s="74"/>
      <c r="W85" s="74"/>
      <c r="X85" s="74"/>
      <c r="Y85" s="74"/>
      <c r="Z85" s="74"/>
      <c r="AA85" s="74"/>
      <c r="AB85" s="74"/>
      <c r="AC85" s="74"/>
      <c r="AD85" s="74"/>
      <c r="AE85" s="74"/>
      <c r="AF85" s="74"/>
      <c r="AG85" s="633"/>
    </row>
    <row r="86" spans="1:33" ht="12.75" customHeight="1" outlineLevel="1">
      <c r="A86" s="73"/>
      <c r="B86" s="175" t="s">
        <v>367</v>
      </c>
      <c r="C86" s="74"/>
      <c r="D86" s="74"/>
      <c r="E86" s="74"/>
      <c r="F86" s="74"/>
      <c r="G86" s="74"/>
      <c r="H86" s="74"/>
      <c r="I86" s="74"/>
      <c r="J86" s="74"/>
      <c r="K86" s="74"/>
      <c r="L86" s="74"/>
      <c r="M86" s="74">
        <f>M85*M69</f>
        <v>0</v>
      </c>
      <c r="N86" s="74">
        <f>N85*N69</f>
        <v>0</v>
      </c>
      <c r="O86" s="74">
        <f t="shared" ref="O86:U86" si="51">O85*O69</f>
        <v>0</v>
      </c>
      <c r="P86" s="74">
        <f t="shared" si="51"/>
        <v>0</v>
      </c>
      <c r="Q86" s="74">
        <f t="shared" si="51"/>
        <v>0</v>
      </c>
      <c r="R86" s="551">
        <f t="shared" si="51"/>
        <v>0</v>
      </c>
      <c r="S86" s="551">
        <v>12</v>
      </c>
      <c r="T86" s="74">
        <f t="shared" si="51"/>
        <v>0</v>
      </c>
      <c r="U86" s="74">
        <f t="shared" si="51"/>
        <v>0</v>
      </c>
      <c r="V86" s="74">
        <f>V85*V69</f>
        <v>0</v>
      </c>
      <c r="W86" s="74">
        <f t="shared" ref="W86:AF86" si="52">W85*W69</f>
        <v>0</v>
      </c>
      <c r="X86" s="74">
        <f t="shared" si="52"/>
        <v>0</v>
      </c>
      <c r="Y86" s="74">
        <f t="shared" si="52"/>
        <v>0</v>
      </c>
      <c r="Z86" s="74">
        <f t="shared" si="52"/>
        <v>0</v>
      </c>
      <c r="AA86" s="74">
        <f t="shared" si="52"/>
        <v>0</v>
      </c>
      <c r="AB86" s="74">
        <f t="shared" si="52"/>
        <v>0</v>
      </c>
      <c r="AC86" s="74">
        <f t="shared" si="52"/>
        <v>0</v>
      </c>
      <c r="AD86" s="74">
        <f t="shared" si="52"/>
        <v>0</v>
      </c>
      <c r="AE86" s="74">
        <f t="shared" si="52"/>
        <v>0</v>
      </c>
      <c r="AF86" s="74">
        <f t="shared" si="52"/>
        <v>0</v>
      </c>
      <c r="AG86" s="633"/>
    </row>
    <row r="87" spans="1:33" ht="12.75" customHeight="1" outlineLevel="1">
      <c r="A87" s="73"/>
      <c r="B87" s="175" t="s">
        <v>501</v>
      </c>
      <c r="C87" s="74"/>
      <c r="D87" s="74"/>
      <c r="E87" s="74"/>
      <c r="F87" s="74"/>
      <c r="G87" s="74"/>
      <c r="H87" s="74">
        <v>33.468000000000004</v>
      </c>
      <c r="I87" s="74">
        <v>23.867999999999999</v>
      </c>
      <c r="J87" s="74">
        <v>78.518000000000001</v>
      </c>
      <c r="K87" s="74">
        <v>46.584000000000003</v>
      </c>
      <c r="L87" s="74">
        <v>219.994</v>
      </c>
      <c r="M87" s="74">
        <f>(59.267)*2</f>
        <v>118.53400000000001</v>
      </c>
      <c r="N87" s="74">
        <v>20.751999999999999</v>
      </c>
      <c r="O87" s="551">
        <v>11.699</v>
      </c>
      <c r="P87" s="551">
        <v>62</v>
      </c>
      <c r="Q87" s="551">
        <v>99</v>
      </c>
      <c r="R87" s="551">
        <v>126</v>
      </c>
      <c r="S87" s="551">
        <v>14</v>
      </c>
      <c r="T87" s="74">
        <v>10</v>
      </c>
      <c r="U87" s="74">
        <v>50</v>
      </c>
      <c r="V87" s="74">
        <v>75</v>
      </c>
      <c r="W87" s="74">
        <v>50</v>
      </c>
      <c r="X87" s="74">
        <v>50</v>
      </c>
      <c r="Y87" s="74">
        <v>50</v>
      </c>
      <c r="Z87" s="74">
        <v>10</v>
      </c>
      <c r="AA87" s="74">
        <f t="shared" ref="AA87:AF87" si="53">Z87</f>
        <v>10</v>
      </c>
      <c r="AB87" s="74">
        <f t="shared" si="53"/>
        <v>10</v>
      </c>
      <c r="AC87" s="74">
        <f t="shared" si="53"/>
        <v>10</v>
      </c>
      <c r="AD87" s="74">
        <f t="shared" si="53"/>
        <v>10</v>
      </c>
      <c r="AE87" s="74">
        <f t="shared" si="53"/>
        <v>10</v>
      </c>
      <c r="AF87" s="74">
        <f t="shared" si="53"/>
        <v>10</v>
      </c>
      <c r="AG87" s="633"/>
    </row>
    <row r="88" spans="1:33" ht="12.75" customHeight="1" outlineLevel="1">
      <c r="A88" s="73"/>
      <c r="B88" s="175" t="s">
        <v>368</v>
      </c>
      <c r="C88" s="74"/>
      <c r="D88" s="74"/>
      <c r="E88" s="74"/>
      <c r="F88" s="74"/>
      <c r="G88" s="74"/>
      <c r="H88" s="74">
        <f>511.048+33.877</f>
        <v>544.92499999999995</v>
      </c>
      <c r="I88" s="74">
        <f>460.78+26.842</f>
        <v>487.62199999999996</v>
      </c>
      <c r="J88" s="74">
        <f>1877.36+95.775</f>
        <v>1973.135</v>
      </c>
      <c r="K88" s="74">
        <f>940.797+61.726</f>
        <v>1002.523</v>
      </c>
      <c r="L88" s="74">
        <f>3712.799+319.671</f>
        <v>4032.47</v>
      </c>
      <c r="M88" s="74">
        <f>2210.607+186.115</f>
        <v>2396.7219999999998</v>
      </c>
      <c r="N88" s="74">
        <v>663.58199999999999</v>
      </c>
      <c r="O88" s="551">
        <v>674.30799999999999</v>
      </c>
      <c r="P88" s="551">
        <v>5475</v>
      </c>
      <c r="Q88" s="551">
        <v>10115</v>
      </c>
      <c r="R88" s="551">
        <v>10883</v>
      </c>
      <c r="S88" s="551">
        <v>1028</v>
      </c>
      <c r="T88" s="74">
        <f t="shared" ref="T88:AF88" si="54">T87*T69</f>
        <v>777.79871360557775</v>
      </c>
      <c r="U88" s="74">
        <f t="shared" si="54"/>
        <v>4277.8929248306777</v>
      </c>
      <c r="V88" s="74">
        <f t="shared" si="54"/>
        <v>7058.5233259706192</v>
      </c>
      <c r="W88" s="74">
        <f t="shared" si="54"/>
        <v>5176.2504390451213</v>
      </c>
      <c r="X88" s="74">
        <f t="shared" si="54"/>
        <v>5693.8754829496338</v>
      </c>
      <c r="Y88" s="74">
        <f t="shared" si="54"/>
        <v>6263.2630312445972</v>
      </c>
      <c r="Z88" s="74">
        <f t="shared" si="54"/>
        <v>1377.9178668738114</v>
      </c>
      <c r="AA88" s="74">
        <f t="shared" si="54"/>
        <v>1515.7096535611927</v>
      </c>
      <c r="AB88" s="74">
        <f t="shared" si="54"/>
        <v>1667.280618917312</v>
      </c>
      <c r="AC88" s="74">
        <f t="shared" si="54"/>
        <v>1834.0086808090437</v>
      </c>
      <c r="AD88" s="74">
        <f t="shared" si="54"/>
        <v>2017.4095488899482</v>
      </c>
      <c r="AE88" s="74">
        <f t="shared" si="54"/>
        <v>2219.1505037789429</v>
      </c>
      <c r="AF88" s="74">
        <f t="shared" si="54"/>
        <v>2441.0655541568376</v>
      </c>
      <c r="AG88" s="633"/>
    </row>
    <row r="89" spans="1:33" ht="12.75" customHeight="1" outlineLevel="1">
      <c r="A89" s="73"/>
      <c r="B89" s="175" t="s">
        <v>369</v>
      </c>
      <c r="C89" s="74">
        <v>2.879</v>
      </c>
      <c r="D89" s="74">
        <v>4.3999999999999997E-2</v>
      </c>
      <c r="E89" s="74">
        <f>245.372+41.339+0.01</f>
        <v>286.721</v>
      </c>
      <c r="F89" s="74">
        <f>339.829+0.312</f>
        <v>340.14100000000002</v>
      </c>
      <c r="G89" s="74">
        <v>0.61599999999999999</v>
      </c>
      <c r="H89" s="74">
        <f>136.199-379.145+235.495+148.894</f>
        <v>141.44300000000004</v>
      </c>
      <c r="I89" s="74">
        <v>183.16200000000001</v>
      </c>
      <c r="J89" s="74">
        <v>153.26900000000001</v>
      </c>
      <c r="K89" s="74"/>
      <c r="L89" s="74">
        <f>-362.622+155.425+39.093</f>
        <v>-168.10399999999998</v>
      </c>
      <c r="M89" s="74"/>
      <c r="N89" s="74"/>
      <c r="O89" s="74"/>
      <c r="P89" s="74"/>
      <c r="Q89" s="74"/>
      <c r="R89" s="74"/>
      <c r="S89" s="74"/>
      <c r="T89" s="74"/>
      <c r="U89" s="74"/>
      <c r="V89" s="74"/>
      <c r="W89" s="74"/>
      <c r="X89" s="74"/>
      <c r="Y89" s="74"/>
      <c r="Z89" s="74"/>
      <c r="AA89" s="74"/>
      <c r="AB89" s="74"/>
      <c r="AC89" s="74"/>
      <c r="AD89" s="74"/>
      <c r="AE89" s="74"/>
      <c r="AF89" s="74"/>
      <c r="AG89" s="633"/>
    </row>
    <row r="90" spans="1:33" ht="12.75" customHeight="1" outlineLevel="1">
      <c r="A90" s="73"/>
      <c r="B90" s="175" t="s">
        <v>370</v>
      </c>
      <c r="C90" s="74">
        <v>30.95</v>
      </c>
      <c r="D90" s="74">
        <v>44.68</v>
      </c>
      <c r="E90" s="74">
        <v>75.558000000000007</v>
      </c>
      <c r="F90" s="74">
        <f>67.615-0.005</f>
        <v>67.61</v>
      </c>
      <c r="G90" s="74">
        <f>129.77-0.056</f>
        <v>129.714</v>
      </c>
      <c r="H90" s="74">
        <f>150.369-0.13</f>
        <v>150.239</v>
      </c>
      <c r="I90" s="74">
        <v>219.75399999999999</v>
      </c>
      <c r="J90" s="74">
        <v>215.72399999999999</v>
      </c>
      <c r="K90" s="551">
        <v>187.84299999999999</v>
      </c>
      <c r="L90" s="551">
        <v>188.90600000000001</v>
      </c>
      <c r="M90" s="551">
        <f>176.699</f>
        <v>176.69900000000001</v>
      </c>
      <c r="N90" s="551">
        <v>435.68799999999999</v>
      </c>
      <c r="O90" s="551">
        <v>258.173</v>
      </c>
      <c r="P90" s="551">
        <v>362</v>
      </c>
      <c r="Q90" s="551">
        <v>384</v>
      </c>
      <c r="R90" s="551">
        <v>381</v>
      </c>
      <c r="S90" s="551">
        <v>618</v>
      </c>
      <c r="T90" s="74">
        <f t="shared" ref="T90:U90" si="55">+T7</f>
        <v>713.90000000000009</v>
      </c>
      <c r="U90" s="74">
        <f t="shared" si="55"/>
        <v>785.29000000000008</v>
      </c>
      <c r="V90" s="74">
        <f>+V7</f>
        <v>863.81900000000019</v>
      </c>
      <c r="W90" s="74">
        <f t="shared" ref="W90:AF90" si="56">+W7</f>
        <v>950.20090000000016</v>
      </c>
      <c r="X90" s="74">
        <f t="shared" si="56"/>
        <v>1045.2209900000003</v>
      </c>
      <c r="Y90" s="74">
        <f t="shared" si="56"/>
        <v>1149.7430890000005</v>
      </c>
      <c r="Z90" s="74">
        <f t="shared" si="56"/>
        <v>1264.7173979000006</v>
      </c>
      <c r="AA90" s="74">
        <f t="shared" si="56"/>
        <v>1391.1891376900007</v>
      </c>
      <c r="AB90" s="74">
        <f t="shared" si="56"/>
        <v>1530.308051459001</v>
      </c>
      <c r="AC90" s="74">
        <f>+AC7</f>
        <v>1683.3388566049011</v>
      </c>
      <c r="AD90" s="74">
        <f>+AD7</f>
        <v>1851.6727422653917</v>
      </c>
      <c r="AE90" s="74">
        <f t="shared" si="56"/>
        <v>2036.8400164919308</v>
      </c>
      <c r="AF90" s="74">
        <f t="shared" si="56"/>
        <v>2240.5240181411241</v>
      </c>
      <c r="AG90" s="633"/>
    </row>
    <row r="91" spans="1:33" ht="12.75" customHeight="1" outlineLevel="1">
      <c r="A91" s="145"/>
      <c r="B91" s="177" t="s">
        <v>371</v>
      </c>
      <c r="C91" s="146">
        <f>C86-C88+C80+C81+C89</f>
        <v>9.7360000000000007</v>
      </c>
      <c r="D91" s="146">
        <f>D86-D88+D80+D81+D89</f>
        <v>7.0949999999999989</v>
      </c>
      <c r="E91" s="146">
        <f>E86-E88+E80+E81+E89</f>
        <v>427.322</v>
      </c>
      <c r="F91" s="146">
        <f>F86-F88+F80+F81+F89+F90</f>
        <v>440.93600000000004</v>
      </c>
      <c r="G91" s="146">
        <f>G86-G88+G80+G81+G89+G90</f>
        <v>312.30200000000002</v>
      </c>
      <c r="H91" s="146">
        <f t="shared" ref="H91:U91" si="57">H86-H88+H80+H81+H89+H90</f>
        <v>-12.877999999999957</v>
      </c>
      <c r="I91" s="146">
        <f t="shared" si="57"/>
        <v>49.623000000000047</v>
      </c>
      <c r="J91" s="146">
        <f t="shared" si="57"/>
        <v>-1364.2380000000001</v>
      </c>
      <c r="K91" s="146">
        <f t="shared" si="57"/>
        <v>-494.255</v>
      </c>
      <c r="L91" s="146">
        <f t="shared" si="57"/>
        <v>-3696.6809999999996</v>
      </c>
      <c r="M91" s="146">
        <f t="shared" si="57"/>
        <v>-1955.7499999999995</v>
      </c>
      <c r="N91" s="146">
        <f t="shared" si="57"/>
        <v>123.69999999999999</v>
      </c>
      <c r="O91" s="146">
        <f t="shared" si="57"/>
        <v>435.91200000000003</v>
      </c>
      <c r="P91" s="146">
        <f t="shared" si="57"/>
        <v>-4297</v>
      </c>
      <c r="Q91" s="146">
        <f t="shared" si="57"/>
        <v>-8824</v>
      </c>
      <c r="R91" s="146">
        <f>R86-R88+R80+R81+R89+R90</f>
        <v>-10104</v>
      </c>
      <c r="S91" s="146">
        <f t="shared" si="57"/>
        <v>-170.67406773436676</v>
      </c>
      <c r="T91" s="146">
        <f t="shared" si="57"/>
        <v>207.92256868280538</v>
      </c>
      <c r="U91" s="146">
        <f t="shared" si="57"/>
        <v>-3250.4101623117285</v>
      </c>
      <c r="V91" s="146">
        <f>V86-V88+V80+V81+V89+V90</f>
        <v>-6065.2280751279886</v>
      </c>
      <c r="W91" s="146">
        <f t="shared" ref="W91:AF91" si="58">W86-W88+W80+W81+W89+W90</f>
        <v>-4096.443811951649</v>
      </c>
      <c r="X91" s="146">
        <f t="shared" si="58"/>
        <v>-4518.9191601290677</v>
      </c>
      <c r="Y91" s="146">
        <f t="shared" si="58"/>
        <v>-4983.6548740912103</v>
      </c>
      <c r="Z91" s="146">
        <f t="shared" si="58"/>
        <v>16.794464247729593</v>
      </c>
      <c r="AA91" s="146">
        <f t="shared" si="58"/>
        <v>5.6044122835701273</v>
      </c>
      <c r="AB91" s="146">
        <f t="shared" si="58"/>
        <v>-6.7175143753943303</v>
      </c>
      <c r="AC91" s="146">
        <f t="shared" si="58"/>
        <v>-20.284516068142921</v>
      </c>
      <c r="AD91" s="146">
        <f t="shared" si="58"/>
        <v>-35.221113180420843</v>
      </c>
      <c r="AE91" s="146">
        <f t="shared" si="58"/>
        <v>-51.664278149431993</v>
      </c>
      <c r="AF91" s="146">
        <f t="shared" si="58"/>
        <v>-69.764680668995879</v>
      </c>
      <c r="AG91" s="624"/>
    </row>
    <row r="92" spans="1:33" ht="12.75" customHeight="1" outlineLevel="1">
      <c r="A92" s="73"/>
      <c r="B92" s="175" t="s">
        <v>372</v>
      </c>
      <c r="C92" s="57">
        <f>(188.575*2*2)*2</f>
        <v>1508.6</v>
      </c>
      <c r="D92" s="57">
        <f>C93</f>
        <v>1544.328</v>
      </c>
      <c r="E92" s="57">
        <f t="shared" ref="E92:U92" si="59">D93</f>
        <v>1580.76</v>
      </c>
      <c r="F92" s="57">
        <f t="shared" si="59"/>
        <v>1706.0239999999999</v>
      </c>
      <c r="G92" s="57">
        <f t="shared" si="59"/>
        <v>1795.288</v>
      </c>
      <c r="H92" s="57">
        <f t="shared" si="59"/>
        <v>1838.904</v>
      </c>
      <c r="I92" s="57">
        <f t="shared" si="59"/>
        <v>1844.49</v>
      </c>
      <c r="J92" s="57">
        <f t="shared" si="59"/>
        <v>1864.9680000000001</v>
      </c>
      <c r="K92" s="57">
        <f t="shared" si="59"/>
        <v>1819.6379999999999</v>
      </c>
      <c r="L92" s="57">
        <f t="shared" si="59"/>
        <v>1799.5060000000001</v>
      </c>
      <c r="M92" s="57">
        <f t="shared" si="59"/>
        <v>1603.9960000000001</v>
      </c>
      <c r="N92" s="57">
        <f t="shared" si="59"/>
        <v>1506.212</v>
      </c>
      <c r="O92" s="57">
        <f t="shared" si="59"/>
        <v>1519.163</v>
      </c>
      <c r="P92" s="57">
        <f t="shared" si="59"/>
        <v>1534.414</v>
      </c>
      <c r="Q92" s="57">
        <f t="shared" si="59"/>
        <v>1499</v>
      </c>
      <c r="R92" s="57">
        <f t="shared" si="59"/>
        <v>1422</v>
      </c>
      <c r="S92" s="57">
        <f t="shared" si="59"/>
        <v>1310</v>
      </c>
      <c r="T92" s="57">
        <f t="shared" si="59"/>
        <v>1308</v>
      </c>
      <c r="U92" s="57">
        <f t="shared" si="59"/>
        <v>1305.5550000000001</v>
      </c>
      <c r="V92" s="57">
        <f>U93</f>
        <v>1261.67455</v>
      </c>
      <c r="W92" s="57">
        <f t="shared" ref="W92:AF92" si="60">V93</f>
        <v>1189.6486513</v>
      </c>
      <c r="X92" s="57">
        <f t="shared" si="60"/>
        <v>1142.355083483</v>
      </c>
      <c r="Y92" s="57">
        <f t="shared" si="60"/>
        <v>1094.81793676953</v>
      </c>
      <c r="Z92" s="57">
        <f t="shared" si="60"/>
        <v>1047.0591332602723</v>
      </c>
      <c r="AA92" s="57">
        <f t="shared" si="60"/>
        <v>1039.0986220668478</v>
      </c>
      <c r="AB92" s="57">
        <f t="shared" si="60"/>
        <v>1030.9545568808314</v>
      </c>
      <c r="AC92" s="57">
        <f t="shared" si="60"/>
        <v>1022.6434575615565</v>
      </c>
      <c r="AD92" s="57">
        <f t="shared" si="60"/>
        <v>1014.1803571810165</v>
      </c>
      <c r="AE92" s="57">
        <f t="shared" si="60"/>
        <v>1005.5789358347249</v>
      </c>
      <c r="AF92" s="57">
        <f t="shared" si="60"/>
        <v>996.85164240959966</v>
      </c>
      <c r="AG92" s="633"/>
    </row>
    <row r="93" spans="1:33" ht="12.75" customHeight="1" outlineLevel="1">
      <c r="A93" s="73"/>
      <c r="B93" s="175" t="s">
        <v>373</v>
      </c>
      <c r="C93" s="57">
        <f>(193.041*2*2)*2</f>
        <v>1544.328</v>
      </c>
      <c r="D93" s="57">
        <f>(197.595*2*2)*2</f>
        <v>1580.76</v>
      </c>
      <c r="E93" s="57">
        <f>(426.506*2)*2</f>
        <v>1706.0239999999999</v>
      </c>
      <c r="F93" s="57">
        <f>(448.822*2)*2</f>
        <v>1795.288</v>
      </c>
      <c r="G93" s="57">
        <f>(459.726*2)*2</f>
        <v>1838.904</v>
      </c>
      <c r="H93" s="57">
        <v>1844.49</v>
      </c>
      <c r="I93" s="57">
        <v>1864.9680000000001</v>
      </c>
      <c r="J93" s="57">
        <v>1819.6379999999999</v>
      </c>
      <c r="K93" s="57">
        <v>1799.5060000000001</v>
      </c>
      <c r="L93" s="57">
        <v>1603.9960000000001</v>
      </c>
      <c r="M93" s="57">
        <v>1506.212</v>
      </c>
      <c r="N93" s="57">
        <v>1519.163</v>
      </c>
      <c r="O93" s="554">
        <v>1534.414</v>
      </c>
      <c r="P93" s="554">
        <v>1499</v>
      </c>
      <c r="Q93" s="554">
        <v>1422</v>
      </c>
      <c r="R93" s="554">
        <v>1310</v>
      </c>
      <c r="S93" s="554">
        <v>1308</v>
      </c>
      <c r="T93" s="57">
        <f>T92+T76-T87+T85</f>
        <v>1305.5550000000001</v>
      </c>
      <c r="U93" s="57">
        <f>U92+U76-U87+U85</f>
        <v>1261.67455</v>
      </c>
      <c r="V93" s="57">
        <f>V92+V76-V87+V85</f>
        <v>1189.6486513</v>
      </c>
      <c r="W93" s="57">
        <f t="shared" ref="W93:AF93" si="61">W92+W76-W87+W85</f>
        <v>1142.355083483</v>
      </c>
      <c r="X93" s="57">
        <f t="shared" si="61"/>
        <v>1094.81793676953</v>
      </c>
      <c r="Y93" s="57">
        <f t="shared" si="61"/>
        <v>1047.0591332602723</v>
      </c>
      <c r="Z93" s="57">
        <f t="shared" si="61"/>
        <v>1039.0986220668478</v>
      </c>
      <c r="AA93" s="57">
        <f t="shared" si="61"/>
        <v>1030.9545568808314</v>
      </c>
      <c r="AB93" s="57">
        <f t="shared" si="61"/>
        <v>1022.6434575615565</v>
      </c>
      <c r="AC93" s="57">
        <f t="shared" si="61"/>
        <v>1014.1803571810165</v>
      </c>
      <c r="AD93" s="57">
        <f t="shared" si="61"/>
        <v>1005.5789358347249</v>
      </c>
      <c r="AE93" s="57">
        <f t="shared" si="61"/>
        <v>996.85164240959966</v>
      </c>
      <c r="AF93" s="57">
        <f t="shared" si="61"/>
        <v>988.00980539273564</v>
      </c>
      <c r="AG93" s="633"/>
    </row>
    <row r="94" spans="1:33" ht="12.75" customHeight="1" outlineLevel="1">
      <c r="A94" s="73"/>
      <c r="B94" s="175" t="s">
        <v>374</v>
      </c>
      <c r="C94" s="57">
        <f>IS!C86</f>
        <v>1521.96</v>
      </c>
      <c r="D94" s="57">
        <f>IS!H86</f>
        <v>1564.3440000000001</v>
      </c>
      <c r="E94" s="57">
        <f>IS!M86</f>
        <v>1608.84</v>
      </c>
      <c r="F94" s="57">
        <f>IS!R86</f>
        <v>1728</v>
      </c>
      <c r="G94" s="57">
        <f>IS!W86</f>
        <v>1817.356</v>
      </c>
      <c r="H94" s="57">
        <f>IS!AB86</f>
        <v>1836.424</v>
      </c>
      <c r="I94" s="57">
        <f>IS!AG86</f>
        <v>1858.2660000000001</v>
      </c>
      <c r="J94" s="57">
        <f>IS!AL86</f>
        <v>1841.386</v>
      </c>
      <c r="K94" s="57">
        <f>IS!AQ86</f>
        <v>1809.2080000000001</v>
      </c>
      <c r="L94" s="57">
        <f>IS!AV86</f>
        <v>1712.12</v>
      </c>
      <c r="M94" s="57">
        <f>IS!BA86</f>
        <v>1514.6210000000001</v>
      </c>
      <c r="N94" s="57">
        <f>IS!BF86</f>
        <v>1514.6210000000001</v>
      </c>
      <c r="O94" s="57">
        <f>IS!BK86</f>
        <v>1528.576</v>
      </c>
      <c r="P94" s="57">
        <f>IS!BP86</f>
        <v>1522</v>
      </c>
      <c r="Q94" s="57">
        <f>IS!BU86</f>
        <v>1464</v>
      </c>
      <c r="R94" s="57">
        <f>IS!BZ86</f>
        <v>1339</v>
      </c>
      <c r="S94" s="57">
        <f>IS!CE86</f>
        <v>1307</v>
      </c>
      <c r="T94" s="57">
        <f>IS!CJ86</f>
        <v>1306.7775000000001</v>
      </c>
      <c r="U94" s="57">
        <f>IS!CO86</f>
        <v>1283.614775</v>
      </c>
      <c r="V94" s="57">
        <f>IS!CT86</f>
        <v>1225.6616006499999</v>
      </c>
      <c r="W94" s="57">
        <f>IS!CY86</f>
        <v>1166.0018673915001</v>
      </c>
      <c r="X94" s="57">
        <f>IS!DD86</f>
        <v>1118.586510126265</v>
      </c>
      <c r="Y94" s="57">
        <f>IS!DI86</f>
        <v>1070.9385350149012</v>
      </c>
      <c r="Z94" s="57">
        <f>IS!DN86</f>
        <v>1043.07887766356</v>
      </c>
      <c r="AA94" s="57">
        <f>IS!DS86</f>
        <v>1035.0265894738395</v>
      </c>
      <c r="AB94" s="57">
        <f>IS!DX86</f>
        <v>1026.799007221194</v>
      </c>
      <c r="AC94" s="57">
        <f>IS!EC86</f>
        <v>1018.4119073712865</v>
      </c>
      <c r="AD94" s="57">
        <f>IS!EH86</f>
        <v>1009.8796465078707</v>
      </c>
      <c r="AE94" s="57">
        <f>IS!EM86</f>
        <v>1001.2152891221623</v>
      </c>
      <c r="AF94" s="57">
        <f>IS!ER86</f>
        <v>992.43072390116765</v>
      </c>
      <c r="AG94" s="633"/>
    </row>
    <row r="95" spans="1:33" ht="12.75" customHeight="1" outlineLevel="1">
      <c r="A95" s="73"/>
      <c r="B95" s="175" t="s">
        <v>375</v>
      </c>
      <c r="C95" s="57">
        <f>IS!C87</f>
        <v>1618.568</v>
      </c>
      <c r="D95" s="57">
        <f>IS!H87</f>
        <v>1651.816</v>
      </c>
      <c r="E95" s="57">
        <f>IS!M87</f>
        <v>1608.84</v>
      </c>
      <c r="F95" s="57">
        <f>IS!R87</f>
        <v>1856.9839999999999</v>
      </c>
      <c r="G95" s="57">
        <f>IS!W87</f>
        <v>1897.136</v>
      </c>
      <c r="H95" s="57">
        <f>IS!AB87</f>
        <v>1836.424</v>
      </c>
      <c r="I95" s="57">
        <f>IS!AG87</f>
        <v>1928.712</v>
      </c>
      <c r="J95" s="57">
        <f>IS!AL87</f>
        <v>1917.65</v>
      </c>
      <c r="K95" s="57">
        <f>IS!AQ87</f>
        <v>1868.2180000000001</v>
      </c>
      <c r="L95" s="57">
        <f>IS!AV87</f>
        <v>1746.7919999999999</v>
      </c>
      <c r="M95" s="57">
        <f>IS!BA87</f>
        <v>1580.1475</v>
      </c>
      <c r="N95" s="57">
        <f>IS!BF87</f>
        <v>1582.549</v>
      </c>
      <c r="O95" s="57">
        <f>IS!BK87</f>
        <v>1686.4367499999998</v>
      </c>
      <c r="P95" s="57">
        <f>IS!BP87</f>
        <v>1647</v>
      </c>
      <c r="Q95" s="57">
        <f>IS!BU87</f>
        <v>1521</v>
      </c>
      <c r="R95" s="57">
        <f>IS!BZ87</f>
        <v>1358</v>
      </c>
      <c r="S95" s="57">
        <f>IS!CE87</f>
        <v>1315.75</v>
      </c>
      <c r="T95" s="57">
        <f>IS!CJ87</f>
        <v>1315.5260104246368</v>
      </c>
      <c r="U95" s="57">
        <f>IS!CO87</f>
        <v>1292.2082174493114</v>
      </c>
      <c r="V95" s="57">
        <f>IS!CT87</f>
        <v>1233.8670627813599</v>
      </c>
      <c r="W95" s="57">
        <f>IS!CY87</f>
        <v>1173.8079242695992</v>
      </c>
      <c r="X95" s="57">
        <f>IS!DD87</f>
        <v>1126.0751344289465</v>
      </c>
      <c r="Y95" s="57">
        <f>IS!DI87</f>
        <v>1078.1081694306474</v>
      </c>
      <c r="Z95" s="57">
        <f>IS!DN87</f>
        <v>1050.06199945358</v>
      </c>
      <c r="AA95" s="57">
        <f>IS!DS87</f>
        <v>1041.9558034431557</v>
      </c>
      <c r="AB95" s="57">
        <f>IS!DX87</f>
        <v>1033.6731398250083</v>
      </c>
      <c r="AC95" s="57">
        <f>IS!EC87</f>
        <v>1025.2298906838334</v>
      </c>
      <c r="AD95" s="57">
        <f>IS!EH87</f>
        <v>1016.640508716703</v>
      </c>
      <c r="AE95" s="57">
        <f>IS!EM87</f>
        <v>1007.9181458779533</v>
      </c>
      <c r="AF95" s="57">
        <f>IS!ER87</f>
        <v>999.07477044603013</v>
      </c>
      <c r="AG95" s="633"/>
    </row>
    <row r="96" spans="1:33" ht="12.75" customHeight="1">
      <c r="A96" s="73"/>
      <c r="B96" s="73"/>
      <c r="C96" s="57"/>
      <c r="D96" s="57"/>
      <c r="E96" s="57"/>
      <c r="F96" s="57"/>
      <c r="G96" s="57"/>
      <c r="H96" s="57"/>
      <c r="I96" s="57"/>
      <c r="J96" s="57"/>
      <c r="K96" s="81"/>
      <c r="L96" s="81"/>
      <c r="M96" s="81"/>
      <c r="N96" s="81"/>
      <c r="O96" s="81"/>
      <c r="P96" s="81"/>
      <c r="Q96" s="81"/>
      <c r="R96" s="81"/>
      <c r="S96" s="81"/>
      <c r="T96" s="81"/>
      <c r="U96" s="81"/>
      <c r="V96" s="81"/>
      <c r="W96" s="81"/>
      <c r="X96" s="81"/>
      <c r="Y96" s="81"/>
      <c r="Z96" s="81"/>
      <c r="AA96" s="81"/>
      <c r="AB96" s="81"/>
      <c r="AC96" s="81"/>
      <c r="AD96" s="81"/>
      <c r="AE96" s="81"/>
      <c r="AF96" s="81"/>
      <c r="AG96" s="633"/>
    </row>
    <row r="97" spans="1:33" ht="12.75" customHeight="1" outlineLevel="1">
      <c r="A97" s="73"/>
      <c r="B97" s="675" t="s">
        <v>830</v>
      </c>
      <c r="C97" s="57"/>
      <c r="D97" s="57"/>
      <c r="E97" s="57"/>
      <c r="F97" s="57"/>
      <c r="G97" s="57"/>
      <c r="H97" s="57"/>
      <c r="I97" s="57"/>
      <c r="J97" s="57"/>
      <c r="K97" s="81"/>
      <c r="L97" s="81"/>
      <c r="M97" s="81"/>
      <c r="N97" s="81"/>
      <c r="O97" s="81"/>
      <c r="P97" s="81"/>
      <c r="Q97" s="81"/>
      <c r="R97" s="81"/>
      <c r="S97" s="81"/>
      <c r="T97" s="81"/>
      <c r="U97" s="81"/>
      <c r="V97" s="81"/>
      <c r="W97" s="81"/>
      <c r="X97" s="81"/>
      <c r="Y97" s="81"/>
      <c r="Z97" s="81"/>
      <c r="AA97" s="81"/>
      <c r="AB97" s="81"/>
      <c r="AC97" s="81"/>
      <c r="AD97" s="81"/>
      <c r="AE97" s="81"/>
      <c r="AF97" s="81"/>
      <c r="AG97" s="633"/>
    </row>
    <row r="98" spans="1:33" ht="12.75" customHeight="1" outlineLevel="1">
      <c r="A98" s="73"/>
      <c r="B98" s="73"/>
      <c r="C98" s="57"/>
      <c r="D98" s="57"/>
      <c r="E98" s="57"/>
      <c r="F98" s="57"/>
      <c r="G98" s="57"/>
      <c r="H98" s="57"/>
      <c r="I98" s="57"/>
      <c r="J98" s="57"/>
      <c r="K98" s="81"/>
      <c r="L98" s="81"/>
      <c r="M98" s="81"/>
      <c r="N98" s="81"/>
      <c r="O98" s="81"/>
      <c r="P98" s="81"/>
      <c r="Q98" s="81"/>
      <c r="R98" s="81"/>
      <c r="S98" s="81"/>
      <c r="T98" s="81"/>
      <c r="U98" s="81"/>
      <c r="V98" s="81"/>
      <c r="W98" s="81"/>
      <c r="X98" s="81"/>
      <c r="Y98" s="81"/>
      <c r="Z98" s="81"/>
      <c r="AA98" s="81"/>
      <c r="AB98" s="81"/>
      <c r="AC98" s="81"/>
      <c r="AD98" s="81"/>
      <c r="AE98" s="81"/>
      <c r="AF98" s="81"/>
      <c r="AG98" s="633"/>
    </row>
    <row r="99" spans="1:33" ht="12.75" customHeight="1" outlineLevel="1">
      <c r="A99" s="73"/>
      <c r="B99" s="73" t="s">
        <v>825</v>
      </c>
      <c r="C99" s="57"/>
      <c r="D99" s="57"/>
      <c r="E99" s="57"/>
      <c r="F99" s="57"/>
      <c r="G99" s="57"/>
      <c r="H99" s="57"/>
      <c r="I99" s="57"/>
      <c r="J99" s="57"/>
      <c r="K99" s="81"/>
      <c r="L99" s="81"/>
      <c r="M99" s="81"/>
      <c r="N99" s="81"/>
      <c r="O99" s="81"/>
      <c r="P99" s="81">
        <f>P88</f>
        <v>5475</v>
      </c>
      <c r="Q99" s="81">
        <f t="shared" ref="Q99:AF99" si="62">Q88</f>
        <v>10115</v>
      </c>
      <c r="R99" s="81">
        <f t="shared" si="62"/>
        <v>10883</v>
      </c>
      <c r="S99" s="81">
        <f t="shared" si="62"/>
        <v>1028</v>
      </c>
      <c r="T99" s="81">
        <f t="shared" si="62"/>
        <v>777.79871360557775</v>
      </c>
      <c r="U99" s="81">
        <f t="shared" si="62"/>
        <v>4277.8929248306777</v>
      </c>
      <c r="V99" s="81">
        <f t="shared" si="62"/>
        <v>7058.5233259706192</v>
      </c>
      <c r="W99" s="81">
        <f t="shared" si="62"/>
        <v>5176.2504390451213</v>
      </c>
      <c r="X99" s="81">
        <f t="shared" si="62"/>
        <v>5693.8754829496338</v>
      </c>
      <c r="Y99" s="81">
        <f t="shared" si="62"/>
        <v>6263.2630312445972</v>
      </c>
      <c r="Z99" s="81">
        <f t="shared" si="62"/>
        <v>1377.9178668738114</v>
      </c>
      <c r="AA99" s="81">
        <f t="shared" si="62"/>
        <v>1515.7096535611927</v>
      </c>
      <c r="AB99" s="81">
        <f t="shared" si="62"/>
        <v>1667.280618917312</v>
      </c>
      <c r="AC99" s="81">
        <f t="shared" si="62"/>
        <v>1834.0086808090437</v>
      </c>
      <c r="AD99" s="81">
        <f t="shared" si="62"/>
        <v>2017.4095488899482</v>
      </c>
      <c r="AE99" s="81">
        <f t="shared" si="62"/>
        <v>2219.1505037789429</v>
      </c>
      <c r="AF99" s="81">
        <f t="shared" si="62"/>
        <v>2441.0655541568376</v>
      </c>
      <c r="AG99" s="633"/>
    </row>
    <row r="100" spans="1:33" ht="12.75" customHeight="1" outlineLevel="1">
      <c r="A100" s="73"/>
      <c r="B100" s="73" t="s">
        <v>826</v>
      </c>
      <c r="C100" s="57"/>
      <c r="D100" s="57"/>
      <c r="E100" s="57"/>
      <c r="F100" s="57"/>
      <c r="G100" s="57"/>
      <c r="H100" s="57"/>
      <c r="I100" s="57"/>
      <c r="J100" s="57"/>
      <c r="K100" s="81"/>
      <c r="L100" s="81"/>
      <c r="M100" s="81"/>
      <c r="N100" s="81"/>
      <c r="O100" s="81"/>
      <c r="P100" s="81">
        <f>-P43</f>
        <v>0</v>
      </c>
      <c r="Q100" s="81">
        <f>-Q43</f>
        <v>1874</v>
      </c>
      <c r="R100" s="81">
        <f>-R43</f>
        <v>2455</v>
      </c>
      <c r="S100" s="81">
        <f>-S43</f>
        <v>2731</v>
      </c>
      <c r="T100" s="81">
        <f>S100*1.1</f>
        <v>3004.1000000000004</v>
      </c>
      <c r="U100" s="81">
        <f>T100*1.1</f>
        <v>3304.5100000000007</v>
      </c>
      <c r="V100" s="81">
        <f>U100*1.1</f>
        <v>3634.9610000000011</v>
      </c>
      <c r="W100" s="81">
        <f>W101*W20</f>
        <v>3564.7123430662186</v>
      </c>
      <c r="X100" s="81">
        <f t="shared" ref="X100:AF100" si="63">X101*X20</f>
        <v>3661.5634401635557</v>
      </c>
      <c r="Y100" s="81">
        <f t="shared" si="63"/>
        <v>3880.7729739417559</v>
      </c>
      <c r="Z100" s="81">
        <f t="shared" si="63"/>
        <v>4158.5285965023349</v>
      </c>
      <c r="AA100" s="81">
        <f t="shared" si="63"/>
        <v>3458.576171023672</v>
      </c>
      <c r="AB100" s="81">
        <f t="shared" si="63"/>
        <v>2843.1756922086497</v>
      </c>
      <c r="AC100" s="81">
        <f t="shared" si="63"/>
        <v>2710.5752160488055</v>
      </c>
      <c r="AD100" s="81">
        <f t="shared" si="63"/>
        <v>2752.9566373196676</v>
      </c>
      <c r="AE100" s="81">
        <f t="shared" si="63"/>
        <v>2832.7580712394847</v>
      </c>
      <c r="AF100" s="81">
        <f t="shared" si="63"/>
        <v>3618.309662684027</v>
      </c>
      <c r="AG100" s="633"/>
    </row>
    <row r="101" spans="1:33" ht="12.75" customHeight="1" outlineLevel="1">
      <c r="A101" s="73"/>
      <c r="B101" s="73" t="s">
        <v>827</v>
      </c>
      <c r="C101" s="57"/>
      <c r="D101" s="57"/>
      <c r="E101" s="57"/>
      <c r="F101" s="57"/>
      <c r="G101" s="57"/>
      <c r="H101" s="57"/>
      <c r="I101" s="57"/>
      <c r="J101" s="57"/>
      <c r="K101" s="81"/>
      <c r="L101" s="81"/>
      <c r="M101" s="81"/>
      <c r="N101" s="81"/>
      <c r="O101" s="81"/>
      <c r="P101" s="81"/>
      <c r="Q101" s="37">
        <f t="shared" ref="Q101:V101" si="64">Q100/Q3</f>
        <v>0.10350160167900144</v>
      </c>
      <c r="R101" s="37">
        <f t="shared" si="64"/>
        <v>0.18201364175563464</v>
      </c>
      <c r="S101" s="37">
        <f t="shared" si="64"/>
        <v>0.58807062876830318</v>
      </c>
      <c r="T101" s="37">
        <f t="shared" si="64"/>
        <v>0.40205364904483037</v>
      </c>
      <c r="U101" s="37">
        <f t="shared" si="64"/>
        <v>0.43709762917431039</v>
      </c>
      <c r="V101" s="37">
        <f t="shared" si="64"/>
        <v>0.43083921457375124</v>
      </c>
      <c r="W101" s="37">
        <v>0.35</v>
      </c>
      <c r="X101" s="37">
        <f>W101</f>
        <v>0.35</v>
      </c>
      <c r="Y101" s="37">
        <f t="shared" ref="Y101:AF101" si="65">X101</f>
        <v>0.35</v>
      </c>
      <c r="Z101" s="37">
        <f t="shared" si="65"/>
        <v>0.35</v>
      </c>
      <c r="AA101" s="37">
        <f t="shared" si="65"/>
        <v>0.35</v>
      </c>
      <c r="AB101" s="37">
        <f t="shared" si="65"/>
        <v>0.35</v>
      </c>
      <c r="AC101" s="37">
        <f t="shared" si="65"/>
        <v>0.35</v>
      </c>
      <c r="AD101" s="37">
        <f t="shared" si="65"/>
        <v>0.35</v>
      </c>
      <c r="AE101" s="37">
        <f t="shared" si="65"/>
        <v>0.35</v>
      </c>
      <c r="AF101" s="37">
        <f t="shared" si="65"/>
        <v>0.35</v>
      </c>
      <c r="AG101" s="633"/>
    </row>
    <row r="102" spans="1:33" ht="12.75" customHeight="1" outlineLevel="1">
      <c r="A102" s="73"/>
      <c r="B102" s="73" t="s">
        <v>828</v>
      </c>
      <c r="C102" s="57"/>
      <c r="D102" s="57"/>
      <c r="E102" s="57"/>
      <c r="F102" s="57"/>
      <c r="G102" s="57"/>
      <c r="H102" s="57"/>
      <c r="I102" s="57"/>
      <c r="J102" s="57"/>
      <c r="K102" s="81"/>
      <c r="L102" s="81"/>
      <c r="M102" s="81"/>
      <c r="N102" s="81"/>
      <c r="O102" s="81"/>
      <c r="P102" s="81">
        <f>P100+P99</f>
        <v>5475</v>
      </c>
      <c r="Q102" s="81">
        <f t="shared" ref="Q102:AF102" si="66">Q100+Q99</f>
        <v>11989</v>
      </c>
      <c r="R102" s="81">
        <f t="shared" si="66"/>
        <v>13338</v>
      </c>
      <c r="S102" s="81">
        <f t="shared" si="66"/>
        <v>3759</v>
      </c>
      <c r="T102" s="81">
        <f t="shared" si="66"/>
        <v>3781.898713605578</v>
      </c>
      <c r="U102" s="81">
        <f t="shared" si="66"/>
        <v>7582.4029248306779</v>
      </c>
      <c r="V102" s="81">
        <f t="shared" si="66"/>
        <v>10693.484325970621</v>
      </c>
      <c r="W102" s="81">
        <f t="shared" si="66"/>
        <v>8740.962782111339</v>
      </c>
      <c r="X102" s="81">
        <f t="shared" si="66"/>
        <v>9355.43892311319</v>
      </c>
      <c r="Y102" s="81">
        <f t="shared" si="66"/>
        <v>10144.036005186354</v>
      </c>
      <c r="Z102" s="81">
        <f t="shared" si="66"/>
        <v>5536.4464633761463</v>
      </c>
      <c r="AA102" s="81">
        <f t="shared" si="66"/>
        <v>4974.2858245848647</v>
      </c>
      <c r="AB102" s="81">
        <f t="shared" si="66"/>
        <v>4510.4563111259613</v>
      </c>
      <c r="AC102" s="81">
        <f t="shared" si="66"/>
        <v>4544.5838968578491</v>
      </c>
      <c r="AD102" s="81">
        <f t="shared" si="66"/>
        <v>4770.366186209616</v>
      </c>
      <c r="AE102" s="81">
        <f t="shared" si="66"/>
        <v>5051.9085750184277</v>
      </c>
      <c r="AF102" s="81">
        <f t="shared" si="66"/>
        <v>6059.3752168408646</v>
      </c>
      <c r="AG102" s="633"/>
    </row>
    <row r="103" spans="1:33" ht="12.75" customHeight="1" outlineLevel="1">
      <c r="A103" s="73"/>
      <c r="B103" s="73" t="s">
        <v>519</v>
      </c>
      <c r="C103" s="57"/>
      <c r="D103" s="57"/>
      <c r="E103" s="57"/>
      <c r="F103" s="57"/>
      <c r="G103" s="57"/>
      <c r="H103" s="57"/>
      <c r="I103" s="57"/>
      <c r="J103" s="57"/>
      <c r="K103" s="81"/>
      <c r="L103" s="81"/>
      <c r="M103" s="81"/>
      <c r="N103" s="81"/>
      <c r="O103" s="81"/>
      <c r="P103" s="81">
        <f>P60</f>
        <v>12745</v>
      </c>
      <c r="Q103" s="81">
        <f t="shared" ref="Q103:AF103" si="67">Q60</f>
        <v>20168</v>
      </c>
      <c r="R103" s="81">
        <f t="shared" si="67"/>
        <v>15913</v>
      </c>
      <c r="S103" s="81">
        <f t="shared" si="67"/>
        <v>11308</v>
      </c>
      <c r="T103" s="81">
        <f t="shared" si="67"/>
        <v>6321.2952457791871</v>
      </c>
      <c r="U103" s="81">
        <f t="shared" si="67"/>
        <v>9246.9695141510492</v>
      </c>
      <c r="V103" s="81">
        <f t="shared" si="67"/>
        <v>9844.9327801570762</v>
      </c>
      <c r="W103" s="81">
        <f t="shared" si="67"/>
        <v>9527.530215385299</v>
      </c>
      <c r="X103" s="81">
        <f t="shared" si="67"/>
        <v>9725.5975255587764</v>
      </c>
      <c r="Y103" s="81">
        <f t="shared" si="67"/>
        <v>10264.608410561357</v>
      </c>
      <c r="Z103" s="81">
        <f t="shared" si="67"/>
        <v>10965.295909206756</v>
      </c>
      <c r="AA103" s="81">
        <f t="shared" si="67"/>
        <v>9134.8794632427798</v>
      </c>
      <c r="AB103" s="81">
        <f t="shared" si="67"/>
        <v>7403.747396197281</v>
      </c>
      <c r="AC103" s="81">
        <f t="shared" si="67"/>
        <v>6989.6287909892826</v>
      </c>
      <c r="AD103" s="81">
        <f t="shared" si="67"/>
        <v>7071.7417881734909</v>
      </c>
      <c r="AE103" s="81">
        <f t="shared" si="67"/>
        <v>7397.5948051729147</v>
      </c>
      <c r="AF103" s="81">
        <f t="shared" si="67"/>
        <v>9638.3845525882371</v>
      </c>
      <c r="AG103" s="633"/>
    </row>
    <row r="104" spans="1:33" ht="12.75" customHeight="1" outlineLevel="1">
      <c r="A104" s="73"/>
      <c r="B104" s="73" t="s">
        <v>829</v>
      </c>
      <c r="C104" s="57"/>
      <c r="D104" s="57"/>
      <c r="E104" s="57"/>
      <c r="F104" s="57"/>
      <c r="G104" s="57"/>
      <c r="H104" s="57"/>
      <c r="I104" s="57"/>
      <c r="J104" s="57"/>
      <c r="K104" s="81"/>
      <c r="L104" s="81"/>
      <c r="M104" s="81"/>
      <c r="N104" s="81"/>
      <c r="O104" s="81"/>
      <c r="P104" s="37">
        <f>P102/P103</f>
        <v>0.42958022754021186</v>
      </c>
      <c r="Q104" s="37">
        <f t="shared" ref="Q104:AF104" si="68">Q102/Q103</f>
        <v>0.59445656485521614</v>
      </c>
      <c r="R104" s="37">
        <f t="shared" si="68"/>
        <v>0.83818261798529503</v>
      </c>
      <c r="S104" s="37">
        <f t="shared" si="68"/>
        <v>0.33241952599929253</v>
      </c>
      <c r="T104" s="37">
        <f t="shared" si="68"/>
        <v>0.59827908151115106</v>
      </c>
      <c r="U104" s="37">
        <f t="shared" si="68"/>
        <v>0.81998787962120878</v>
      </c>
      <c r="V104" s="37">
        <f t="shared" si="68"/>
        <v>1.0861917053942554</v>
      </c>
      <c r="W104" s="37">
        <f t="shared" si="68"/>
        <v>0.91744267239333543</v>
      </c>
      <c r="X104" s="37">
        <f t="shared" si="68"/>
        <v>0.96193975727734848</v>
      </c>
      <c r="Y104" s="37">
        <f t="shared" si="68"/>
        <v>0.98825357962502047</v>
      </c>
      <c r="Z104" s="37">
        <f t="shared" si="68"/>
        <v>0.50490625234541986</v>
      </c>
      <c r="AA104" s="37">
        <f t="shared" si="68"/>
        <v>0.54453765313494884</v>
      </c>
      <c r="AB104" s="37">
        <f t="shared" si="68"/>
        <v>0.60921261487697775</v>
      </c>
      <c r="AC104" s="37">
        <f t="shared" si="68"/>
        <v>0.6501895927172161</v>
      </c>
      <c r="AD104" s="37">
        <f t="shared" si="68"/>
        <v>0.67456735965492876</v>
      </c>
      <c r="AE104" s="37">
        <f t="shared" si="68"/>
        <v>0.68291231245671646</v>
      </c>
      <c r="AF104" s="37">
        <f t="shared" si="68"/>
        <v>0.62867124503905736</v>
      </c>
      <c r="AG104" s="633"/>
    </row>
    <row r="105" spans="1:33" ht="12.75" customHeight="1">
      <c r="A105" s="73"/>
      <c r="B105" s="73"/>
      <c r="C105" s="57"/>
      <c r="D105" s="57"/>
      <c r="E105" s="57"/>
      <c r="F105" s="57"/>
      <c r="G105" s="57"/>
      <c r="H105" s="57"/>
      <c r="I105" s="57"/>
      <c r="J105" s="57"/>
      <c r="K105" s="81"/>
      <c r="L105" s="81"/>
      <c r="M105" s="81"/>
      <c r="N105" s="81"/>
      <c r="O105" s="81"/>
      <c r="P105" s="81"/>
      <c r="Q105" s="81"/>
      <c r="R105" s="81"/>
      <c r="S105" s="81"/>
      <c r="T105" s="81"/>
      <c r="U105" s="81"/>
      <c r="V105" s="81"/>
      <c r="W105" s="81"/>
      <c r="X105" s="81"/>
      <c r="Y105" s="81"/>
      <c r="Z105" s="81"/>
      <c r="AA105" s="81"/>
      <c r="AB105" s="81"/>
      <c r="AC105" s="81"/>
      <c r="AD105" s="81"/>
      <c r="AE105" s="81"/>
      <c r="AF105" s="81"/>
      <c r="AG105" s="633"/>
    </row>
    <row r="106" spans="1:33" ht="12.75" customHeight="1">
      <c r="A106" s="83"/>
      <c r="B106" s="13" t="s">
        <v>376</v>
      </c>
      <c r="C106" s="82"/>
      <c r="D106" s="87"/>
      <c r="E106" s="82"/>
      <c r="F106" s="82"/>
      <c r="G106" s="82"/>
      <c r="H106" s="82"/>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635"/>
    </row>
    <row r="107" spans="1:33" ht="12.75" customHeight="1" outlineLevel="1">
      <c r="A107" s="83"/>
      <c r="B107" s="13"/>
      <c r="C107" s="82"/>
      <c r="D107" s="87"/>
      <c r="E107" s="82"/>
      <c r="F107" s="82"/>
      <c r="G107" s="82"/>
      <c r="H107" s="82"/>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635"/>
    </row>
    <row r="108" spans="1:33" ht="12.75" customHeight="1" outlineLevel="1">
      <c r="A108" s="83"/>
      <c r="B108" s="162" t="s">
        <v>377</v>
      </c>
      <c r="C108" s="81">
        <f>IS!C32</f>
        <v>-7.1182057225893519E-2</v>
      </c>
      <c r="D108" s="81">
        <f>IS!H32</f>
        <v>5.3362481051158261E-2</v>
      </c>
      <c r="E108" s="81">
        <f>IS!M32</f>
        <v>0.16590127109357886</v>
      </c>
      <c r="F108" s="81">
        <f>IS!R32</f>
        <v>0.2407564561053242</v>
      </c>
      <c r="G108" s="81">
        <f>IS!W32</f>
        <v>0.41580203000733729</v>
      </c>
      <c r="H108" s="81">
        <f>IS!AB32</f>
        <v>0.68143661195569138</v>
      </c>
      <c r="I108" s="81">
        <f>IS!AG32</f>
        <v>0.90327518756227487</v>
      </c>
      <c r="J108" s="81">
        <f>IS!AL32</f>
        <v>1.0928906592428402</v>
      </c>
      <c r="K108" s="81">
        <f>IS!AQ32</f>
        <v>1.5324213686001089</v>
      </c>
      <c r="L108" s="81">
        <f>IS!AV32</f>
        <v>1.8438401661207704</v>
      </c>
      <c r="M108" s="81">
        <f>IS!BA32</f>
        <v>1.9281338415355709</v>
      </c>
      <c r="N108" s="81">
        <f>IS!BF32</f>
        <v>1.9518906955387485</v>
      </c>
      <c r="O108" s="81">
        <f>IS!BK32</f>
        <v>2.047607193477436</v>
      </c>
      <c r="P108" s="81">
        <f>IS!BP32</f>
        <v>8.0888840265726021</v>
      </c>
      <c r="Q108" s="81">
        <f>IS!BU32</f>
        <v>12.605522682445759</v>
      </c>
      <c r="R108" s="81">
        <f>IS!BZ32</f>
        <v>11.572164948453608</v>
      </c>
      <c r="S108" s="81">
        <f>IS!CE32</f>
        <v>8.8354814253222145</v>
      </c>
      <c r="T108" s="81">
        <f>IS!CJ32</f>
        <v>6.2071130944705422</v>
      </c>
      <c r="U108" s="81">
        <f>IS!CO32</f>
        <v>6.442340865011829</v>
      </c>
      <c r="V108" s="81">
        <f>IS!CT32</f>
        <v>7.5193138550725642</v>
      </c>
      <c r="W108" s="81">
        <f>IS!CY32</f>
        <v>7.1008398257720113</v>
      </c>
      <c r="X108" s="81">
        <f>IS!DD32</f>
        <v>8.0072589653462156</v>
      </c>
      <c r="Y108" s="81">
        <f>IS!DI32</f>
        <v>8.960461547187121</v>
      </c>
      <c r="Z108" s="81">
        <f>IS!DN32</f>
        <v>9.8941626205362532</v>
      </c>
      <c r="AA108" s="81">
        <f>IS!DS32</f>
        <v>6.6436990116592476</v>
      </c>
      <c r="AB108" s="81">
        <f>IS!DX32</f>
        <v>5.7084202533227888</v>
      </c>
      <c r="AC108" s="81">
        <f>IS!EC32</f>
        <v>5.6337661160966102</v>
      </c>
      <c r="AD108" s="81">
        <f>IS!EH32</f>
        <v>6.2998216841903796</v>
      </c>
      <c r="AE108" s="81">
        <f>IS!EM32</f>
        <v>8.3569291847245246</v>
      </c>
      <c r="AF108" s="81">
        <f>IS!ER32</f>
        <v>8.649694625492053</v>
      </c>
      <c r="AG108" s="635"/>
    </row>
    <row r="109" spans="1:33" ht="12.75" customHeight="1" outlineLevel="1">
      <c r="A109" s="56"/>
      <c r="B109" s="160" t="s">
        <v>378</v>
      </c>
      <c r="C109" s="57">
        <f>IS!C35-IS!C37</f>
        <v>0</v>
      </c>
      <c r="D109" s="57">
        <f>IS!H35-IS!H37</f>
        <v>0</v>
      </c>
      <c r="E109" s="57">
        <f>IS!M35-IS!M37</f>
        <v>0</v>
      </c>
      <c r="F109" s="57">
        <f>IS!R35-IS!R37</f>
        <v>0</v>
      </c>
      <c r="G109" s="57" t="e">
        <f>IS!#REF!-IS!#REF!</f>
        <v>#REF!</v>
      </c>
      <c r="H109" s="57">
        <f>IS!AB35-IS!AB37</f>
        <v>101.70800000000003</v>
      </c>
      <c r="I109" s="57">
        <f>IS!AG35-IS!AG37</f>
        <v>131.34399999999997</v>
      </c>
      <c r="J109" s="57">
        <f>IS!AL35-IS!AL37</f>
        <v>112.79899999999998</v>
      </c>
      <c r="K109" s="57">
        <f>IS!AQ35-IS!AQ37</f>
        <v>139.27199999999999</v>
      </c>
      <c r="L109" s="57">
        <f>IS!AV35-IS!AV37</f>
        <v>147.70999999999998</v>
      </c>
      <c r="M109" s="57">
        <f>IS!BA35-IS!BA37</f>
        <v>145.053</v>
      </c>
      <c r="N109" s="57">
        <f>IS!BF35-IS!BF37</f>
        <v>346.70500000000004</v>
      </c>
      <c r="O109" s="57">
        <f>IS!BK35-IS!BK37</f>
        <v>185.30109297143537</v>
      </c>
      <c r="P109" s="81">
        <f>IS!BP35-IS!BP37</f>
        <v>295.74852800000002</v>
      </c>
      <c r="Q109" s="81">
        <f>IS!BU35-IS!BU37</f>
        <v>315.34019081613019</v>
      </c>
      <c r="R109" s="81">
        <f>IS!BZ35-IS!BZ37</f>
        <v>308.79836809694433</v>
      </c>
      <c r="S109" s="81">
        <f>IS!CE35-IS!CE37</f>
        <v>496.04049376582009</v>
      </c>
      <c r="T109" s="81">
        <f>IS!CJ35-IS!CJ37</f>
        <v>556.8420000000001</v>
      </c>
      <c r="U109" s="81">
        <f>IS!CO35-IS!CO37</f>
        <v>785.29000000000008</v>
      </c>
      <c r="V109" s="81">
        <f>IS!CT35-IS!CT37</f>
        <v>863.81900000000019</v>
      </c>
      <c r="W109" s="81">
        <f>IS!CY35-IS!CY37</f>
        <v>950.20090000000016</v>
      </c>
      <c r="X109" s="81">
        <f>IS!DD35-IS!DD37</f>
        <v>1045.2209900000003</v>
      </c>
      <c r="Y109" s="81">
        <f>IS!DI35-IS!DI37</f>
        <v>1149.7430890000005</v>
      </c>
      <c r="Z109" s="81">
        <f>IS!DN35-IS!DN37</f>
        <v>1264.7173979000006</v>
      </c>
      <c r="AA109" s="81">
        <f>IS!DS35-IS!DS37</f>
        <v>1391.1891376900007</v>
      </c>
      <c r="AB109" s="81">
        <f>IS!DX35-IS!DX37</f>
        <v>1530.308051459001</v>
      </c>
      <c r="AC109" s="81">
        <f>IS!EC35-IS!EC37</f>
        <v>1683.3388566049011</v>
      </c>
      <c r="AD109" s="81">
        <f>IS!EH35-IS!EH37</f>
        <v>1851.6727422653917</v>
      </c>
      <c r="AE109" s="81">
        <f>IS!EM35-IS!EM37</f>
        <v>2036.8400164919308</v>
      </c>
      <c r="AF109" s="81">
        <f>IS!ER35-IS!ER37</f>
        <v>2240.5240181411241</v>
      </c>
      <c r="AG109" s="623"/>
    </row>
    <row r="110" spans="1:33" ht="12.75" customHeight="1" outlineLevel="1">
      <c r="A110" s="83"/>
      <c r="B110" s="162" t="s">
        <v>379</v>
      </c>
      <c r="C110" s="27">
        <f>+C108-C109/C112</f>
        <v>-7.1182057225893519E-2</v>
      </c>
      <c r="D110" s="27">
        <f t="shared" ref="D110:U110" si="69">+D108-D109/D112</f>
        <v>5.3362481051158261E-2</v>
      </c>
      <c r="E110" s="27">
        <f t="shared" si="69"/>
        <v>0.16590127109357886</v>
      </c>
      <c r="F110" s="27">
        <f t="shared" si="69"/>
        <v>0.2407564561053242</v>
      </c>
      <c r="G110" s="27" t="e">
        <f t="shared" si="69"/>
        <v>#REF!</v>
      </c>
      <c r="H110" s="27">
        <f t="shared" si="69"/>
        <v>0.62605288793553049</v>
      </c>
      <c r="I110" s="27">
        <f t="shared" si="69"/>
        <v>0.83517585495066671</v>
      </c>
      <c r="J110" s="27">
        <f t="shared" si="69"/>
        <v>1.0340691850426473</v>
      </c>
      <c r="K110" s="27">
        <f t="shared" si="69"/>
        <v>1.4578733233505716</v>
      </c>
      <c r="L110" s="27">
        <f t="shared" si="69"/>
        <v>1.75927943994387</v>
      </c>
      <c r="M110" s="27">
        <f t="shared" si="69"/>
        <v>1.8363367150014973</v>
      </c>
      <c r="N110" s="27">
        <f t="shared" si="69"/>
        <v>1.7328105912260225</v>
      </c>
      <c r="O110" s="27">
        <f t="shared" si="69"/>
        <v>1.9377299075540622</v>
      </c>
      <c r="P110" s="27">
        <f t="shared" si="69"/>
        <v>7.909316007143337</v>
      </c>
      <c r="Q110" s="27">
        <f t="shared" si="69"/>
        <v>12.398198428128778</v>
      </c>
      <c r="R110" s="27">
        <f t="shared" si="69"/>
        <v>11.344772924818155</v>
      </c>
      <c r="S110" s="27">
        <f t="shared" si="69"/>
        <v>8.4584793399976306</v>
      </c>
      <c r="T110" s="27">
        <f t="shared" si="69"/>
        <v>5.7838284193007539</v>
      </c>
      <c r="U110" s="27">
        <f t="shared" si="69"/>
        <v>5.834629205701936</v>
      </c>
      <c r="V110" s="27">
        <f>+V108-V109/V112</f>
        <v>6.8192230381147017</v>
      </c>
      <c r="W110" s="27">
        <f t="shared" ref="W110:AF110" si="70">+W108-W109/W112</f>
        <v>6.2913369417364811</v>
      </c>
      <c r="X110" s="27">
        <f t="shared" si="70"/>
        <v>7.0790606968265477</v>
      </c>
      <c r="Y110" s="27">
        <f t="shared" si="70"/>
        <v>7.8940165265476949</v>
      </c>
      <c r="Z110" s="27">
        <f t="shared" si="70"/>
        <v>8.689740978235017</v>
      </c>
      <c r="AA110" s="27">
        <f t="shared" si="70"/>
        <v>5.3085280446251382</v>
      </c>
      <c r="AB110" s="27">
        <f t="shared" si="70"/>
        <v>4.2279638184017188</v>
      </c>
      <c r="AC110" s="27">
        <f t="shared" si="70"/>
        <v>3.9918525590483407</v>
      </c>
      <c r="AD110" s="27">
        <f t="shared" si="70"/>
        <v>4.478457370660573</v>
      </c>
      <c r="AE110" s="27">
        <f t="shared" si="70"/>
        <v>6.336090464018957</v>
      </c>
      <c r="AF110" s="27">
        <f t="shared" si="70"/>
        <v>6.4070956885367565</v>
      </c>
      <c r="AG110" s="635"/>
    </row>
    <row r="111" spans="1:33" ht="12.75" customHeight="1" outlineLevel="1">
      <c r="A111" s="84"/>
      <c r="B111" s="163" t="s">
        <v>499</v>
      </c>
      <c r="C111" s="85">
        <f>+C108/C110-1</f>
        <v>0</v>
      </c>
      <c r="D111" s="85">
        <f t="shared" ref="D111:U111" si="71">+D108/D110-1</f>
        <v>0</v>
      </c>
      <c r="E111" s="85">
        <f t="shared" si="71"/>
        <v>0</v>
      </c>
      <c r="F111" s="85">
        <f t="shared" si="71"/>
        <v>0</v>
      </c>
      <c r="G111" s="85" t="e">
        <f t="shared" si="71"/>
        <v>#REF!</v>
      </c>
      <c r="H111" s="85">
        <f t="shared" si="71"/>
        <v>8.8464928582622004E-2</v>
      </c>
      <c r="I111" s="85">
        <f t="shared" si="71"/>
        <v>8.1538914478832325E-2</v>
      </c>
      <c r="J111" s="85">
        <f t="shared" si="71"/>
        <v>5.6883499722281128E-2</v>
      </c>
      <c r="K111" s="85">
        <f t="shared" si="71"/>
        <v>5.113478932326343E-2</v>
      </c>
      <c r="L111" s="85">
        <f t="shared" si="71"/>
        <v>4.8065545618834804E-2</v>
      </c>
      <c r="M111" s="85">
        <f t="shared" si="71"/>
        <v>4.9989267101267165E-2</v>
      </c>
      <c r="N111" s="85">
        <f t="shared" si="71"/>
        <v>0.12643049703298459</v>
      </c>
      <c r="O111" s="85">
        <f t="shared" si="71"/>
        <v>5.6704128627538486E-2</v>
      </c>
      <c r="P111" s="85">
        <f t="shared" si="71"/>
        <v>2.2703356303767297E-2</v>
      </c>
      <c r="Q111" s="85">
        <f t="shared" si="71"/>
        <v>1.6722127454147584E-2</v>
      </c>
      <c r="R111" s="85">
        <f t="shared" si="71"/>
        <v>2.0043770390326898E-2</v>
      </c>
      <c r="S111" s="85">
        <f t="shared" si="71"/>
        <v>4.4570905735012323E-2</v>
      </c>
      <c r="T111" s="85">
        <f t="shared" si="71"/>
        <v>7.3184168769128588E-2</v>
      </c>
      <c r="U111" s="85">
        <f t="shared" si="71"/>
        <v>0.10415600338681363</v>
      </c>
      <c r="V111" s="85">
        <f>+V108/V110-1</f>
        <v>0.10266430838892404</v>
      </c>
      <c r="W111" s="85">
        <f t="shared" ref="W111:AF111" si="72">+W108/W110-1</f>
        <v>0.12866945317541645</v>
      </c>
      <c r="X111" s="85">
        <f t="shared" si="72"/>
        <v>0.13111884588526945</v>
      </c>
      <c r="Y111" s="85">
        <f t="shared" si="72"/>
        <v>0.13509536204452521</v>
      </c>
      <c r="Z111" s="85">
        <f t="shared" si="72"/>
        <v>0.13860270925427143</v>
      </c>
      <c r="AA111" s="85">
        <f t="shared" si="72"/>
        <v>0.25151434744438506</v>
      </c>
      <c r="AB111" s="85">
        <f t="shared" si="72"/>
        <v>0.3501582554887428</v>
      </c>
      <c r="AC111" s="85">
        <f t="shared" si="72"/>
        <v>0.41131618284010529</v>
      </c>
      <c r="AD111" s="85">
        <f t="shared" si="72"/>
        <v>0.40669457422147026</v>
      </c>
      <c r="AE111" s="85">
        <f t="shared" si="72"/>
        <v>0.31894095139288114</v>
      </c>
      <c r="AF111" s="85">
        <f t="shared" si="72"/>
        <v>0.35001801845532565</v>
      </c>
      <c r="AG111" s="625"/>
    </row>
    <row r="112" spans="1:33" ht="12.75" customHeight="1" outlineLevel="1">
      <c r="A112" s="56"/>
      <c r="B112" s="160" t="s">
        <v>500</v>
      </c>
      <c r="C112" s="57">
        <f t="shared" ref="C112:U112" si="73">C95</f>
        <v>1618.568</v>
      </c>
      <c r="D112" s="57">
        <f t="shared" si="73"/>
        <v>1651.816</v>
      </c>
      <c r="E112" s="57">
        <f t="shared" si="73"/>
        <v>1608.84</v>
      </c>
      <c r="F112" s="57">
        <f t="shared" si="73"/>
        <v>1856.9839999999999</v>
      </c>
      <c r="G112" s="57">
        <f t="shared" si="73"/>
        <v>1897.136</v>
      </c>
      <c r="H112" s="57">
        <f t="shared" si="73"/>
        <v>1836.424</v>
      </c>
      <c r="I112" s="57">
        <f t="shared" si="73"/>
        <v>1928.712</v>
      </c>
      <c r="J112" s="57">
        <f t="shared" si="73"/>
        <v>1917.65</v>
      </c>
      <c r="K112" s="57">
        <f t="shared" si="73"/>
        <v>1868.2180000000001</v>
      </c>
      <c r="L112" s="57">
        <f t="shared" si="73"/>
        <v>1746.7919999999999</v>
      </c>
      <c r="M112" s="57">
        <f t="shared" si="73"/>
        <v>1580.1475</v>
      </c>
      <c r="N112" s="57">
        <f t="shared" si="73"/>
        <v>1582.549</v>
      </c>
      <c r="O112" s="57">
        <f t="shared" si="73"/>
        <v>1686.4367499999998</v>
      </c>
      <c r="P112" s="57">
        <f t="shared" si="73"/>
        <v>1647</v>
      </c>
      <c r="Q112" s="57">
        <f t="shared" si="73"/>
        <v>1521</v>
      </c>
      <c r="R112" s="57">
        <f t="shared" si="73"/>
        <v>1358</v>
      </c>
      <c r="S112" s="57">
        <f t="shared" si="73"/>
        <v>1315.75</v>
      </c>
      <c r="T112" s="57">
        <f t="shared" si="73"/>
        <v>1315.5260104246368</v>
      </c>
      <c r="U112" s="57">
        <f t="shared" si="73"/>
        <v>1292.2082174493114</v>
      </c>
      <c r="V112" s="57">
        <f>V95</f>
        <v>1233.8670627813599</v>
      </c>
      <c r="W112" s="57">
        <f t="shared" ref="W112:AF112" si="74">W95</f>
        <v>1173.8079242695992</v>
      </c>
      <c r="X112" s="57">
        <f t="shared" si="74"/>
        <v>1126.0751344289465</v>
      </c>
      <c r="Y112" s="57">
        <f t="shared" si="74"/>
        <v>1078.1081694306474</v>
      </c>
      <c r="Z112" s="57">
        <f t="shared" si="74"/>
        <v>1050.06199945358</v>
      </c>
      <c r="AA112" s="57">
        <f t="shared" si="74"/>
        <v>1041.9558034431557</v>
      </c>
      <c r="AB112" s="57">
        <f t="shared" si="74"/>
        <v>1033.6731398250083</v>
      </c>
      <c r="AC112" s="57">
        <f t="shared" si="74"/>
        <v>1025.2298906838334</v>
      </c>
      <c r="AD112" s="57">
        <f t="shared" si="74"/>
        <v>1016.640508716703</v>
      </c>
      <c r="AE112" s="57">
        <f t="shared" si="74"/>
        <v>1007.9181458779533</v>
      </c>
      <c r="AF112" s="57">
        <f t="shared" si="74"/>
        <v>999.07477044603013</v>
      </c>
      <c r="AG112" s="623"/>
    </row>
    <row r="113" spans="1:33" ht="12.75" customHeight="1">
      <c r="A113" s="83"/>
      <c r="B113" s="86"/>
      <c r="C113" s="82"/>
      <c r="D113" s="87"/>
      <c r="E113" s="82"/>
      <c r="F113" s="82"/>
      <c r="G113" s="82"/>
      <c r="H113" s="82"/>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635"/>
    </row>
    <row r="114" spans="1:33" ht="12.75" customHeight="1">
      <c r="A114" s="147"/>
      <c r="B114" s="89" t="s">
        <v>380</v>
      </c>
      <c r="C114" s="148"/>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627"/>
    </row>
    <row r="115" spans="1:33" ht="12.75" customHeight="1" outlineLevel="1">
      <c r="A115" s="147"/>
      <c r="B115" s="89"/>
      <c r="C115" s="148"/>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627"/>
    </row>
    <row r="116" spans="1:33" ht="12.75" customHeight="1" outlineLevel="1">
      <c r="A116" s="90"/>
      <c r="B116" s="90" t="s">
        <v>381</v>
      </c>
      <c r="C116" s="91"/>
      <c r="D116" s="91">
        <f>C121</f>
        <v>-453.73700000000002</v>
      </c>
      <c r="E116" s="91">
        <f t="shared" ref="E116:V116" si="75">D121</f>
        <v>-381.64</v>
      </c>
      <c r="F116" s="91">
        <f t="shared" si="75"/>
        <v>-453.64299999999997</v>
      </c>
      <c r="G116" s="91">
        <f t="shared" si="75"/>
        <v>-4.2720000000000002</v>
      </c>
      <c r="H116" s="91">
        <f t="shared" si="75"/>
        <v>809.64200000000005</v>
      </c>
      <c r="I116" s="91">
        <f t="shared" si="75"/>
        <v>-891.36300000000006</v>
      </c>
      <c r="J116" s="91">
        <f t="shared" si="75"/>
        <v>249.08</v>
      </c>
      <c r="K116" s="91">
        <f t="shared" si="75"/>
        <v>300.31400000000002</v>
      </c>
      <c r="L116" s="91">
        <f t="shared" si="75"/>
        <v>1995.2719999999999</v>
      </c>
      <c r="M116" s="91">
        <f t="shared" si="75"/>
        <v>1183.73</v>
      </c>
      <c r="N116" s="91">
        <f t="shared" si="75"/>
        <v>1776.76</v>
      </c>
      <c r="O116" s="91">
        <f t="shared" si="75"/>
        <v>3704.7440000000001</v>
      </c>
      <c r="P116" s="91">
        <f t="shared" si="75"/>
        <v>6105.2439999999997</v>
      </c>
      <c r="Q116" s="91">
        <f t="shared" si="75"/>
        <v>12732</v>
      </c>
      <c r="R116" s="91">
        <f t="shared" si="75"/>
        <v>18001</v>
      </c>
      <c r="S116" s="91">
        <f t="shared" si="75"/>
        <v>18154</v>
      </c>
      <c r="T116" s="91">
        <f t="shared" si="75"/>
        <v>19012</v>
      </c>
      <c r="U116" s="91">
        <f t="shared" si="75"/>
        <v>24989.510727012519</v>
      </c>
      <c r="V116" s="91">
        <f t="shared" si="75"/>
        <v>31037.605760137838</v>
      </c>
      <c r="W116" s="91">
        <f t="shared" ref="W116:AF116" si="76">V121</f>
        <v>37787.151069928143</v>
      </c>
      <c r="X116" s="91">
        <f t="shared" si="76"/>
        <v>43711.478492794915</v>
      </c>
      <c r="Y116" s="91">
        <f t="shared" si="76"/>
        <v>50106.539555799529</v>
      </c>
      <c r="Z116" s="91">
        <f t="shared" si="76"/>
        <v>56934.111939264032</v>
      </c>
      <c r="AA116" s="91">
        <f t="shared" si="76"/>
        <v>64254.455604990522</v>
      </c>
      <c r="AB116" s="91">
        <f t="shared" si="76"/>
        <v>68693.136041340709</v>
      </c>
      <c r="AC116" s="91">
        <f t="shared" si="76"/>
        <v>72201.062165325158</v>
      </c>
      <c r="AD116" s="91">
        <f t="shared" si="76"/>
        <v>75486.528947031024</v>
      </c>
      <c r="AE116" s="91">
        <f t="shared" si="76"/>
        <v>79141.569866519407</v>
      </c>
      <c r="AF116" s="91">
        <f t="shared" si="76"/>
        <v>84267.222854667503</v>
      </c>
      <c r="AG116" s="633"/>
    </row>
    <row r="117" spans="1:33" ht="12.75" customHeight="1" outlineLevel="1">
      <c r="A117" s="90"/>
      <c r="B117" s="90" t="s">
        <v>382</v>
      </c>
      <c r="C117" s="57">
        <f>IS!C82</f>
        <v>52.400999999999954</v>
      </c>
      <c r="D117" s="57">
        <f>IS!H82</f>
        <v>72.097000000000037</v>
      </c>
      <c r="E117" s="57">
        <f>IS!M82</f>
        <v>-72.002999999999872</v>
      </c>
      <c r="F117" s="57">
        <f>IS!R82</f>
        <v>449.37000000000006</v>
      </c>
      <c r="G117" s="57">
        <f>IS!W82</f>
        <v>813.91399999999987</v>
      </c>
      <c r="H117" s="57">
        <f>IS!AB82</f>
        <v>-1190.1209999999996</v>
      </c>
      <c r="I117" s="57">
        <f>IS!AG82</f>
        <v>1614.6489999999997</v>
      </c>
      <c r="J117" s="57">
        <f>IS!AL82</f>
        <v>1978.8989999999992</v>
      </c>
      <c r="K117" s="57">
        <f>IS!AQ82</f>
        <v>2635.7549999999992</v>
      </c>
      <c r="L117" s="57">
        <f>IS!AV82</f>
        <v>2901.2570000000001</v>
      </c>
      <c r="M117" s="57">
        <f>IS!BA82</f>
        <v>2803.1369999999988</v>
      </c>
      <c r="N117" s="57">
        <f>IS!BF82</f>
        <v>2591.5660000000021</v>
      </c>
      <c r="O117" s="57">
        <f>IS!BK82</f>
        <v>3074.8090000000007</v>
      </c>
      <c r="P117" s="57">
        <f>IS!BP82</f>
        <v>12099.696107738504</v>
      </c>
      <c r="Q117" s="57">
        <f>IS!BU82</f>
        <v>18109</v>
      </c>
      <c r="R117" s="57">
        <f>IS!BZ82</f>
        <v>13503</v>
      </c>
      <c r="S117" s="57">
        <f>IS!CE82</f>
        <v>4628</v>
      </c>
      <c r="T117" s="57">
        <f>IS!CJ82</f>
        <v>7471.8884087656488</v>
      </c>
      <c r="U117" s="57">
        <f>IS!CO82</f>
        <v>7560.1187914066522</v>
      </c>
      <c r="V117" s="57">
        <f>IS!CT82</f>
        <v>8436.9316372378798</v>
      </c>
      <c r="W117" s="57">
        <f>IS!CY82</f>
        <v>7405.4092785834673</v>
      </c>
      <c r="X117" s="57">
        <f>IS!DD82</f>
        <v>7993.8263287557656</v>
      </c>
      <c r="Y117" s="57">
        <f>IS!DI82</f>
        <v>8534.4654793306363</v>
      </c>
      <c r="Z117" s="57">
        <f>IS!DN82</f>
        <v>9150.4295821581127</v>
      </c>
      <c r="AA117" s="57">
        <f>IS!DS82</f>
        <v>5548.3505454377319</v>
      </c>
      <c r="AB117" s="57">
        <f>IS!DX82</f>
        <v>4384.9076549805577</v>
      </c>
      <c r="AC117" s="57">
        <f>IS!EC82</f>
        <v>4106.8334771323216</v>
      </c>
      <c r="AD117" s="57">
        <f>IS!EH82</f>
        <v>4568.8011493604699</v>
      </c>
      <c r="AE117" s="57">
        <f>IS!EM82</f>
        <v>6407.0662351851242</v>
      </c>
      <c r="AF117" s="57">
        <f>IS!ER82</f>
        <v>6422.513273049979</v>
      </c>
      <c r="AG117" s="633"/>
    </row>
    <row r="118" spans="1:33" ht="12.75" customHeight="1" outlineLevel="1">
      <c r="A118" s="92"/>
      <c r="B118" s="164" t="s">
        <v>383</v>
      </c>
      <c r="C118" s="79"/>
      <c r="D118" s="79">
        <f>D119/D117</f>
        <v>0</v>
      </c>
      <c r="E118" s="79">
        <f t="shared" ref="E118:AF118" si="77">E119/E117</f>
        <v>0</v>
      </c>
      <c r="F118" s="79">
        <f t="shared" si="77"/>
        <v>0</v>
      </c>
      <c r="G118" s="79">
        <f t="shared" si="77"/>
        <v>0</v>
      </c>
      <c r="H118" s="79">
        <f t="shared" si="77"/>
        <v>0</v>
      </c>
      <c r="I118" s="79">
        <f t="shared" si="77"/>
        <v>0</v>
      </c>
      <c r="J118" s="79">
        <f t="shared" si="77"/>
        <v>0</v>
      </c>
      <c r="K118" s="79">
        <f t="shared" si="77"/>
        <v>0</v>
      </c>
      <c r="L118" s="79">
        <f t="shared" si="77"/>
        <v>0</v>
      </c>
      <c r="M118" s="79">
        <f t="shared" si="77"/>
        <v>0</v>
      </c>
      <c r="N118" s="79">
        <f t="shared" si="77"/>
        <v>0</v>
      </c>
      <c r="O118" s="79">
        <f t="shared" si="77"/>
        <v>0</v>
      </c>
      <c r="P118" s="79">
        <f t="shared" si="77"/>
        <v>0</v>
      </c>
      <c r="Q118" s="79">
        <f t="shared" si="77"/>
        <v>0.10348445524324922</v>
      </c>
      <c r="R118" s="79">
        <f t="shared" si="77"/>
        <v>0.1818114493075613</v>
      </c>
      <c r="S118" s="79">
        <f t="shared" si="77"/>
        <v>0.59010371650821092</v>
      </c>
      <c r="T118" s="79">
        <f t="shared" si="77"/>
        <v>0.2</v>
      </c>
      <c r="U118" s="79">
        <f t="shared" si="77"/>
        <v>0.2</v>
      </c>
      <c r="V118" s="79">
        <f t="shared" si="77"/>
        <v>0.2</v>
      </c>
      <c r="W118" s="79">
        <f t="shared" si="77"/>
        <v>0.2</v>
      </c>
      <c r="X118" s="79">
        <f t="shared" si="77"/>
        <v>0.2</v>
      </c>
      <c r="Y118" s="79">
        <f t="shared" si="77"/>
        <v>0.2</v>
      </c>
      <c r="Z118" s="79">
        <f t="shared" si="77"/>
        <v>0.2</v>
      </c>
      <c r="AA118" s="79">
        <f t="shared" si="77"/>
        <v>0.2</v>
      </c>
      <c r="AB118" s="79">
        <f t="shared" si="77"/>
        <v>0.2</v>
      </c>
      <c r="AC118" s="79">
        <f t="shared" si="77"/>
        <v>0.2</v>
      </c>
      <c r="AD118" s="79">
        <f t="shared" si="77"/>
        <v>0.2</v>
      </c>
      <c r="AE118" s="79">
        <f t="shared" si="77"/>
        <v>0.20000000000000004</v>
      </c>
      <c r="AF118" s="79">
        <f t="shared" si="77"/>
        <v>0.2</v>
      </c>
      <c r="AG118" s="631"/>
    </row>
    <row r="119" spans="1:33" ht="12.75" customHeight="1" outlineLevel="1">
      <c r="A119" s="90"/>
      <c r="B119" s="90" t="s">
        <v>384</v>
      </c>
      <c r="C119" s="80"/>
      <c r="D119" s="80"/>
      <c r="E119" s="80"/>
      <c r="F119" s="80"/>
      <c r="G119" s="80"/>
      <c r="H119" s="80"/>
      <c r="I119" s="80"/>
      <c r="J119" s="80"/>
      <c r="K119" s="80"/>
      <c r="L119" s="80"/>
      <c r="M119" s="80"/>
      <c r="N119" s="80"/>
      <c r="O119" s="80">
        <f>-CF!O43</f>
        <v>0</v>
      </c>
      <c r="P119" s="80">
        <f>-CF!P43</f>
        <v>0</v>
      </c>
      <c r="Q119" s="80">
        <f>-CF!Q43</f>
        <v>1874</v>
      </c>
      <c r="R119" s="80">
        <f>-CF!R43</f>
        <v>2455</v>
      </c>
      <c r="S119" s="80">
        <f>-CF!S43</f>
        <v>2731</v>
      </c>
      <c r="T119" s="80">
        <f>-CF!T43</f>
        <v>1494.3776817531298</v>
      </c>
      <c r="U119" s="80">
        <f>-CF!U43</f>
        <v>1512.0237582813306</v>
      </c>
      <c r="V119" s="80">
        <f>-CF!V43</f>
        <v>1687.3863274475762</v>
      </c>
      <c r="W119" s="80">
        <f>-CF!W43</f>
        <v>1481.0818557166936</v>
      </c>
      <c r="X119" s="80">
        <f>-CF!X43</f>
        <v>1598.7652657511533</v>
      </c>
      <c r="Y119" s="80">
        <f>-CF!Y43</f>
        <v>1706.8930958661274</v>
      </c>
      <c r="Z119" s="80">
        <f>-CF!Z43</f>
        <v>1830.0859164316225</v>
      </c>
      <c r="AA119" s="80">
        <f>-CF!AA43</f>
        <v>1109.6701090875465</v>
      </c>
      <c r="AB119" s="80">
        <f>-CF!AB43</f>
        <v>876.98153099611159</v>
      </c>
      <c r="AC119" s="80">
        <f>-CF!AC43</f>
        <v>821.36669542646439</v>
      </c>
      <c r="AD119" s="80">
        <f>-CF!AD43</f>
        <v>913.76022987209399</v>
      </c>
      <c r="AE119" s="80">
        <f>-CF!AE43</f>
        <v>1281.413247037025</v>
      </c>
      <c r="AF119" s="80">
        <f>-CF!AF43</f>
        <v>1284.5026546099959</v>
      </c>
      <c r="AG119" s="633"/>
    </row>
    <row r="120" spans="1:33" ht="12.75" customHeight="1" outlineLevel="1">
      <c r="A120" s="90"/>
      <c r="B120" s="90" t="s">
        <v>68</v>
      </c>
      <c r="C120" s="80"/>
      <c r="D120" s="80">
        <f>+D121+D119-D116-D117</f>
        <v>0</v>
      </c>
      <c r="E120" s="80">
        <f t="shared" ref="E120:N120" si="78">+E121+E119-E116-E117</f>
        <v>-1.1368683772161603E-13</v>
      </c>
      <c r="F120" s="80">
        <f t="shared" si="78"/>
        <v>9.9999999991950972E-4</v>
      </c>
      <c r="G120" s="80">
        <f t="shared" si="78"/>
        <v>0</v>
      </c>
      <c r="H120" s="80">
        <f t="shared" si="78"/>
        <v>-510.88400000000047</v>
      </c>
      <c r="I120" s="80">
        <f t="shared" si="78"/>
        <v>-474.20599999999968</v>
      </c>
      <c r="J120" s="80">
        <f t="shared" si="78"/>
        <v>-1927.6649999999993</v>
      </c>
      <c r="K120" s="80">
        <f t="shared" si="78"/>
        <v>-940.79699999999934</v>
      </c>
      <c r="L120" s="80">
        <f t="shared" si="78"/>
        <v>-3712.799</v>
      </c>
      <c r="M120" s="80">
        <f t="shared" si="78"/>
        <v>-2210.1069999999991</v>
      </c>
      <c r="N120" s="590">
        <f t="shared" si="78"/>
        <v>-663.58200000000193</v>
      </c>
      <c r="O120" s="590">
        <f>+O121+O119-O116-O117</f>
        <v>-674.30900000000111</v>
      </c>
      <c r="P120" s="590">
        <f>+P121+P119-P116-P117</f>
        <v>-5472.9401077385037</v>
      </c>
      <c r="Q120" s="590">
        <f>+Q121+Q119-Q116-Q117</f>
        <v>-10966</v>
      </c>
      <c r="R120" s="590">
        <f>+R121+R119-R116-R117</f>
        <v>-10895</v>
      </c>
      <c r="S120" s="590">
        <f>+S121+S119-S116-S117</f>
        <v>-1039</v>
      </c>
      <c r="T120" s="80"/>
      <c r="U120" s="80"/>
      <c r="V120" s="80"/>
      <c r="W120" s="80"/>
      <c r="X120" s="80"/>
      <c r="Y120" s="80"/>
      <c r="Z120" s="80"/>
      <c r="AA120" s="80"/>
      <c r="AB120" s="80"/>
      <c r="AC120" s="80"/>
      <c r="AD120" s="80"/>
      <c r="AE120" s="80"/>
      <c r="AF120" s="80"/>
      <c r="AG120" s="633"/>
    </row>
    <row r="121" spans="1:33" ht="12.75" customHeight="1" outlineLevel="1">
      <c r="A121" s="150"/>
      <c r="B121" s="150" t="s">
        <v>385</v>
      </c>
      <c r="C121" s="151">
        <f>BS!C39</f>
        <v>-453.73700000000002</v>
      </c>
      <c r="D121" s="151">
        <f>BS!D39</f>
        <v>-381.64</v>
      </c>
      <c r="E121" s="151">
        <f>BS!E39</f>
        <v>-453.64299999999997</v>
      </c>
      <c r="F121" s="151">
        <f>BS!F39</f>
        <v>-4.2720000000000002</v>
      </c>
      <c r="G121" s="151">
        <f>BS!G39</f>
        <v>809.64200000000005</v>
      </c>
      <c r="H121" s="151">
        <f>BS!H39</f>
        <v>-891.36300000000006</v>
      </c>
      <c r="I121" s="151">
        <f>BS!I39</f>
        <v>249.08</v>
      </c>
      <c r="J121" s="151">
        <f>BS!J39</f>
        <v>300.31400000000002</v>
      </c>
      <c r="K121" s="151">
        <f>BS!K39</f>
        <v>1995.2719999999999</v>
      </c>
      <c r="L121" s="151">
        <f>BS!L39</f>
        <v>1183.73</v>
      </c>
      <c r="M121" s="151">
        <f>BS!M39</f>
        <v>1776.76</v>
      </c>
      <c r="N121" s="589">
        <f>BS!N39</f>
        <v>3704.7440000000001</v>
      </c>
      <c r="O121" s="589">
        <f>BS!O39</f>
        <v>6105.2439999999997</v>
      </c>
      <c r="P121" s="589">
        <f>BS!P39</f>
        <v>12732</v>
      </c>
      <c r="Q121" s="589">
        <f>BS!Q39</f>
        <v>18001</v>
      </c>
      <c r="R121" s="589">
        <f>BS!R39</f>
        <v>18154</v>
      </c>
      <c r="S121" s="589">
        <f>BS!S39</f>
        <v>19012</v>
      </c>
      <c r="T121" s="151">
        <f t="shared" ref="T121:AF121" si="79">T116+T117-T119+T120</f>
        <v>24989.510727012519</v>
      </c>
      <c r="U121" s="151">
        <f t="shared" si="79"/>
        <v>31037.605760137838</v>
      </c>
      <c r="V121" s="151">
        <f t="shared" si="79"/>
        <v>37787.151069928143</v>
      </c>
      <c r="W121" s="151">
        <f t="shared" si="79"/>
        <v>43711.478492794915</v>
      </c>
      <c r="X121" s="151">
        <f t="shared" si="79"/>
        <v>50106.539555799529</v>
      </c>
      <c r="Y121" s="151">
        <f t="shared" si="79"/>
        <v>56934.111939264032</v>
      </c>
      <c r="Z121" s="151">
        <f t="shared" si="79"/>
        <v>64254.455604990522</v>
      </c>
      <c r="AA121" s="151">
        <f t="shared" si="79"/>
        <v>68693.136041340709</v>
      </c>
      <c r="AB121" s="151">
        <f t="shared" si="79"/>
        <v>72201.062165325158</v>
      </c>
      <c r="AC121" s="151">
        <f t="shared" si="79"/>
        <v>75486.528947031024</v>
      </c>
      <c r="AD121" s="151">
        <f t="shared" si="79"/>
        <v>79141.569866519407</v>
      </c>
      <c r="AE121" s="151">
        <f t="shared" si="79"/>
        <v>84267.222854667503</v>
      </c>
      <c r="AF121" s="151">
        <f t="shared" si="79"/>
        <v>89405.233473107481</v>
      </c>
      <c r="AG121" s="636"/>
    </row>
    <row r="122" spans="1:33" ht="12.75" customHeight="1">
      <c r="A122" s="152"/>
      <c r="B122" s="147"/>
      <c r="C122" s="153"/>
      <c r="D122" s="153"/>
      <c r="E122" s="153"/>
      <c r="F122" s="91"/>
      <c r="G122" s="91"/>
      <c r="H122" s="91"/>
      <c r="I122" s="91"/>
      <c r="J122" s="91"/>
      <c r="K122" s="91"/>
      <c r="L122" s="153"/>
      <c r="M122" s="153"/>
      <c r="N122" s="153"/>
      <c r="O122" s="153"/>
      <c r="P122" s="153"/>
      <c r="Q122" s="153"/>
      <c r="R122" s="153"/>
      <c r="S122" s="153"/>
      <c r="T122" s="153"/>
      <c r="U122" s="153"/>
      <c r="V122" s="153"/>
      <c r="W122" s="153"/>
      <c r="X122" s="153"/>
      <c r="Y122" s="153"/>
      <c r="Z122" s="153"/>
      <c r="AA122" s="153"/>
      <c r="AB122" s="153"/>
      <c r="AC122" s="153"/>
      <c r="AD122" s="153"/>
      <c r="AE122" s="153"/>
      <c r="AF122" s="153"/>
      <c r="AG122" s="627"/>
    </row>
    <row r="123" spans="1:33" ht="12.75" customHeight="1">
      <c r="A123" s="83"/>
      <c r="B123" s="93" t="s">
        <v>386</v>
      </c>
      <c r="C123" s="94"/>
      <c r="D123" s="94"/>
      <c r="E123" s="94"/>
      <c r="F123" s="95"/>
      <c r="G123" s="95"/>
      <c r="H123" s="96"/>
      <c r="I123" s="96"/>
      <c r="J123" s="96"/>
      <c r="K123" s="96"/>
      <c r="L123" s="96"/>
      <c r="M123" s="96"/>
      <c r="N123" s="96"/>
      <c r="O123" s="96"/>
      <c r="P123" s="96"/>
      <c r="Q123" s="96"/>
      <c r="R123" s="96"/>
      <c r="S123" s="96"/>
      <c r="T123" s="96"/>
      <c r="U123" s="96"/>
      <c r="V123" s="96"/>
      <c r="W123" s="96"/>
      <c r="X123" s="96"/>
      <c r="Y123" s="96"/>
      <c r="Z123" s="96"/>
      <c r="AA123" s="96"/>
      <c r="AB123" s="96"/>
      <c r="AC123" s="96"/>
      <c r="AD123" s="96"/>
      <c r="AE123" s="96"/>
      <c r="AF123" s="96"/>
      <c r="AG123" s="635"/>
    </row>
    <row r="124" spans="1:33" ht="12.75" customHeight="1" outlineLevel="1">
      <c r="A124" s="83"/>
      <c r="B124" s="168"/>
      <c r="C124" s="94"/>
      <c r="D124" s="94"/>
      <c r="E124" s="94"/>
      <c r="F124" s="95"/>
      <c r="G124" s="95"/>
      <c r="H124" s="96"/>
      <c r="I124" s="96"/>
      <c r="J124" s="96"/>
      <c r="K124" s="96"/>
      <c r="L124" s="96"/>
      <c r="M124" s="96"/>
      <c r="N124" s="96"/>
      <c r="O124" s="96"/>
      <c r="P124" s="96"/>
      <c r="Q124" s="96"/>
      <c r="R124" s="96"/>
      <c r="S124" s="96"/>
      <c r="T124" s="96"/>
      <c r="U124" s="96"/>
      <c r="V124" s="96"/>
      <c r="W124" s="96"/>
      <c r="X124" s="96"/>
      <c r="Y124" s="96"/>
      <c r="Z124" s="96"/>
      <c r="AA124" s="96"/>
      <c r="AB124" s="96"/>
      <c r="AC124" s="96"/>
      <c r="AD124" s="96"/>
      <c r="AE124" s="96"/>
      <c r="AF124" s="96"/>
      <c r="AG124" s="635"/>
    </row>
    <row r="125" spans="1:33" ht="12.75" customHeight="1" outlineLevel="1">
      <c r="A125" s="56"/>
      <c r="B125" s="99" t="s">
        <v>387</v>
      </c>
      <c r="C125" s="57"/>
      <c r="D125" s="57"/>
      <c r="E125" s="57"/>
      <c r="F125" s="58"/>
      <c r="G125" s="58"/>
      <c r="H125" s="58">
        <f t="shared" ref="H125:N125" si="80">+IF(H$69&gt;H126,(((H$69-H126)/H126)*(650/H126)),0)</f>
        <v>0</v>
      </c>
      <c r="I125" s="58">
        <f t="shared" si="80"/>
        <v>0</v>
      </c>
      <c r="J125" s="58">
        <f t="shared" si="80"/>
        <v>0</v>
      </c>
      <c r="K125" s="58">
        <f t="shared" si="80"/>
        <v>0</v>
      </c>
      <c r="L125" s="58">
        <f t="shared" si="80"/>
        <v>0</v>
      </c>
      <c r="M125" s="58">
        <f t="shared" si="80"/>
        <v>0</v>
      </c>
      <c r="N125" s="58">
        <f t="shared" si="80"/>
        <v>0</v>
      </c>
      <c r="O125" s="645">
        <v>0</v>
      </c>
      <c r="P125" s="645">
        <v>0</v>
      </c>
      <c r="Q125" s="645">
        <v>0</v>
      </c>
      <c r="R125" s="645">
        <v>0</v>
      </c>
      <c r="S125" s="645">
        <v>0</v>
      </c>
      <c r="T125" s="645">
        <v>0</v>
      </c>
      <c r="U125" s="645">
        <v>0</v>
      </c>
      <c r="V125" s="645">
        <v>0</v>
      </c>
      <c r="W125" s="645">
        <v>0</v>
      </c>
      <c r="X125" s="645">
        <v>0</v>
      </c>
      <c r="Y125" s="645">
        <v>0</v>
      </c>
      <c r="Z125" s="645">
        <v>0</v>
      </c>
      <c r="AA125" s="645">
        <v>0</v>
      </c>
      <c r="AB125" s="645">
        <v>0</v>
      </c>
      <c r="AC125" s="645">
        <v>0</v>
      </c>
      <c r="AD125" s="645">
        <v>0</v>
      </c>
      <c r="AE125" s="645">
        <v>0</v>
      </c>
      <c r="AF125" s="645">
        <v>0</v>
      </c>
      <c r="AG125" s="623"/>
    </row>
    <row r="126" spans="1:33" ht="12.75" customHeight="1" outlineLevel="1">
      <c r="A126" s="65"/>
      <c r="B126" s="169" t="s">
        <v>388</v>
      </c>
      <c r="C126" s="98"/>
      <c r="D126" s="98"/>
      <c r="E126" s="98"/>
      <c r="F126" s="66"/>
      <c r="G126" s="66"/>
      <c r="H126" s="66">
        <v>77.5</v>
      </c>
      <c r="I126" s="66">
        <v>38.75</v>
      </c>
      <c r="J126" s="66">
        <v>38.75</v>
      </c>
      <c r="K126" s="66">
        <v>38.75</v>
      </c>
      <c r="L126" s="66">
        <v>38.75</v>
      </c>
      <c r="M126" s="66">
        <f>L126</f>
        <v>38.75</v>
      </c>
      <c r="N126" s="66">
        <f>M126</f>
        <v>38.75</v>
      </c>
      <c r="O126" s="66"/>
      <c r="P126" s="66"/>
      <c r="Q126" s="66"/>
      <c r="R126" s="66"/>
      <c r="S126" s="66"/>
      <c r="T126" s="66"/>
      <c r="U126" s="66"/>
      <c r="V126" s="66"/>
      <c r="W126" s="66"/>
      <c r="X126" s="66"/>
      <c r="Y126" s="66"/>
      <c r="Z126" s="66"/>
      <c r="AA126" s="66"/>
      <c r="AB126" s="66"/>
      <c r="AC126" s="66"/>
      <c r="AD126" s="66"/>
      <c r="AE126" s="66"/>
      <c r="AF126" s="66"/>
      <c r="AG126" s="637"/>
    </row>
    <row r="127" spans="1:33" ht="12.75" customHeight="1" outlineLevel="1">
      <c r="A127" s="56"/>
      <c r="B127" s="170"/>
      <c r="C127" s="57"/>
      <c r="D127" s="57"/>
      <c r="E127" s="57"/>
      <c r="F127" s="58"/>
      <c r="G127" s="58"/>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623"/>
    </row>
    <row r="128" spans="1:33" ht="12.75" customHeight="1" outlineLevel="1">
      <c r="A128" s="56"/>
      <c r="B128" s="99" t="s">
        <v>389</v>
      </c>
      <c r="C128" s="57"/>
      <c r="D128" s="57"/>
      <c r="E128" s="57"/>
      <c r="F128" s="58"/>
      <c r="G128" s="58"/>
      <c r="H128" s="58">
        <f>+IF(H$69&gt;H129,(((H$69-H129)/H129)*(650/H129)),0)</f>
        <v>0</v>
      </c>
      <c r="I128" s="58">
        <f t="shared" ref="I128:O128" si="81">+IF(I$69&gt;I129,(((I$69-I129)/I129)*(650/I129)),0)</f>
        <v>0</v>
      </c>
      <c r="J128" s="58">
        <f t="shared" si="81"/>
        <v>0</v>
      </c>
      <c r="K128" s="58">
        <f t="shared" si="81"/>
        <v>0</v>
      </c>
      <c r="L128" s="58">
        <f t="shared" si="81"/>
        <v>0</v>
      </c>
      <c r="M128" s="58">
        <f t="shared" si="81"/>
        <v>0</v>
      </c>
      <c r="N128" s="58">
        <f t="shared" si="81"/>
        <v>0</v>
      </c>
      <c r="O128" s="58">
        <f t="shared" si="81"/>
        <v>8.0421049730988354</v>
      </c>
      <c r="P128" s="645">
        <v>0</v>
      </c>
      <c r="Q128" s="645">
        <v>0</v>
      </c>
      <c r="R128" s="645">
        <v>0</v>
      </c>
      <c r="S128" s="645">
        <v>0</v>
      </c>
      <c r="T128" s="645">
        <v>0</v>
      </c>
      <c r="U128" s="645">
        <v>0</v>
      </c>
      <c r="V128" s="645">
        <v>0</v>
      </c>
      <c r="W128" s="645">
        <v>0</v>
      </c>
      <c r="X128" s="645">
        <v>0</v>
      </c>
      <c r="Y128" s="645">
        <v>0</v>
      </c>
      <c r="Z128" s="645">
        <v>0</v>
      </c>
      <c r="AA128" s="645">
        <v>0</v>
      </c>
      <c r="AB128" s="645">
        <v>0</v>
      </c>
      <c r="AC128" s="645">
        <v>0</v>
      </c>
      <c r="AD128" s="645">
        <v>0</v>
      </c>
      <c r="AE128" s="645">
        <v>0</v>
      </c>
      <c r="AF128" s="645">
        <v>0</v>
      </c>
      <c r="AG128" s="623"/>
    </row>
    <row r="129" spans="1:33" ht="12.75" customHeight="1" outlineLevel="1">
      <c r="A129" s="65"/>
      <c r="B129" s="169" t="s">
        <v>388</v>
      </c>
      <c r="C129" s="98"/>
      <c r="D129" s="98"/>
      <c r="E129" s="98"/>
      <c r="F129" s="66"/>
      <c r="G129" s="66"/>
      <c r="H129" s="66">
        <v>76.2</v>
      </c>
      <c r="I129" s="66">
        <v>38.1</v>
      </c>
      <c r="J129" s="66">
        <v>38.1</v>
      </c>
      <c r="K129" s="66">
        <v>38.1</v>
      </c>
      <c r="L129" s="66">
        <v>38.1</v>
      </c>
      <c r="M129" s="66">
        <f>L129</f>
        <v>38.1</v>
      </c>
      <c r="N129" s="66">
        <f>M129</f>
        <v>38.1</v>
      </c>
      <c r="O129" s="66">
        <f>N129</f>
        <v>38.1</v>
      </c>
      <c r="P129" s="66"/>
      <c r="Q129" s="66"/>
      <c r="R129" s="66"/>
      <c r="S129" s="66"/>
      <c r="T129" s="66"/>
      <c r="U129" s="66"/>
      <c r="V129" s="66"/>
      <c r="W129" s="66"/>
      <c r="X129" s="66"/>
      <c r="Y129" s="66"/>
      <c r="Z129" s="66"/>
      <c r="AA129" s="66"/>
      <c r="AB129" s="66"/>
      <c r="AC129" s="66"/>
      <c r="AD129" s="66"/>
      <c r="AE129" s="66"/>
      <c r="AF129" s="66"/>
      <c r="AG129" s="637"/>
    </row>
    <row r="130" spans="1:33" ht="12.75" customHeight="1" outlineLevel="1">
      <c r="A130" s="56"/>
      <c r="B130" s="99"/>
      <c r="C130" s="57"/>
      <c r="D130" s="57"/>
      <c r="E130" s="57"/>
      <c r="F130" s="58"/>
      <c r="G130" s="58"/>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623"/>
    </row>
    <row r="131" spans="1:33" ht="12.75" customHeight="1" outlineLevel="1">
      <c r="A131" s="56"/>
      <c r="B131" s="99" t="s">
        <v>390</v>
      </c>
      <c r="C131" s="57"/>
      <c r="D131" s="57"/>
      <c r="E131" s="57"/>
      <c r="F131" s="58"/>
      <c r="G131" s="58"/>
      <c r="H131" s="58"/>
      <c r="I131" s="58"/>
      <c r="J131" s="58"/>
      <c r="K131" s="58"/>
      <c r="L131" s="58">
        <f>+IF(L$69&gt;L132,(((L$69-L132)/L132)*(650/L132)),0)</f>
        <v>0</v>
      </c>
      <c r="M131" s="58">
        <f>+IF(M$69&gt;M132,(((M$69-M132)/M132)*(650/M132)),0)</f>
        <v>0</v>
      </c>
      <c r="N131" s="58">
        <f>+IF(N$69&gt;N132,(((N$69-N132)/N132)*(650/N132)),0)</f>
        <v>0</v>
      </c>
      <c r="O131" s="58">
        <f>+IF(O$69&gt;O132,(((O$69-O132)/O132)*(650/O132)),0)</f>
        <v>3.5119464243395764</v>
      </c>
      <c r="P131" s="58">
        <f>+IF(P$69&gt;P132,(((P$69-P132)/P132)*(650/P132)),0)</f>
        <v>13.827089610582865</v>
      </c>
      <c r="Q131" s="645">
        <v>0</v>
      </c>
      <c r="R131" s="645">
        <v>0</v>
      </c>
      <c r="S131" s="645">
        <v>0</v>
      </c>
      <c r="T131" s="645">
        <v>0</v>
      </c>
      <c r="U131" s="645">
        <v>0</v>
      </c>
      <c r="V131" s="645">
        <v>0</v>
      </c>
      <c r="W131" s="645">
        <v>0</v>
      </c>
      <c r="X131" s="645">
        <v>0</v>
      </c>
      <c r="Y131" s="645">
        <v>0</v>
      </c>
      <c r="Z131" s="645">
        <v>0</v>
      </c>
      <c r="AA131" s="645">
        <v>0</v>
      </c>
      <c r="AB131" s="645">
        <v>0</v>
      </c>
      <c r="AC131" s="645">
        <v>0</v>
      </c>
      <c r="AD131" s="645">
        <v>0</v>
      </c>
      <c r="AE131" s="645">
        <v>0</v>
      </c>
      <c r="AF131" s="645">
        <v>0</v>
      </c>
      <c r="AG131" s="623"/>
    </row>
    <row r="132" spans="1:33" ht="12.75" customHeight="1" outlineLevel="1">
      <c r="A132" s="65"/>
      <c r="B132" s="169" t="s">
        <v>388</v>
      </c>
      <c r="C132" s="98"/>
      <c r="D132" s="98"/>
      <c r="E132" s="98"/>
      <c r="F132" s="66"/>
      <c r="G132" s="66"/>
      <c r="H132" s="66"/>
      <c r="I132" s="66"/>
      <c r="J132" s="66"/>
      <c r="K132" s="66"/>
      <c r="L132" s="66">
        <v>45.08</v>
      </c>
      <c r="M132" s="66">
        <f>L132</f>
        <v>45.08</v>
      </c>
      <c r="N132" s="66">
        <f>M132</f>
        <v>45.08</v>
      </c>
      <c r="O132" s="66">
        <f>N132</f>
        <v>45.08</v>
      </c>
      <c r="P132" s="66">
        <f>O132</f>
        <v>45.08</v>
      </c>
      <c r="Q132" s="66"/>
      <c r="R132" s="66"/>
      <c r="S132" s="66"/>
      <c r="T132" s="66"/>
      <c r="U132" s="66"/>
      <c r="V132" s="66"/>
      <c r="W132" s="66"/>
      <c r="X132" s="66"/>
      <c r="Y132" s="66"/>
      <c r="Z132" s="66"/>
      <c r="AA132" s="66"/>
      <c r="AB132" s="66"/>
      <c r="AC132" s="66"/>
      <c r="AD132" s="66"/>
      <c r="AE132" s="66"/>
      <c r="AF132" s="66"/>
      <c r="AG132" s="637"/>
    </row>
    <row r="133" spans="1:33" ht="12.75" customHeight="1" outlineLevel="1">
      <c r="A133" s="56"/>
      <c r="B133" s="99"/>
      <c r="C133" s="57"/>
      <c r="D133" s="57"/>
      <c r="E133" s="57"/>
      <c r="F133" s="58"/>
      <c r="G133" s="58"/>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623"/>
    </row>
    <row r="134" spans="1:33" ht="12.75" customHeight="1" outlineLevel="1">
      <c r="A134" s="56"/>
      <c r="B134" s="99" t="s">
        <v>391</v>
      </c>
      <c r="C134" s="57"/>
      <c r="D134" s="57"/>
      <c r="E134" s="57"/>
      <c r="F134" s="58"/>
      <c r="G134" s="58"/>
      <c r="H134" s="58"/>
      <c r="I134" s="58"/>
      <c r="J134" s="58"/>
      <c r="K134" s="58"/>
      <c r="L134" s="58">
        <f>+IF(L$69&gt;L135,(((L$69-L135)/L135)*(650/L135)),0)</f>
        <v>0</v>
      </c>
      <c r="M134" s="58">
        <f t="shared" ref="M134:R134" si="82">+IF(M$69&gt;M135,(((M$69-M135)/M135)*(650/M135)),0)</f>
        <v>0</v>
      </c>
      <c r="N134" s="58">
        <f t="shared" si="82"/>
        <v>0</v>
      </c>
      <c r="O134" s="58">
        <f t="shared" si="82"/>
        <v>3.3570666264610778</v>
      </c>
      <c r="P134" s="58">
        <f t="shared" si="82"/>
        <v>13.522831762927716</v>
      </c>
      <c r="Q134" s="58">
        <f t="shared" si="82"/>
        <v>19.266095043126853</v>
      </c>
      <c r="R134" s="58">
        <f t="shared" si="82"/>
        <v>12.031852876245942</v>
      </c>
      <c r="S134" s="645">
        <v>0</v>
      </c>
      <c r="T134" s="645">
        <v>0</v>
      </c>
      <c r="U134" s="645">
        <v>0</v>
      </c>
      <c r="V134" s="645">
        <v>0</v>
      </c>
      <c r="W134" s="645">
        <v>0</v>
      </c>
      <c r="X134" s="645">
        <v>0</v>
      </c>
      <c r="Y134" s="645">
        <v>0</v>
      </c>
      <c r="Z134" s="645">
        <v>0</v>
      </c>
      <c r="AA134" s="645">
        <v>0</v>
      </c>
      <c r="AB134" s="645">
        <v>0</v>
      </c>
      <c r="AC134" s="645">
        <v>0</v>
      </c>
      <c r="AD134" s="645">
        <v>0</v>
      </c>
      <c r="AE134" s="645">
        <v>0</v>
      </c>
      <c r="AF134" s="645">
        <v>0</v>
      </c>
      <c r="AG134" s="623"/>
    </row>
    <row r="135" spans="1:33" ht="12.75" customHeight="1" outlineLevel="1">
      <c r="A135" s="65"/>
      <c r="B135" s="169" t="s">
        <v>388</v>
      </c>
      <c r="C135" s="98"/>
      <c r="D135" s="98"/>
      <c r="E135" s="98"/>
      <c r="F135" s="66"/>
      <c r="G135" s="66"/>
      <c r="H135" s="66"/>
      <c r="I135" s="66"/>
      <c r="J135" s="66"/>
      <c r="K135" s="66"/>
      <c r="L135" s="66">
        <v>45.41</v>
      </c>
      <c r="M135" s="66">
        <f t="shared" ref="M135:R135" si="83">L135</f>
        <v>45.41</v>
      </c>
      <c r="N135" s="66">
        <f t="shared" si="83"/>
        <v>45.41</v>
      </c>
      <c r="O135" s="66">
        <f t="shared" si="83"/>
        <v>45.41</v>
      </c>
      <c r="P135" s="66">
        <f t="shared" si="83"/>
        <v>45.41</v>
      </c>
      <c r="Q135" s="66">
        <f t="shared" si="83"/>
        <v>45.41</v>
      </c>
      <c r="R135" s="66">
        <f t="shared" si="83"/>
        <v>45.41</v>
      </c>
      <c r="S135" s="66"/>
      <c r="T135" s="66"/>
      <c r="U135" s="66"/>
      <c r="V135" s="66"/>
      <c r="W135" s="66"/>
      <c r="X135" s="66"/>
      <c r="Y135" s="66"/>
      <c r="Z135" s="66"/>
      <c r="AA135" s="66"/>
      <c r="AB135" s="66"/>
      <c r="AC135" s="66"/>
      <c r="AD135" s="66"/>
      <c r="AE135" s="66"/>
      <c r="AF135" s="66"/>
      <c r="AG135" s="637"/>
    </row>
    <row r="136" spans="1:33" ht="12.75" customHeight="1" outlineLevel="1">
      <c r="A136" s="56"/>
      <c r="B136" s="99"/>
      <c r="C136" s="57"/>
      <c r="D136" s="57"/>
      <c r="E136" s="57"/>
      <c r="F136" s="58"/>
      <c r="G136" s="58"/>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623"/>
    </row>
    <row r="137" spans="1:33" ht="12.75" customHeight="1" outlineLevel="1">
      <c r="A137" s="56"/>
      <c r="B137" s="99" t="s">
        <v>392</v>
      </c>
      <c r="C137" s="57"/>
      <c r="D137" s="57"/>
      <c r="E137" s="57"/>
      <c r="F137" s="58"/>
      <c r="G137" s="58"/>
      <c r="H137" s="58">
        <f t="shared" ref="H137:N137" si="84">+IF(H$69&gt;H138,(((H$69-H138)/H138)*(650/H138)),0)</f>
        <v>0</v>
      </c>
      <c r="I137" s="58">
        <f t="shared" si="84"/>
        <v>0</v>
      </c>
      <c r="J137" s="58">
        <f t="shared" si="84"/>
        <v>0</v>
      </c>
      <c r="K137" s="58">
        <f t="shared" si="84"/>
        <v>0</v>
      </c>
      <c r="L137" s="58">
        <f t="shared" si="84"/>
        <v>0</v>
      </c>
      <c r="M137" s="58">
        <f t="shared" si="84"/>
        <v>0</v>
      </c>
      <c r="N137" s="58">
        <f t="shared" si="84"/>
        <v>0</v>
      </c>
      <c r="O137" s="58">
        <v>0</v>
      </c>
      <c r="P137" s="645">
        <v>0</v>
      </c>
      <c r="Q137" s="645">
        <v>0</v>
      </c>
      <c r="R137" s="645">
        <v>0</v>
      </c>
      <c r="S137" s="645">
        <v>0</v>
      </c>
      <c r="T137" s="645">
        <v>0</v>
      </c>
      <c r="U137" s="645">
        <v>0</v>
      </c>
      <c r="V137" s="645">
        <v>0</v>
      </c>
      <c r="W137" s="645">
        <v>0</v>
      </c>
      <c r="X137" s="645">
        <v>0</v>
      </c>
      <c r="Y137" s="645">
        <v>0</v>
      </c>
      <c r="Z137" s="645">
        <v>0</v>
      </c>
      <c r="AA137" s="645">
        <v>0</v>
      </c>
      <c r="AB137" s="645">
        <v>0</v>
      </c>
      <c r="AC137" s="645">
        <v>0</v>
      </c>
      <c r="AD137" s="645">
        <v>0</v>
      </c>
      <c r="AE137" s="645">
        <v>0</v>
      </c>
      <c r="AF137" s="645">
        <v>0</v>
      </c>
      <c r="AG137" s="623"/>
    </row>
    <row r="138" spans="1:33" ht="12.75" customHeight="1" outlineLevel="1">
      <c r="A138" s="65"/>
      <c r="B138" s="169" t="s">
        <v>393</v>
      </c>
      <c r="C138" s="98"/>
      <c r="D138" s="98"/>
      <c r="E138" s="98"/>
      <c r="F138" s="66"/>
      <c r="G138" s="66"/>
      <c r="H138" s="66">
        <v>101.6</v>
      </c>
      <c r="I138" s="66">
        <v>50.8</v>
      </c>
      <c r="J138" s="66">
        <v>50.8</v>
      </c>
      <c r="K138" s="66">
        <v>50.8</v>
      </c>
      <c r="L138" s="66">
        <v>50.8</v>
      </c>
      <c r="M138" s="16">
        <f>L138</f>
        <v>50.8</v>
      </c>
      <c r="N138" s="16">
        <f>M138</f>
        <v>50.8</v>
      </c>
      <c r="O138" s="66"/>
      <c r="P138" s="66"/>
      <c r="Q138" s="66"/>
      <c r="R138" s="66"/>
      <c r="S138" s="66"/>
      <c r="T138" s="66"/>
      <c r="U138" s="66"/>
      <c r="V138" s="66"/>
      <c r="W138" s="66"/>
      <c r="X138" s="66"/>
      <c r="Y138" s="66"/>
      <c r="Z138" s="66"/>
      <c r="AA138" s="66"/>
      <c r="AB138" s="66"/>
      <c r="AC138" s="66"/>
      <c r="AD138" s="66"/>
      <c r="AE138" s="66"/>
      <c r="AF138" s="66"/>
      <c r="AG138" s="637"/>
    </row>
    <row r="139" spans="1:33" ht="12.75" customHeight="1" outlineLevel="1">
      <c r="A139" s="56"/>
      <c r="B139" s="99"/>
      <c r="C139" s="57"/>
      <c r="D139" s="57"/>
      <c r="E139" s="57"/>
      <c r="F139" s="58"/>
      <c r="G139" s="58"/>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623"/>
    </row>
    <row r="140" spans="1:33" ht="12.75" customHeight="1" outlineLevel="1">
      <c r="A140" s="56"/>
      <c r="B140" s="99" t="s">
        <v>394</v>
      </c>
      <c r="C140" s="57"/>
      <c r="D140" s="57"/>
      <c r="E140" s="57"/>
      <c r="F140" s="58"/>
      <c r="G140" s="58"/>
      <c r="H140" s="58">
        <f>+IF(H$69&gt;H141,(((H$69-H141)/H141)*(650/H141)),0)</f>
        <v>0</v>
      </c>
      <c r="I140" s="58">
        <f t="shared" ref="I140:O140" si="85">+IF(I$69&gt;I141,(((I$69-I141)/I141)*(650/I141)),0)</f>
        <v>0</v>
      </c>
      <c r="J140" s="58">
        <f t="shared" si="85"/>
        <v>0</v>
      </c>
      <c r="K140" s="58">
        <f t="shared" si="85"/>
        <v>0</v>
      </c>
      <c r="L140" s="58">
        <f t="shared" si="85"/>
        <v>0</v>
      </c>
      <c r="M140" s="58">
        <f t="shared" si="85"/>
        <v>0</v>
      </c>
      <c r="N140" s="58">
        <f t="shared" si="85"/>
        <v>0</v>
      </c>
      <c r="O140" s="58">
        <f t="shared" si="85"/>
        <v>0.48326971200016611</v>
      </c>
      <c r="P140" s="645">
        <v>0</v>
      </c>
      <c r="Q140" s="645">
        <v>0</v>
      </c>
      <c r="R140" s="645">
        <v>0</v>
      </c>
      <c r="S140" s="645">
        <v>0</v>
      </c>
      <c r="T140" s="645">
        <v>0</v>
      </c>
      <c r="U140" s="645">
        <v>0</v>
      </c>
      <c r="V140" s="645">
        <v>0</v>
      </c>
      <c r="W140" s="645">
        <v>0</v>
      </c>
      <c r="X140" s="645">
        <v>0</v>
      </c>
      <c r="Y140" s="645">
        <v>0</v>
      </c>
      <c r="Z140" s="645">
        <v>0</v>
      </c>
      <c r="AA140" s="645">
        <v>0</v>
      </c>
      <c r="AB140" s="645">
        <v>0</v>
      </c>
      <c r="AC140" s="645">
        <v>0</v>
      </c>
      <c r="AD140" s="645">
        <v>0</v>
      </c>
      <c r="AE140" s="645">
        <v>0</v>
      </c>
      <c r="AF140" s="645">
        <v>0</v>
      </c>
      <c r="AG140" s="623"/>
    </row>
    <row r="141" spans="1:33" ht="12.75" customHeight="1" outlineLevel="1">
      <c r="A141" s="65"/>
      <c r="B141" s="169" t="s">
        <v>393</v>
      </c>
      <c r="C141" s="98"/>
      <c r="D141" s="98"/>
      <c r="E141" s="98"/>
      <c r="F141" s="66"/>
      <c r="G141" s="66"/>
      <c r="H141" s="66">
        <v>107.79</v>
      </c>
      <c r="I141" s="66">
        <v>53.9</v>
      </c>
      <c r="J141" s="66">
        <v>53.9</v>
      </c>
      <c r="K141" s="66">
        <v>53.9</v>
      </c>
      <c r="L141" s="66">
        <v>53.9</v>
      </c>
      <c r="M141" s="16">
        <f>L141</f>
        <v>53.9</v>
      </c>
      <c r="N141" s="16">
        <f>M141</f>
        <v>53.9</v>
      </c>
      <c r="O141" s="16">
        <f>N141</f>
        <v>53.9</v>
      </c>
      <c r="P141" s="66"/>
      <c r="Q141" s="66"/>
      <c r="R141" s="66"/>
      <c r="S141" s="66"/>
      <c r="T141" s="66"/>
      <c r="U141" s="66"/>
      <c r="V141" s="66"/>
      <c r="W141" s="66"/>
      <c r="X141" s="66"/>
      <c r="Y141" s="66"/>
      <c r="Z141" s="66"/>
      <c r="AA141" s="66"/>
      <c r="AB141" s="66"/>
      <c r="AC141" s="66"/>
      <c r="AD141" s="66"/>
      <c r="AE141" s="66"/>
      <c r="AF141" s="66"/>
      <c r="AG141" s="637"/>
    </row>
    <row r="142" spans="1:33" ht="12.75" customHeight="1" outlineLevel="1">
      <c r="A142" s="56"/>
      <c r="B142" s="99"/>
      <c r="C142" s="57"/>
      <c r="D142" s="57"/>
      <c r="E142" s="57"/>
      <c r="F142" s="58"/>
      <c r="G142" s="58"/>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623"/>
    </row>
    <row r="143" spans="1:33" ht="12.75" customHeight="1" outlineLevel="1">
      <c r="A143" s="56"/>
      <c r="B143" s="99" t="s">
        <v>395</v>
      </c>
      <c r="C143" s="57"/>
      <c r="D143" s="57"/>
      <c r="E143" s="57"/>
      <c r="F143" s="58"/>
      <c r="G143" s="58"/>
      <c r="H143" s="58"/>
      <c r="I143" s="58"/>
      <c r="J143" s="58"/>
      <c r="K143" s="58"/>
      <c r="L143" s="58">
        <f>+IF(L$69&gt;L144,(((L$69-L144)/L144)*(650/L144)),0)</f>
        <v>0</v>
      </c>
      <c r="M143" s="58">
        <f>+IF(M$69&gt;M144,(((M$69-M144)/M144)*(650/M144)),0)</f>
        <v>0</v>
      </c>
      <c r="N143" s="58">
        <f>+IF(N$69&gt;N144,(((N$69-N144)/N144)*(650/N144)),0)</f>
        <v>0</v>
      </c>
      <c r="O143" s="58">
        <f>+IF(O$69&gt;O144,(((O$69-O144)/O144)*(650/O144)),0)</f>
        <v>0</v>
      </c>
      <c r="P143" s="58">
        <f>+IF(P$69&gt;P144,(((P$69-P144)/P144)*(650/P144)),0)</f>
        <v>6.365432932004544</v>
      </c>
      <c r="Q143" s="645">
        <v>0</v>
      </c>
      <c r="R143" s="645">
        <v>0</v>
      </c>
      <c r="S143" s="645">
        <v>0</v>
      </c>
      <c r="T143" s="645">
        <v>0</v>
      </c>
      <c r="U143" s="645">
        <v>0</v>
      </c>
      <c r="V143" s="645">
        <v>0</v>
      </c>
      <c r="W143" s="645">
        <v>0</v>
      </c>
      <c r="X143" s="645">
        <v>0</v>
      </c>
      <c r="Y143" s="645">
        <v>0</v>
      </c>
      <c r="Z143" s="645">
        <v>0</v>
      </c>
      <c r="AA143" s="645">
        <v>0</v>
      </c>
      <c r="AB143" s="645">
        <v>0</v>
      </c>
      <c r="AC143" s="645">
        <v>0</v>
      </c>
      <c r="AD143" s="645">
        <v>0</v>
      </c>
      <c r="AE143" s="645">
        <v>0</v>
      </c>
      <c r="AF143" s="645">
        <v>0</v>
      </c>
      <c r="AG143" s="623"/>
    </row>
    <row r="144" spans="1:33" ht="12.75" customHeight="1" outlineLevel="1">
      <c r="A144" s="65"/>
      <c r="B144" s="169" t="s">
        <v>393</v>
      </c>
      <c r="C144" s="98"/>
      <c r="D144" s="98"/>
      <c r="E144" s="98"/>
      <c r="F144" s="66"/>
      <c r="G144" s="66"/>
      <c r="H144" s="66"/>
      <c r="I144" s="66"/>
      <c r="J144" s="66"/>
      <c r="K144" s="66"/>
      <c r="L144" s="66">
        <v>56.76</v>
      </c>
      <c r="M144" s="66">
        <f>L144</f>
        <v>56.76</v>
      </c>
      <c r="N144" s="66">
        <f>M144</f>
        <v>56.76</v>
      </c>
      <c r="O144" s="66">
        <f>N144</f>
        <v>56.76</v>
      </c>
      <c r="P144" s="66">
        <f>O144</f>
        <v>56.76</v>
      </c>
      <c r="Q144" s="66"/>
      <c r="R144" s="66"/>
      <c r="S144" s="66"/>
      <c r="T144" s="66"/>
      <c r="U144" s="66"/>
      <c r="V144" s="66"/>
      <c r="W144" s="66"/>
      <c r="X144" s="66"/>
      <c r="Y144" s="66"/>
      <c r="Z144" s="66"/>
      <c r="AA144" s="66"/>
      <c r="AB144" s="66"/>
      <c r="AC144" s="66"/>
      <c r="AD144" s="66"/>
      <c r="AE144" s="66"/>
      <c r="AF144" s="66"/>
      <c r="AG144" s="637"/>
    </row>
    <row r="145" spans="1:39" ht="12.75" customHeight="1" outlineLevel="1">
      <c r="A145" s="56"/>
      <c r="B145" s="99"/>
      <c r="C145" s="57"/>
      <c r="D145" s="57"/>
      <c r="E145" s="57"/>
      <c r="F145" s="58"/>
      <c r="G145" s="58"/>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623"/>
    </row>
    <row r="146" spans="1:39" ht="12.75" customHeight="1" outlineLevel="1">
      <c r="A146" s="56"/>
      <c r="B146" s="99" t="s">
        <v>396</v>
      </c>
      <c r="C146" s="57"/>
      <c r="D146" s="57"/>
      <c r="E146" s="57"/>
      <c r="F146" s="58"/>
      <c r="G146" s="58"/>
      <c r="H146" s="58"/>
      <c r="I146" s="58"/>
      <c r="J146" s="58"/>
      <c r="K146" s="58"/>
      <c r="L146" s="58">
        <f>+IF(L$69&gt;L147,(((L$69-L147)/L147)*(650/L147)),0)</f>
        <v>0</v>
      </c>
      <c r="M146" s="58">
        <f t="shared" ref="M146:R146" si="86">+IF(M$69&gt;M147,(((M$69-M147)/M147)*(650/M147)),0)</f>
        <v>0</v>
      </c>
      <c r="N146" s="58">
        <f t="shared" si="86"/>
        <v>0</v>
      </c>
      <c r="O146" s="58">
        <f t="shared" si="86"/>
        <v>0</v>
      </c>
      <c r="P146" s="58">
        <f t="shared" si="86"/>
        <v>5.0765363329558886</v>
      </c>
      <c r="Q146" s="58">
        <f t="shared" si="86"/>
        <v>8.3553201679951048</v>
      </c>
      <c r="R146" s="58">
        <f t="shared" si="86"/>
        <v>4.2253482133216682</v>
      </c>
      <c r="S146" s="645">
        <v>0</v>
      </c>
      <c r="T146" s="645">
        <v>0</v>
      </c>
      <c r="U146" s="645">
        <v>0</v>
      </c>
      <c r="V146" s="645">
        <v>0</v>
      </c>
      <c r="W146" s="645">
        <v>0</v>
      </c>
      <c r="X146" s="645">
        <v>0</v>
      </c>
      <c r="Y146" s="645">
        <v>0</v>
      </c>
      <c r="Z146" s="645">
        <v>0</v>
      </c>
      <c r="AA146" s="645">
        <v>0</v>
      </c>
      <c r="AB146" s="645">
        <v>0</v>
      </c>
      <c r="AC146" s="645">
        <v>0</v>
      </c>
      <c r="AD146" s="645">
        <v>0</v>
      </c>
      <c r="AE146" s="645">
        <v>0</v>
      </c>
      <c r="AF146" s="645">
        <v>0</v>
      </c>
      <c r="AG146" s="623"/>
    </row>
    <row r="147" spans="1:39" ht="12.75" customHeight="1" outlineLevel="1">
      <c r="A147" s="65"/>
      <c r="B147" s="169" t="s">
        <v>393</v>
      </c>
      <c r="C147" s="98"/>
      <c r="D147" s="98"/>
      <c r="E147" s="98"/>
      <c r="F147" s="66"/>
      <c r="G147" s="66"/>
      <c r="H147" s="66"/>
      <c r="I147" s="66"/>
      <c r="J147" s="66"/>
      <c r="K147" s="66"/>
      <c r="L147" s="66">
        <v>60.1</v>
      </c>
      <c r="M147" s="66">
        <f t="shared" ref="M147:R147" si="87">L147</f>
        <v>60.1</v>
      </c>
      <c r="N147" s="66">
        <f t="shared" si="87"/>
        <v>60.1</v>
      </c>
      <c r="O147" s="66">
        <f t="shared" si="87"/>
        <v>60.1</v>
      </c>
      <c r="P147" s="66">
        <f t="shared" si="87"/>
        <v>60.1</v>
      </c>
      <c r="Q147" s="66">
        <f t="shared" si="87"/>
        <v>60.1</v>
      </c>
      <c r="R147" s="66">
        <f t="shared" si="87"/>
        <v>60.1</v>
      </c>
      <c r="S147" s="66"/>
      <c r="T147" s="66"/>
      <c r="U147" s="66"/>
      <c r="V147" s="66"/>
      <c r="W147" s="66"/>
      <c r="X147" s="66"/>
      <c r="Y147" s="66"/>
      <c r="Z147" s="66"/>
      <c r="AA147" s="66"/>
      <c r="AB147" s="66"/>
      <c r="AC147" s="66"/>
      <c r="AD147" s="66"/>
      <c r="AE147" s="66"/>
      <c r="AF147" s="66"/>
      <c r="AG147" s="637"/>
    </row>
    <row r="148" spans="1:39" ht="12.75" customHeight="1" outlineLevel="1">
      <c r="A148" s="65"/>
      <c r="B148" s="169"/>
      <c r="C148" s="98"/>
      <c r="D148" s="98"/>
      <c r="E148" s="98"/>
      <c r="F148" s="66"/>
      <c r="G148" s="66"/>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c r="AE148" s="66"/>
      <c r="AF148" s="66"/>
      <c r="AG148" s="637"/>
    </row>
    <row r="149" spans="1:39" ht="12.75" customHeight="1" outlineLevel="1">
      <c r="A149" s="56"/>
      <c r="B149" s="99" t="s">
        <v>397</v>
      </c>
      <c r="C149" s="57"/>
      <c r="D149" s="57"/>
      <c r="E149" s="57"/>
      <c r="F149" s="58"/>
      <c r="G149" s="58"/>
      <c r="H149" s="58">
        <f>+SUM(H125,H128,H131,H134,H137,H140,H143,H146)</f>
        <v>0</v>
      </c>
      <c r="I149" s="58">
        <f t="shared" ref="I149:AF149" si="88">+SUM(I125,I128,I131,I134,I137,I140,I143,I146)</f>
        <v>0</v>
      </c>
      <c r="J149" s="58">
        <f t="shared" si="88"/>
        <v>0</v>
      </c>
      <c r="K149" s="58">
        <f t="shared" si="88"/>
        <v>0</v>
      </c>
      <c r="L149" s="58">
        <f t="shared" si="88"/>
        <v>0</v>
      </c>
      <c r="M149" s="58">
        <f t="shared" si="88"/>
        <v>0</v>
      </c>
      <c r="N149" s="58">
        <f t="shared" si="88"/>
        <v>0</v>
      </c>
      <c r="O149" s="58">
        <f t="shared" si="88"/>
        <v>15.394387735899656</v>
      </c>
      <c r="P149" s="58">
        <f t="shared" si="88"/>
        <v>38.791890638471017</v>
      </c>
      <c r="Q149" s="58">
        <f t="shared" si="88"/>
        <v>27.621415211121956</v>
      </c>
      <c r="R149" s="58">
        <f t="shared" si="88"/>
        <v>16.257201089567609</v>
      </c>
      <c r="S149" s="58">
        <f>+SUM(S125,S128,S131,S134,S137,S140,S143,S146)</f>
        <v>0</v>
      </c>
      <c r="T149" s="58">
        <f t="shared" si="88"/>
        <v>0</v>
      </c>
      <c r="U149" s="58">
        <f t="shared" si="88"/>
        <v>0</v>
      </c>
      <c r="V149" s="58">
        <f t="shared" si="88"/>
        <v>0</v>
      </c>
      <c r="W149" s="58">
        <f t="shared" si="88"/>
        <v>0</v>
      </c>
      <c r="X149" s="58">
        <f t="shared" si="88"/>
        <v>0</v>
      </c>
      <c r="Y149" s="58">
        <f t="shared" si="88"/>
        <v>0</v>
      </c>
      <c r="Z149" s="58">
        <f t="shared" si="88"/>
        <v>0</v>
      </c>
      <c r="AA149" s="58">
        <f t="shared" si="88"/>
        <v>0</v>
      </c>
      <c r="AB149" s="58">
        <f t="shared" si="88"/>
        <v>0</v>
      </c>
      <c r="AC149" s="58">
        <f t="shared" si="88"/>
        <v>0</v>
      </c>
      <c r="AD149" s="58">
        <f t="shared" si="88"/>
        <v>0</v>
      </c>
      <c r="AE149" s="58">
        <f t="shared" si="88"/>
        <v>0</v>
      </c>
      <c r="AF149" s="58">
        <f t="shared" si="88"/>
        <v>0</v>
      </c>
      <c r="AG149" s="623"/>
    </row>
    <row r="150" spans="1:39" ht="12.75" customHeight="1" outlineLevel="1" collapsed="1">
      <c r="A150" s="43"/>
      <c r="B150" s="167"/>
      <c r="C150" s="43"/>
      <c r="D150" s="43"/>
      <c r="E150" s="43"/>
      <c r="F150" s="43"/>
      <c r="G150" s="43"/>
      <c r="H150" s="43"/>
      <c r="I150" s="43"/>
      <c r="J150" s="46"/>
      <c r="K150" s="46"/>
      <c r="L150" s="46"/>
      <c r="M150" s="46"/>
      <c r="N150" s="46"/>
      <c r="O150" s="46"/>
      <c r="P150" s="46"/>
      <c r="Q150" s="46"/>
      <c r="R150" s="46"/>
      <c r="S150" s="46"/>
      <c r="T150" s="46"/>
      <c r="U150" s="46"/>
      <c r="V150" s="46"/>
      <c r="W150" s="46"/>
      <c r="X150" s="46"/>
      <c r="Y150" s="46"/>
      <c r="Z150" s="46"/>
      <c r="AA150" s="46"/>
      <c r="AB150" s="46"/>
      <c r="AC150" s="46"/>
      <c r="AD150" s="46"/>
      <c r="AE150" s="46"/>
      <c r="AF150" s="46"/>
      <c r="AG150" s="626"/>
    </row>
    <row r="151" spans="1:39" s="154" customFormat="1" ht="12.75" customHeight="1" outlineLevel="1">
      <c r="B151" s="171" t="s">
        <v>398</v>
      </c>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638"/>
      <c r="AH151"/>
      <c r="AI151"/>
      <c r="AJ151"/>
      <c r="AK151"/>
      <c r="AL151"/>
      <c r="AM151"/>
    </row>
    <row r="152" spans="1:39" s="16" customFormat="1" ht="12.75" customHeight="1" outlineLevel="1">
      <c r="A152" s="65"/>
      <c r="B152" s="97" t="s">
        <v>399</v>
      </c>
      <c r="C152" s="65"/>
      <c r="D152" s="65"/>
      <c r="E152" s="65"/>
      <c r="F152" s="65"/>
      <c r="G152" s="65"/>
      <c r="H152" s="65">
        <f t="shared" ref="H152:AF152" si="89">H69</f>
        <v>13</v>
      </c>
      <c r="I152" s="65">
        <f t="shared" si="89"/>
        <v>19.7758421626984</v>
      </c>
      <c r="J152" s="65">
        <f t="shared" si="89"/>
        <v>24.591999999999999</v>
      </c>
      <c r="K152" s="65">
        <f t="shared" si="89"/>
        <v>22.5</v>
      </c>
      <c r="L152" s="65">
        <f t="shared" si="89"/>
        <v>21</v>
      </c>
      <c r="M152" s="65">
        <f t="shared" si="89"/>
        <v>19.954999999999998</v>
      </c>
      <c r="N152" s="65">
        <f t="shared" si="89"/>
        <v>27.5</v>
      </c>
      <c r="O152" s="65">
        <f t="shared" si="89"/>
        <v>56.06</v>
      </c>
      <c r="P152" s="65">
        <f t="shared" si="89"/>
        <v>88.31</v>
      </c>
      <c r="Q152" s="65">
        <f t="shared" si="89"/>
        <v>106.53</v>
      </c>
      <c r="R152" s="65">
        <f t="shared" si="89"/>
        <v>83.58</v>
      </c>
      <c r="S152" s="65">
        <f t="shared" si="89"/>
        <v>70.708973964143425</v>
      </c>
      <c r="T152" s="65">
        <f t="shared" si="89"/>
        <v>77.779871360557777</v>
      </c>
      <c r="U152" s="65">
        <f t="shared" si="89"/>
        <v>85.557858496613562</v>
      </c>
      <c r="V152" s="65">
        <f t="shared" si="89"/>
        <v>94.113644346274924</v>
      </c>
      <c r="W152" s="65">
        <f t="shared" si="89"/>
        <v>103.52500878090243</v>
      </c>
      <c r="X152" s="65">
        <f t="shared" si="89"/>
        <v>113.87750965899268</v>
      </c>
      <c r="Y152" s="65">
        <f t="shared" si="89"/>
        <v>125.26526062489195</v>
      </c>
      <c r="Z152" s="65">
        <f t="shared" si="89"/>
        <v>137.79178668738115</v>
      </c>
      <c r="AA152" s="65">
        <f t="shared" si="89"/>
        <v>151.57096535611927</v>
      </c>
      <c r="AB152" s="65">
        <f t="shared" si="89"/>
        <v>166.72806189173122</v>
      </c>
      <c r="AC152" s="65">
        <f t="shared" si="89"/>
        <v>183.40086808090436</v>
      </c>
      <c r="AD152" s="65">
        <f t="shared" si="89"/>
        <v>201.74095488899482</v>
      </c>
      <c r="AE152" s="65">
        <f t="shared" si="89"/>
        <v>221.91505037789432</v>
      </c>
      <c r="AF152" s="65">
        <f t="shared" si="89"/>
        <v>244.10655541568377</v>
      </c>
      <c r="AG152" s="637"/>
      <c r="AH152"/>
      <c r="AI152"/>
      <c r="AJ152"/>
      <c r="AK152"/>
      <c r="AL152"/>
      <c r="AM152"/>
    </row>
    <row r="153" spans="1:39" ht="12.75" customHeight="1" outlineLevel="1">
      <c r="A153" s="43"/>
      <c r="B153" s="167"/>
      <c r="C153" s="43"/>
      <c r="D153" s="43"/>
      <c r="E153" s="43"/>
      <c r="F153" s="43"/>
      <c r="G153" s="43"/>
      <c r="H153" s="67"/>
      <c r="I153" s="67"/>
      <c r="J153" s="67"/>
      <c r="K153" s="67"/>
      <c r="L153" s="67"/>
      <c r="M153" s="67"/>
      <c r="N153" s="67"/>
      <c r="O153" s="46"/>
      <c r="P153" s="46"/>
      <c r="Q153" s="46"/>
      <c r="R153" s="46"/>
      <c r="S153" s="46"/>
      <c r="T153" s="46"/>
      <c r="U153" s="46"/>
      <c r="V153" s="46"/>
      <c r="W153" s="46"/>
      <c r="X153" s="46"/>
      <c r="Y153" s="46"/>
      <c r="Z153" s="46"/>
      <c r="AA153" s="46"/>
      <c r="AB153" s="46"/>
      <c r="AC153" s="46"/>
      <c r="AD153" s="46"/>
      <c r="AE153" s="46"/>
      <c r="AF153" s="46"/>
      <c r="AG153" s="626"/>
    </row>
    <row r="154" spans="1:39" ht="12.75" customHeight="1" outlineLevel="1">
      <c r="A154" s="43"/>
      <c r="B154" s="172" t="s">
        <v>400</v>
      </c>
      <c r="C154" s="43"/>
      <c r="D154" s="43"/>
      <c r="E154" s="43"/>
      <c r="F154" s="43"/>
      <c r="G154" s="43"/>
      <c r="H154" s="43"/>
      <c r="I154" s="43"/>
      <c r="J154" s="46"/>
      <c r="K154" s="46"/>
      <c r="L154" s="46"/>
      <c r="M154" s="46"/>
      <c r="N154" s="46"/>
      <c r="O154" s="46"/>
      <c r="P154" s="46"/>
      <c r="Q154" s="46"/>
      <c r="R154" s="46"/>
      <c r="S154" s="46"/>
      <c r="T154" s="46"/>
      <c r="U154" s="46"/>
      <c r="V154" s="46"/>
      <c r="W154" s="46"/>
      <c r="X154" s="46"/>
      <c r="Y154" s="46"/>
      <c r="Z154" s="46"/>
      <c r="AA154" s="46"/>
      <c r="AB154" s="46"/>
      <c r="AC154" s="46"/>
      <c r="AD154" s="46"/>
      <c r="AE154" s="46"/>
      <c r="AF154" s="46"/>
      <c r="AG154" s="626"/>
    </row>
    <row r="155" spans="1:39" ht="12.75" customHeight="1" outlineLevel="1">
      <c r="A155" s="43"/>
      <c r="B155" s="167"/>
      <c r="C155" s="43"/>
      <c r="D155" s="43"/>
      <c r="E155" s="43"/>
      <c r="F155" s="43"/>
      <c r="G155" s="43"/>
      <c r="H155" s="43"/>
      <c r="I155" s="43"/>
      <c r="J155" s="46"/>
      <c r="K155" s="46"/>
      <c r="L155" s="46"/>
      <c r="M155" s="46"/>
      <c r="N155" s="46"/>
      <c r="O155" s="46"/>
      <c r="P155" s="46"/>
      <c r="Q155" s="46"/>
      <c r="R155" s="46"/>
      <c r="S155" s="46"/>
      <c r="T155" s="46"/>
      <c r="U155" s="46"/>
      <c r="V155" s="46"/>
      <c r="W155" s="46"/>
      <c r="X155" s="46"/>
      <c r="Y155" s="46"/>
      <c r="Z155" s="46"/>
      <c r="AA155" s="46"/>
      <c r="AB155" s="46"/>
      <c r="AC155" s="46"/>
      <c r="AD155" s="46"/>
      <c r="AE155" s="46"/>
      <c r="AF155" s="46"/>
      <c r="AG155" s="626"/>
    </row>
    <row r="156" spans="1:39" s="3" customFormat="1" ht="12.75" customHeight="1" outlineLevel="1">
      <c r="A156" s="56"/>
      <c r="B156" s="166" t="s">
        <v>401</v>
      </c>
      <c r="C156" s="56"/>
      <c r="D156" s="56"/>
      <c r="E156" s="56"/>
      <c r="F156" s="56"/>
      <c r="G156" s="56"/>
      <c r="H156" s="56">
        <f>DEBT!H4</f>
        <v>650</v>
      </c>
      <c r="I156" s="56">
        <f>DEBT!I4</f>
        <v>650</v>
      </c>
      <c r="J156" s="56">
        <f>DEBT!J4</f>
        <v>650</v>
      </c>
      <c r="K156" s="56">
        <f>DEBT!K4</f>
        <v>606.78599999999994</v>
      </c>
      <c r="L156" s="56">
        <f>DEBT!L4</f>
        <v>638.99099999999999</v>
      </c>
      <c r="M156" s="56">
        <f>DEBT!M4</f>
        <v>0</v>
      </c>
      <c r="N156" s="56">
        <f>DEBT!N4</f>
        <v>0</v>
      </c>
      <c r="O156" s="56">
        <f>DEBT!O4</f>
        <v>0</v>
      </c>
      <c r="P156" s="56">
        <f>DEBT!P4</f>
        <v>0</v>
      </c>
      <c r="Q156" s="56">
        <f>DEBT!Q4</f>
        <v>0</v>
      </c>
      <c r="R156" s="56">
        <f>DEBT!R4</f>
        <v>0</v>
      </c>
      <c r="S156" s="56">
        <f>DEBT!S4</f>
        <v>0</v>
      </c>
      <c r="T156" s="56">
        <f>DEBT!T4</f>
        <v>0</v>
      </c>
      <c r="U156" s="56">
        <f>DEBT!U4</f>
        <v>0</v>
      </c>
      <c r="V156" s="56">
        <f>DEBT!V4</f>
        <v>0</v>
      </c>
      <c r="W156" s="56">
        <f>DEBT!W4</f>
        <v>0</v>
      </c>
      <c r="X156" s="56">
        <f>DEBT!X4</f>
        <v>0</v>
      </c>
      <c r="Y156" s="56">
        <f>DEBT!Y4</f>
        <v>0</v>
      </c>
      <c r="Z156" s="56">
        <f>DEBT!Z4</f>
        <v>0</v>
      </c>
      <c r="AA156" s="56">
        <f>DEBT!AA4</f>
        <v>0</v>
      </c>
      <c r="AB156" s="56">
        <f>DEBT!AB4</f>
        <v>0</v>
      </c>
      <c r="AC156" s="56">
        <f>DEBT!AC4</f>
        <v>0</v>
      </c>
      <c r="AD156" s="56">
        <f>DEBT!AD4</f>
        <v>0</v>
      </c>
      <c r="AE156" s="56">
        <f>DEBT!AE4</f>
        <v>0</v>
      </c>
      <c r="AF156" s="56">
        <f>DEBT!AF4</f>
        <v>0</v>
      </c>
      <c r="AG156" s="623"/>
      <c r="AH156"/>
      <c r="AI156"/>
      <c r="AJ156"/>
      <c r="AK156"/>
      <c r="AL156"/>
      <c r="AM156"/>
    </row>
    <row r="157" spans="1:39" ht="12.75" customHeight="1" outlineLevel="1">
      <c r="A157" s="43"/>
      <c r="B157" s="173" t="s">
        <v>402</v>
      </c>
      <c r="C157" s="43"/>
      <c r="D157" s="43"/>
      <c r="E157" s="43"/>
      <c r="F157" s="43"/>
      <c r="G157" s="43"/>
      <c r="H157" s="45">
        <f>H156/H158</f>
        <v>33.548387096774192</v>
      </c>
      <c r="I157" s="45">
        <f>I156/I158</f>
        <v>33.548387096774192</v>
      </c>
      <c r="J157" s="45">
        <f>J156/J158</f>
        <v>33.548387096774192</v>
      </c>
      <c r="K157" s="45">
        <f>K156/K158</f>
        <v>31.317987096774189</v>
      </c>
      <c r="L157" s="45">
        <f>L156/L158</f>
        <v>32.98018064516129</v>
      </c>
      <c r="M157" s="46"/>
      <c r="N157" s="46"/>
      <c r="O157" s="46"/>
      <c r="P157" s="46"/>
      <c r="Q157" s="46"/>
      <c r="R157" s="46"/>
      <c r="S157" s="46"/>
      <c r="T157" s="46"/>
      <c r="U157" s="46"/>
      <c r="V157" s="46"/>
      <c r="W157" s="46"/>
      <c r="X157" s="46"/>
      <c r="Y157" s="46"/>
      <c r="Z157" s="46"/>
      <c r="AA157" s="46"/>
      <c r="AB157" s="46"/>
      <c r="AC157" s="46"/>
      <c r="AD157" s="46"/>
      <c r="AE157" s="46"/>
      <c r="AF157" s="46"/>
      <c r="AG157" s="626"/>
    </row>
    <row r="158" spans="1:39" s="16" customFormat="1" ht="12.75" customHeight="1" outlineLevel="1">
      <c r="A158" s="65"/>
      <c r="B158" s="165" t="s">
        <v>403</v>
      </c>
      <c r="C158" s="65"/>
      <c r="D158" s="65"/>
      <c r="E158" s="65"/>
      <c r="F158" s="65"/>
      <c r="G158" s="65"/>
      <c r="H158" s="65">
        <f>77.5/2/2</f>
        <v>19.375</v>
      </c>
      <c r="I158" s="65">
        <f>77.5/2/2</f>
        <v>19.375</v>
      </c>
      <c r="J158" s="65">
        <f>77.5/2/2</f>
        <v>19.375</v>
      </c>
      <c r="K158" s="65">
        <f>77.5/2/2</f>
        <v>19.375</v>
      </c>
      <c r="L158" s="65">
        <f>77.5/2/2</f>
        <v>19.375</v>
      </c>
      <c r="M158" s="65"/>
      <c r="N158" s="65"/>
      <c r="O158" s="101"/>
      <c r="P158" s="101"/>
      <c r="Q158" s="101"/>
      <c r="R158" s="101"/>
      <c r="S158" s="101"/>
      <c r="T158" s="101"/>
      <c r="U158" s="101"/>
      <c r="V158" s="101"/>
      <c r="W158" s="101"/>
      <c r="X158" s="101"/>
      <c r="Y158" s="101"/>
      <c r="Z158" s="101"/>
      <c r="AA158" s="101"/>
      <c r="AB158" s="101"/>
      <c r="AC158" s="101"/>
      <c r="AD158" s="101"/>
      <c r="AE158" s="101"/>
      <c r="AF158" s="101"/>
      <c r="AG158" s="637"/>
      <c r="AH158"/>
      <c r="AI158"/>
      <c r="AJ158"/>
      <c r="AK158"/>
      <c r="AL158"/>
      <c r="AM158"/>
    </row>
    <row r="159" spans="1:39" ht="12.75" customHeight="1" outlineLevel="1">
      <c r="A159" s="56"/>
      <c r="B159" s="166" t="s">
        <v>404</v>
      </c>
      <c r="C159" s="57"/>
      <c r="D159" s="57"/>
      <c r="E159" s="57"/>
      <c r="F159" s="58"/>
      <c r="G159" s="58"/>
      <c r="H159" s="102" t="str">
        <f>IF(H$152&lt;H158,"0", ((H$152*H157)-H156)/H$152)</f>
        <v>0</v>
      </c>
      <c r="I159" s="102">
        <f>IF(I$152&lt;I158,"0", ((I$152*I157)-I156)/I$152)</f>
        <v>0.68000178845880943</v>
      </c>
      <c r="J159" s="102">
        <f>IF(J$152&lt;J158,"0", ((J$152*J157)-J156)/J$152)</f>
        <v>7.1170273049719812</v>
      </c>
      <c r="K159" s="102">
        <f>IF(K$152&lt;K158,"0", ((K$152*K157)-K156)/K$152)</f>
        <v>4.349720430107527</v>
      </c>
      <c r="L159" s="102">
        <f>IF(L$152&lt;L158,"0", ((L$152*L157)-L156)/L$152)</f>
        <v>2.5520377880184348</v>
      </c>
      <c r="M159" s="58"/>
      <c r="N159" s="58"/>
      <c r="O159" s="58"/>
      <c r="P159" s="58"/>
      <c r="Q159" s="58"/>
      <c r="R159" s="58"/>
      <c r="S159" s="58"/>
      <c r="T159" s="58"/>
      <c r="U159" s="58"/>
      <c r="V159" s="58"/>
      <c r="W159" s="58"/>
      <c r="X159" s="58"/>
      <c r="Y159" s="58"/>
      <c r="Z159" s="58"/>
      <c r="AA159" s="58"/>
      <c r="AB159" s="58"/>
      <c r="AC159" s="58"/>
      <c r="AD159" s="58"/>
      <c r="AE159" s="58"/>
      <c r="AF159" s="58"/>
      <c r="AG159" s="623"/>
    </row>
    <row r="160" spans="1:39" ht="12.75" customHeight="1" outlineLevel="1">
      <c r="A160" s="43"/>
      <c r="B160" s="167"/>
      <c r="C160" s="43"/>
      <c r="D160" s="43"/>
      <c r="E160" s="43"/>
      <c r="F160" s="43"/>
      <c r="G160" s="43"/>
      <c r="H160" s="43"/>
      <c r="I160" s="43"/>
      <c r="J160" s="46"/>
      <c r="K160" s="46"/>
      <c r="L160" s="46"/>
      <c r="M160" s="46"/>
      <c r="N160" s="46"/>
      <c r="O160" s="46"/>
      <c r="P160" s="46"/>
      <c r="Q160" s="46"/>
      <c r="R160" s="46"/>
      <c r="S160" s="46"/>
      <c r="T160" s="46"/>
      <c r="U160" s="46"/>
      <c r="V160" s="46"/>
      <c r="W160" s="46"/>
      <c r="X160" s="46"/>
      <c r="Y160" s="46"/>
      <c r="Z160" s="46"/>
      <c r="AA160" s="46"/>
      <c r="AB160" s="46"/>
      <c r="AC160" s="46"/>
      <c r="AD160" s="46"/>
      <c r="AE160" s="46"/>
      <c r="AF160" s="46"/>
      <c r="AG160" s="626"/>
    </row>
    <row r="161" spans="1:39" ht="12.75" customHeight="1" outlineLevel="1">
      <c r="A161" s="43"/>
      <c r="B161" s="173" t="s">
        <v>402</v>
      </c>
      <c r="C161" s="43"/>
      <c r="D161" s="43"/>
      <c r="E161" s="43"/>
      <c r="F161" s="43"/>
      <c r="G161" s="43"/>
      <c r="H161" s="45">
        <f>H157</f>
        <v>33.548387096774192</v>
      </c>
      <c r="I161" s="45">
        <f>I157</f>
        <v>33.548387096774192</v>
      </c>
      <c r="J161" s="45">
        <f>J157</f>
        <v>33.548387096774192</v>
      </c>
      <c r="K161" s="45">
        <f>K157</f>
        <v>31.317987096774189</v>
      </c>
      <c r="L161" s="45">
        <f>L157</f>
        <v>32.98018064516129</v>
      </c>
      <c r="M161" s="47"/>
      <c r="N161" s="46"/>
      <c r="O161" s="46"/>
      <c r="P161" s="46"/>
      <c r="Q161" s="46"/>
      <c r="R161" s="46"/>
      <c r="S161" s="46"/>
      <c r="T161" s="46"/>
      <c r="U161" s="46"/>
      <c r="V161" s="46"/>
      <c r="W161" s="46"/>
      <c r="X161" s="46"/>
      <c r="Y161" s="46"/>
      <c r="Z161" s="46"/>
      <c r="AA161" s="46"/>
      <c r="AB161" s="46"/>
      <c r="AC161" s="46"/>
      <c r="AD161" s="46"/>
      <c r="AE161" s="46"/>
      <c r="AF161" s="46"/>
      <c r="AG161" s="626"/>
    </row>
    <row r="162" spans="1:39" s="16" customFormat="1" ht="12.75" customHeight="1" outlineLevel="1">
      <c r="A162" s="65"/>
      <c r="B162" s="165" t="s">
        <v>405</v>
      </c>
      <c r="C162" s="65"/>
      <c r="D162" s="65"/>
      <c r="E162" s="65"/>
      <c r="F162" s="65"/>
      <c r="G162" s="65"/>
      <c r="H162" s="65">
        <f>101.6/2/2</f>
        <v>25.4</v>
      </c>
      <c r="I162" s="65">
        <f>101.6/2/2</f>
        <v>25.4</v>
      </c>
      <c r="J162" s="65">
        <f>101.6/2/2</f>
        <v>25.4</v>
      </c>
      <c r="K162" s="65">
        <f>101.6/2/2</f>
        <v>25.4</v>
      </c>
      <c r="L162" s="65">
        <f>101.6/2/2</f>
        <v>25.4</v>
      </c>
      <c r="M162" s="65"/>
      <c r="N162" s="65"/>
      <c r="O162" s="101"/>
      <c r="P162" s="101"/>
      <c r="Q162" s="101"/>
      <c r="R162" s="101"/>
      <c r="S162" s="101"/>
      <c r="T162" s="101"/>
      <c r="U162" s="101"/>
      <c r="V162" s="101"/>
      <c r="W162" s="101"/>
      <c r="X162" s="101"/>
      <c r="Y162" s="101"/>
      <c r="Z162" s="101"/>
      <c r="AA162" s="101"/>
      <c r="AB162" s="101"/>
      <c r="AC162" s="101"/>
      <c r="AD162" s="101"/>
      <c r="AE162" s="101"/>
      <c r="AF162" s="101"/>
      <c r="AG162" s="637"/>
      <c r="AH162"/>
      <c r="AI162"/>
      <c r="AJ162"/>
      <c r="AK162"/>
      <c r="AL162"/>
      <c r="AM162"/>
    </row>
    <row r="163" spans="1:39" ht="12.75" customHeight="1" outlineLevel="1">
      <c r="A163" s="56"/>
      <c r="B163" s="166" t="s">
        <v>406</v>
      </c>
      <c r="C163" s="57"/>
      <c r="D163" s="57"/>
      <c r="E163" s="57"/>
      <c r="F163" s="58"/>
      <c r="G163" s="58"/>
      <c r="H163" s="103" t="str">
        <f>IF(H$152&lt;H162,"0",((H$152-H162)*H161/H$152))</f>
        <v>0</v>
      </c>
      <c r="I163" s="103" t="str">
        <f>IF(I$152&lt;I162,"0",((I$152-I162)*I161/I$152))</f>
        <v>0</v>
      </c>
      <c r="J163" s="102" t="str">
        <f>IF(J$152&lt;J162,"0",((J$152-J162)*J161/J$152))</f>
        <v>0</v>
      </c>
      <c r="K163" s="103" t="str">
        <f>IF(K$152&lt;K162,"0",((K$152-K162)*K161/K$152))</f>
        <v>0</v>
      </c>
      <c r="L163" s="103" t="str">
        <f>IF(L$152&lt;L162,"0",((L$152-L162)*L161/L$152))</f>
        <v>0</v>
      </c>
      <c r="M163" s="58"/>
      <c r="N163" s="58"/>
      <c r="O163" s="58"/>
      <c r="P163" s="58"/>
      <c r="Q163" s="58"/>
      <c r="R163" s="58"/>
      <c r="S163" s="58"/>
      <c r="T163" s="58"/>
      <c r="U163" s="58"/>
      <c r="V163" s="58"/>
      <c r="W163" s="58"/>
      <c r="X163" s="58"/>
      <c r="Y163" s="58"/>
      <c r="Z163" s="58"/>
      <c r="AA163" s="58"/>
      <c r="AB163" s="58"/>
      <c r="AC163" s="58"/>
      <c r="AD163" s="58"/>
      <c r="AE163" s="58"/>
      <c r="AF163" s="58"/>
      <c r="AG163" s="623"/>
    </row>
    <row r="164" spans="1:39" ht="12.75" customHeight="1" outlineLevel="1">
      <c r="A164" s="43"/>
      <c r="B164" s="167"/>
      <c r="C164" s="43"/>
      <c r="D164" s="43"/>
      <c r="E164" s="43"/>
      <c r="F164" s="43"/>
      <c r="G164" s="43"/>
      <c r="H164" s="43"/>
      <c r="I164" s="43"/>
      <c r="J164" s="46"/>
      <c r="K164" s="46"/>
      <c r="L164" s="46"/>
      <c r="M164" s="46"/>
      <c r="N164" s="46"/>
      <c r="O164" s="46"/>
      <c r="P164" s="46"/>
      <c r="Q164" s="46"/>
      <c r="R164" s="46"/>
      <c r="S164" s="46"/>
      <c r="T164" s="46"/>
      <c r="U164" s="46"/>
      <c r="V164" s="46"/>
      <c r="W164" s="46"/>
      <c r="X164" s="46"/>
      <c r="Y164" s="46"/>
      <c r="Z164" s="46"/>
      <c r="AA164" s="46"/>
      <c r="AB164" s="46"/>
      <c r="AC164" s="46"/>
      <c r="AD164" s="46"/>
      <c r="AE164" s="46"/>
      <c r="AF164" s="46"/>
      <c r="AG164" s="626"/>
    </row>
    <row r="165" spans="1:39" ht="12.75" customHeight="1" outlineLevel="1">
      <c r="A165" s="56"/>
      <c r="B165" s="141" t="s">
        <v>407</v>
      </c>
      <c r="C165" s="57"/>
      <c r="D165" s="57"/>
      <c r="E165" s="57"/>
      <c r="F165" s="58"/>
      <c r="G165" s="58"/>
      <c r="H165" s="58">
        <f>H159+H163</f>
        <v>0</v>
      </c>
      <c r="I165" s="58">
        <f t="shared" ref="I165:U165" si="90">I159+I163</f>
        <v>0.68000178845880943</v>
      </c>
      <c r="J165" s="58">
        <f t="shared" si="90"/>
        <v>7.1170273049719812</v>
      </c>
      <c r="K165" s="58">
        <f t="shared" si="90"/>
        <v>4.349720430107527</v>
      </c>
      <c r="L165" s="58">
        <f t="shared" si="90"/>
        <v>2.5520377880184348</v>
      </c>
      <c r="M165" s="58">
        <f t="shared" si="90"/>
        <v>0</v>
      </c>
      <c r="N165" s="58">
        <f t="shared" si="90"/>
        <v>0</v>
      </c>
      <c r="O165" s="58">
        <f t="shared" si="90"/>
        <v>0</v>
      </c>
      <c r="P165" s="58">
        <f t="shared" si="90"/>
        <v>0</v>
      </c>
      <c r="Q165" s="58">
        <f t="shared" si="90"/>
        <v>0</v>
      </c>
      <c r="R165" s="58">
        <f t="shared" si="90"/>
        <v>0</v>
      </c>
      <c r="S165" s="58">
        <f t="shared" si="90"/>
        <v>0</v>
      </c>
      <c r="T165" s="58">
        <f t="shared" si="90"/>
        <v>0</v>
      </c>
      <c r="U165" s="58">
        <f t="shared" si="90"/>
        <v>0</v>
      </c>
      <c r="V165" s="58">
        <f>V159+V163</f>
        <v>0</v>
      </c>
      <c r="W165" s="58">
        <f t="shared" ref="W165:AF165" si="91">W159+W163</f>
        <v>0</v>
      </c>
      <c r="X165" s="58">
        <f t="shared" si="91"/>
        <v>0</v>
      </c>
      <c r="Y165" s="58">
        <f t="shared" si="91"/>
        <v>0</v>
      </c>
      <c r="Z165" s="58">
        <f t="shared" si="91"/>
        <v>0</v>
      </c>
      <c r="AA165" s="58">
        <f t="shared" si="91"/>
        <v>0</v>
      </c>
      <c r="AB165" s="58">
        <f t="shared" si="91"/>
        <v>0</v>
      </c>
      <c r="AC165" s="58">
        <f t="shared" si="91"/>
        <v>0</v>
      </c>
      <c r="AD165" s="58">
        <f t="shared" si="91"/>
        <v>0</v>
      </c>
      <c r="AE165" s="58">
        <f t="shared" si="91"/>
        <v>0</v>
      </c>
      <c r="AF165" s="58">
        <f t="shared" si="91"/>
        <v>0</v>
      </c>
      <c r="AG165" s="623"/>
    </row>
    <row r="166" spans="1:39" ht="12.75" customHeight="1" outlineLevel="1">
      <c r="A166" s="43"/>
      <c r="B166" s="167"/>
      <c r="C166" s="43"/>
      <c r="D166" s="43"/>
      <c r="E166" s="43"/>
      <c r="F166" s="43"/>
      <c r="G166" s="43"/>
      <c r="H166" s="43"/>
      <c r="I166" s="43"/>
      <c r="J166" s="46"/>
      <c r="K166" s="46"/>
      <c r="L166" s="46"/>
      <c r="M166" s="46"/>
      <c r="N166" s="46"/>
      <c r="O166" s="46"/>
      <c r="P166" s="46"/>
      <c r="Q166" s="46"/>
      <c r="R166" s="46"/>
      <c r="S166" s="46"/>
      <c r="T166" s="46"/>
      <c r="U166" s="46"/>
      <c r="V166" s="46"/>
      <c r="W166" s="46"/>
      <c r="X166" s="46"/>
      <c r="Y166" s="46"/>
      <c r="Z166" s="46"/>
      <c r="AA166" s="46"/>
      <c r="AB166" s="46"/>
      <c r="AC166" s="46"/>
      <c r="AD166" s="46"/>
      <c r="AE166" s="46"/>
      <c r="AF166" s="46"/>
      <c r="AG166" s="626"/>
    </row>
    <row r="167" spans="1:39" ht="12.75" customHeight="1" outlineLevel="1">
      <c r="A167" s="43"/>
      <c r="B167" s="172" t="s">
        <v>408</v>
      </c>
      <c r="C167" s="43"/>
      <c r="D167" s="43"/>
      <c r="E167" s="43"/>
      <c r="F167" s="43"/>
      <c r="G167" s="43"/>
      <c r="H167" s="43"/>
      <c r="I167" s="43"/>
      <c r="J167" s="46"/>
      <c r="K167" s="46"/>
      <c r="L167" s="46"/>
      <c r="M167" s="46"/>
      <c r="N167" s="46"/>
      <c r="O167" s="46"/>
      <c r="P167" s="46"/>
      <c r="Q167" s="46"/>
      <c r="R167" s="46"/>
      <c r="S167" s="46"/>
      <c r="T167" s="46"/>
      <c r="U167" s="46"/>
      <c r="V167" s="46"/>
      <c r="W167" s="46"/>
      <c r="X167" s="46"/>
      <c r="Y167" s="46"/>
      <c r="Z167" s="46"/>
      <c r="AA167" s="46"/>
      <c r="AB167" s="46"/>
      <c r="AC167" s="46"/>
      <c r="AD167" s="46"/>
      <c r="AE167" s="46"/>
      <c r="AF167" s="46"/>
      <c r="AG167" s="626"/>
    </row>
    <row r="168" spans="1:39" ht="12.75" customHeight="1" outlineLevel="1">
      <c r="A168" s="43"/>
      <c r="B168" s="173"/>
      <c r="C168" s="43"/>
      <c r="D168" s="43"/>
      <c r="E168" s="43"/>
      <c r="F168" s="43"/>
      <c r="G168" s="43"/>
      <c r="H168" s="43"/>
      <c r="I168" s="43"/>
      <c r="J168" s="43"/>
      <c r="K168" s="43"/>
      <c r="L168" s="43"/>
      <c r="M168" s="43"/>
      <c r="N168" s="43"/>
      <c r="O168" s="43"/>
      <c r="P168" s="43"/>
      <c r="Q168" s="43"/>
      <c r="R168" s="43"/>
      <c r="S168" s="43"/>
      <c r="T168" s="43"/>
      <c r="U168" s="43"/>
      <c r="V168" s="43"/>
      <c r="W168" s="43"/>
      <c r="X168" s="43"/>
      <c r="Y168" s="43"/>
      <c r="Z168" s="43"/>
      <c r="AA168" s="43"/>
      <c r="AB168" s="43"/>
      <c r="AC168" s="43"/>
      <c r="AD168" s="43"/>
      <c r="AE168" s="43"/>
      <c r="AF168" s="43"/>
      <c r="AG168" s="626"/>
    </row>
    <row r="169" spans="1:39" s="3" customFormat="1" ht="12.75" customHeight="1" outlineLevel="1">
      <c r="A169" s="56"/>
      <c r="B169" s="166" t="s">
        <v>401</v>
      </c>
      <c r="C169" s="56"/>
      <c r="D169" s="56"/>
      <c r="E169" s="56"/>
      <c r="F169" s="56"/>
      <c r="G169" s="56"/>
      <c r="H169" s="56">
        <f>DEBT!H5</f>
        <v>650</v>
      </c>
      <c r="I169" s="56">
        <f>DEBT!I5</f>
        <v>650</v>
      </c>
      <c r="J169" s="56">
        <f>DEBT!J5</f>
        <v>448.02500000000009</v>
      </c>
      <c r="K169" s="56">
        <f>DEBT!K5</f>
        <v>548.48</v>
      </c>
      <c r="L169" s="56">
        <f>DEBT!L5</f>
        <v>576.88400000000001</v>
      </c>
      <c r="M169" s="56">
        <f>DEBT!M5</f>
        <v>607.03599999999994</v>
      </c>
      <c r="N169" s="56">
        <f>DEBT!N5</f>
        <v>419.43299999999999</v>
      </c>
      <c r="O169" s="56">
        <f>DEBT!O5</f>
        <v>0</v>
      </c>
      <c r="P169" s="56">
        <f>DEBT!P5</f>
        <v>0</v>
      </c>
      <c r="Q169" s="56">
        <f>DEBT!Q5</f>
        <v>0</v>
      </c>
      <c r="R169" s="56">
        <f>DEBT!R5</f>
        <v>0</v>
      </c>
      <c r="S169" s="56">
        <f>DEBT!S5</f>
        <v>0</v>
      </c>
      <c r="T169" s="56">
        <f>DEBT!T5</f>
        <v>0</v>
      </c>
      <c r="U169" s="56">
        <f>DEBT!U5</f>
        <v>0</v>
      </c>
      <c r="V169" s="56">
        <f>DEBT!V5</f>
        <v>0</v>
      </c>
      <c r="W169" s="56">
        <f>DEBT!W5</f>
        <v>0</v>
      </c>
      <c r="X169" s="56">
        <f>DEBT!X5</f>
        <v>0</v>
      </c>
      <c r="Y169" s="56">
        <f>DEBT!Y5</f>
        <v>0</v>
      </c>
      <c r="Z169" s="56">
        <f>DEBT!Z5</f>
        <v>0</v>
      </c>
      <c r="AA169" s="56">
        <f>DEBT!AA5</f>
        <v>0</v>
      </c>
      <c r="AB169" s="56">
        <f>DEBT!AB5</f>
        <v>0</v>
      </c>
      <c r="AC169" s="56">
        <f>DEBT!AC5</f>
        <v>0</v>
      </c>
      <c r="AD169" s="56">
        <f>DEBT!AD5</f>
        <v>0</v>
      </c>
      <c r="AE169" s="56">
        <f>DEBT!AE5</f>
        <v>0</v>
      </c>
      <c r="AF169" s="56">
        <f>DEBT!AF5</f>
        <v>0</v>
      </c>
      <c r="AG169" s="623"/>
      <c r="AH169"/>
      <c r="AI169"/>
      <c r="AJ169"/>
      <c r="AK169"/>
      <c r="AL169"/>
      <c r="AM169"/>
    </row>
    <row r="170" spans="1:39" ht="12.75" customHeight="1" outlineLevel="1">
      <c r="A170" s="43"/>
      <c r="B170" s="173" t="s">
        <v>402</v>
      </c>
      <c r="C170" s="43"/>
      <c r="D170" s="43"/>
      <c r="E170" s="43"/>
      <c r="F170" s="43"/>
      <c r="G170" s="43"/>
      <c r="H170" s="45">
        <f t="shared" ref="H170:N170" si="92">H169/H171</f>
        <v>34.120734908136484</v>
      </c>
      <c r="I170" s="45">
        <f t="shared" si="92"/>
        <v>34.120734908136484</v>
      </c>
      <c r="J170" s="45">
        <f t="shared" si="92"/>
        <v>23.518372703412076</v>
      </c>
      <c r="K170" s="45">
        <f t="shared" si="92"/>
        <v>28.791601049868767</v>
      </c>
      <c r="L170" s="45">
        <f t="shared" si="92"/>
        <v>30.282624671916011</v>
      </c>
      <c r="M170" s="45">
        <f t="shared" si="92"/>
        <v>31.865406824146977</v>
      </c>
      <c r="N170" s="45">
        <f t="shared" si="92"/>
        <v>22.017480314960629</v>
      </c>
      <c r="O170" s="45"/>
      <c r="P170" s="45"/>
      <c r="Q170" s="46"/>
      <c r="R170" s="46"/>
      <c r="S170" s="46"/>
      <c r="T170" s="46"/>
      <c r="U170" s="46"/>
      <c r="V170" s="46"/>
      <c r="W170" s="46"/>
      <c r="X170" s="46"/>
      <c r="Y170" s="46"/>
      <c r="Z170" s="46"/>
      <c r="AA170" s="46"/>
      <c r="AB170" s="46"/>
      <c r="AC170" s="46"/>
      <c r="AD170" s="46"/>
      <c r="AE170" s="46"/>
      <c r="AF170" s="46"/>
      <c r="AG170" s="626"/>
    </row>
    <row r="171" spans="1:39" s="16" customFormat="1" ht="12.75" customHeight="1" outlineLevel="1">
      <c r="A171" s="65"/>
      <c r="B171" s="165" t="s">
        <v>403</v>
      </c>
      <c r="C171" s="65"/>
      <c r="D171" s="65"/>
      <c r="E171" s="65"/>
      <c r="F171" s="65"/>
      <c r="G171" s="65"/>
      <c r="H171" s="65">
        <f>76.2/2/2</f>
        <v>19.05</v>
      </c>
      <c r="I171" s="65">
        <f t="shared" ref="I171:N171" si="93">76.2/2/2</f>
        <v>19.05</v>
      </c>
      <c r="J171" s="65">
        <f t="shared" si="93"/>
        <v>19.05</v>
      </c>
      <c r="K171" s="65">
        <f t="shared" si="93"/>
        <v>19.05</v>
      </c>
      <c r="L171" s="65">
        <f t="shared" si="93"/>
        <v>19.05</v>
      </c>
      <c r="M171" s="65">
        <f t="shared" si="93"/>
        <v>19.05</v>
      </c>
      <c r="N171" s="65">
        <f t="shared" si="93"/>
        <v>19.05</v>
      </c>
      <c r="O171" s="65"/>
      <c r="P171" s="65"/>
      <c r="Q171" s="101"/>
      <c r="R171" s="101"/>
      <c r="S171" s="101"/>
      <c r="T171" s="101"/>
      <c r="U171" s="101"/>
      <c r="V171" s="101"/>
      <c r="W171" s="101"/>
      <c r="X171" s="101"/>
      <c r="Y171" s="101"/>
      <c r="Z171" s="101"/>
      <c r="AA171" s="101"/>
      <c r="AB171" s="101"/>
      <c r="AC171" s="101"/>
      <c r="AD171" s="101"/>
      <c r="AE171" s="101"/>
      <c r="AF171" s="101"/>
      <c r="AG171" s="637"/>
      <c r="AH171"/>
      <c r="AI171"/>
      <c r="AJ171"/>
      <c r="AK171"/>
      <c r="AL171"/>
      <c r="AM171"/>
    </row>
    <row r="172" spans="1:39" ht="12.75" customHeight="1" outlineLevel="1">
      <c r="A172" s="56"/>
      <c r="B172" s="166" t="s">
        <v>404</v>
      </c>
      <c r="C172" s="57"/>
      <c r="D172" s="57"/>
      <c r="E172" s="57"/>
      <c r="F172" s="58"/>
      <c r="G172" s="58"/>
      <c r="H172" s="102" t="str">
        <f t="shared" ref="H172:N172" si="94">IF(H$152&lt;H171,"0", ((H$152*H170)-H169)/H$152)</f>
        <v>0</v>
      </c>
      <c r="I172" s="102">
        <f t="shared" si="94"/>
        <v>1.2523495998211014</v>
      </c>
      <c r="J172" s="102">
        <f t="shared" si="94"/>
        <v>5.3000496715317862</v>
      </c>
      <c r="K172" s="102">
        <f t="shared" si="94"/>
        <v>4.414712160979879</v>
      </c>
      <c r="L172" s="102">
        <f t="shared" si="94"/>
        <v>2.8119580052493425</v>
      </c>
      <c r="M172" s="102">
        <f t="shared" si="94"/>
        <v>1.445161271653866</v>
      </c>
      <c r="N172" s="102">
        <f t="shared" si="94"/>
        <v>6.76537122405154</v>
      </c>
      <c r="O172" s="102"/>
      <c r="P172" s="102"/>
      <c r="Q172" s="58"/>
      <c r="R172" s="58"/>
      <c r="S172" s="58"/>
      <c r="T172" s="58"/>
      <c r="U172" s="58"/>
      <c r="V172" s="58"/>
      <c r="W172" s="58"/>
      <c r="X172" s="58"/>
      <c r="Y172" s="58"/>
      <c r="Z172" s="58"/>
      <c r="AA172" s="58"/>
      <c r="AB172" s="58"/>
      <c r="AC172" s="58"/>
      <c r="AD172" s="58"/>
      <c r="AE172" s="58"/>
      <c r="AF172" s="58"/>
      <c r="AG172" s="623"/>
    </row>
    <row r="173" spans="1:39" ht="12.75" customHeight="1" outlineLevel="1">
      <c r="A173" s="43"/>
      <c r="B173" s="167"/>
      <c r="C173" s="43"/>
      <c r="D173" s="43"/>
      <c r="E173" s="43"/>
      <c r="F173" s="43"/>
      <c r="G173" s="43"/>
      <c r="H173" s="43"/>
      <c r="I173" s="43"/>
      <c r="J173" s="46"/>
      <c r="K173" s="46"/>
      <c r="L173" s="46"/>
      <c r="M173" s="46"/>
      <c r="N173" s="46"/>
      <c r="O173" s="46"/>
      <c r="P173" s="46"/>
      <c r="Q173" s="46"/>
      <c r="R173" s="46"/>
      <c r="S173" s="46"/>
      <c r="T173" s="46"/>
      <c r="U173" s="46"/>
      <c r="V173" s="46"/>
      <c r="W173" s="46"/>
      <c r="X173" s="46"/>
      <c r="Y173" s="46"/>
      <c r="Z173" s="46"/>
      <c r="AA173" s="46"/>
      <c r="AB173" s="46"/>
      <c r="AC173" s="46"/>
      <c r="AD173" s="46"/>
      <c r="AE173" s="46"/>
      <c r="AF173" s="46"/>
      <c r="AG173" s="626"/>
    </row>
    <row r="174" spans="1:39" ht="12.75" customHeight="1" outlineLevel="1">
      <c r="A174" s="43"/>
      <c r="B174" s="173" t="s">
        <v>402</v>
      </c>
      <c r="C174" s="43"/>
      <c r="D174" s="43"/>
      <c r="E174" s="43"/>
      <c r="F174" s="43"/>
      <c r="G174" s="43"/>
      <c r="H174" s="45">
        <f t="shared" ref="H174:N174" si="95">H170</f>
        <v>34.120734908136484</v>
      </c>
      <c r="I174" s="45">
        <f t="shared" si="95"/>
        <v>34.120734908136484</v>
      </c>
      <c r="J174" s="45">
        <f t="shared" si="95"/>
        <v>23.518372703412076</v>
      </c>
      <c r="K174" s="45">
        <f t="shared" si="95"/>
        <v>28.791601049868767</v>
      </c>
      <c r="L174" s="45">
        <f t="shared" si="95"/>
        <v>30.282624671916011</v>
      </c>
      <c r="M174" s="45">
        <f t="shared" si="95"/>
        <v>31.865406824146977</v>
      </c>
      <c r="N174" s="45">
        <f t="shared" si="95"/>
        <v>22.017480314960629</v>
      </c>
      <c r="O174" s="45"/>
      <c r="P174" s="45"/>
      <c r="Q174" s="46"/>
      <c r="R174" s="46"/>
      <c r="S174" s="46"/>
      <c r="T174" s="46"/>
      <c r="U174" s="46"/>
      <c r="V174" s="46"/>
      <c r="W174" s="46"/>
      <c r="X174" s="46"/>
      <c r="Y174" s="46"/>
      <c r="Z174" s="46"/>
      <c r="AA174" s="46"/>
      <c r="AB174" s="46"/>
      <c r="AC174" s="46"/>
      <c r="AD174" s="46"/>
      <c r="AE174" s="46"/>
      <c r="AF174" s="46"/>
      <c r="AG174" s="626"/>
    </row>
    <row r="175" spans="1:39" s="16" customFormat="1" ht="12.75" customHeight="1" outlineLevel="1">
      <c r="A175" s="65"/>
      <c r="B175" s="165" t="s">
        <v>405</v>
      </c>
      <c r="C175" s="65"/>
      <c r="D175" s="65"/>
      <c r="E175" s="65"/>
      <c r="F175" s="65"/>
      <c r="G175" s="65"/>
      <c r="H175" s="65">
        <f>107.79/2/2</f>
        <v>26.947500000000002</v>
      </c>
      <c r="I175" s="65">
        <f t="shared" ref="I175:N175" si="96">107.79/2/2</f>
        <v>26.947500000000002</v>
      </c>
      <c r="J175" s="65">
        <f t="shared" si="96"/>
        <v>26.947500000000002</v>
      </c>
      <c r="K175" s="65">
        <f t="shared" si="96"/>
        <v>26.947500000000002</v>
      </c>
      <c r="L175" s="65">
        <f t="shared" si="96"/>
        <v>26.947500000000002</v>
      </c>
      <c r="M175" s="65">
        <f t="shared" si="96"/>
        <v>26.947500000000002</v>
      </c>
      <c r="N175" s="65">
        <f t="shared" si="96"/>
        <v>26.947500000000002</v>
      </c>
      <c r="O175" s="65"/>
      <c r="P175" s="65"/>
      <c r="Q175" s="101"/>
      <c r="R175" s="101"/>
      <c r="S175" s="101"/>
      <c r="T175" s="101"/>
      <c r="U175" s="101"/>
      <c r="V175" s="101"/>
      <c r="W175" s="101"/>
      <c r="X175" s="101"/>
      <c r="Y175" s="101"/>
      <c r="Z175" s="101"/>
      <c r="AA175" s="101"/>
      <c r="AB175" s="101"/>
      <c r="AC175" s="101"/>
      <c r="AD175" s="101"/>
      <c r="AE175" s="101"/>
      <c r="AF175" s="101"/>
      <c r="AG175" s="637"/>
      <c r="AH175"/>
      <c r="AI175"/>
      <c r="AJ175"/>
      <c r="AK175"/>
      <c r="AL175"/>
      <c r="AM175"/>
    </row>
    <row r="176" spans="1:39" ht="12.75" customHeight="1" outlineLevel="1">
      <c r="A176" s="56"/>
      <c r="B176" s="166" t="s">
        <v>406</v>
      </c>
      <c r="C176" s="57"/>
      <c r="D176" s="57"/>
      <c r="E176" s="57"/>
      <c r="F176" s="58"/>
      <c r="G176" s="58"/>
      <c r="H176" s="103" t="str">
        <f t="shared" ref="H176:N176" si="97">IF(H$152&lt;H175,"0",((H$152-H175)*H174/H$152))</f>
        <v>0</v>
      </c>
      <c r="I176" s="103" t="str">
        <f t="shared" si="97"/>
        <v>0</v>
      </c>
      <c r="J176" s="103" t="str">
        <f t="shared" si="97"/>
        <v>0</v>
      </c>
      <c r="K176" s="103" t="str">
        <f t="shared" si="97"/>
        <v>0</v>
      </c>
      <c r="L176" s="103" t="str">
        <f t="shared" si="97"/>
        <v>0</v>
      </c>
      <c r="M176" s="103" t="str">
        <f t="shared" si="97"/>
        <v>0</v>
      </c>
      <c r="N176" s="102">
        <f t="shared" si="97"/>
        <v>0.44235119541875323</v>
      </c>
      <c r="O176" s="102"/>
      <c r="P176" s="102"/>
      <c r="Q176" s="58"/>
      <c r="R176" s="58"/>
      <c r="S176" s="58"/>
      <c r="T176" s="58"/>
      <c r="U176" s="58"/>
      <c r="V176" s="58"/>
      <c r="W176" s="58"/>
      <c r="X176" s="58"/>
      <c r="Y176" s="58"/>
      <c r="Z176" s="58"/>
      <c r="AA176" s="58"/>
      <c r="AB176" s="58"/>
      <c r="AC176" s="58"/>
      <c r="AD176" s="58"/>
      <c r="AE176" s="58"/>
      <c r="AF176" s="58"/>
      <c r="AG176" s="623"/>
    </row>
    <row r="177" spans="1:39" ht="12.75" customHeight="1" outlineLevel="1">
      <c r="A177" s="43"/>
      <c r="B177" s="167"/>
      <c r="C177" s="43"/>
      <c r="D177" s="43"/>
      <c r="E177" s="43"/>
      <c r="F177" s="43"/>
      <c r="G177" s="43"/>
      <c r="H177" s="43"/>
      <c r="I177" s="43"/>
      <c r="J177" s="46"/>
      <c r="K177" s="46"/>
      <c r="L177" s="46"/>
      <c r="M177" s="46"/>
      <c r="N177" s="46"/>
      <c r="O177" s="46"/>
      <c r="P177" s="46"/>
      <c r="Q177" s="46"/>
      <c r="R177" s="46"/>
      <c r="S177" s="46"/>
      <c r="T177" s="46"/>
      <c r="U177" s="46"/>
      <c r="V177" s="46"/>
      <c r="W177" s="46"/>
      <c r="X177" s="46"/>
      <c r="Y177" s="46"/>
      <c r="Z177" s="46"/>
      <c r="AA177" s="46"/>
      <c r="AB177" s="46"/>
      <c r="AC177" s="46"/>
      <c r="AD177" s="46"/>
      <c r="AE177" s="46"/>
      <c r="AF177" s="46"/>
      <c r="AG177" s="626"/>
    </row>
    <row r="178" spans="1:39" ht="12.75" customHeight="1" outlineLevel="1">
      <c r="A178" s="56"/>
      <c r="B178" s="141" t="s">
        <v>409</v>
      </c>
      <c r="C178" s="57"/>
      <c r="D178" s="57"/>
      <c r="E178" s="57"/>
      <c r="F178" s="58"/>
      <c r="G178" s="58"/>
      <c r="H178" s="58">
        <f>H172+H176</f>
        <v>0</v>
      </c>
      <c r="I178" s="58">
        <f t="shared" ref="I178:AF178" si="98">I172+I176</f>
        <v>1.2523495998211014</v>
      </c>
      <c r="J178" s="58">
        <f t="shared" si="98"/>
        <v>5.3000496715317862</v>
      </c>
      <c r="K178" s="58">
        <f t="shared" si="98"/>
        <v>4.414712160979879</v>
      </c>
      <c r="L178" s="58">
        <f t="shared" si="98"/>
        <v>2.8119580052493425</v>
      </c>
      <c r="M178" s="58">
        <f t="shared" si="98"/>
        <v>1.445161271653866</v>
      </c>
      <c r="N178" s="58">
        <f t="shared" si="98"/>
        <v>7.2077224194702936</v>
      </c>
      <c r="O178" s="58">
        <f t="shared" si="98"/>
        <v>0</v>
      </c>
      <c r="P178" s="58">
        <f t="shared" si="98"/>
        <v>0</v>
      </c>
      <c r="Q178" s="58">
        <f t="shared" si="98"/>
        <v>0</v>
      </c>
      <c r="R178" s="58">
        <f t="shared" si="98"/>
        <v>0</v>
      </c>
      <c r="S178" s="58">
        <f t="shared" si="98"/>
        <v>0</v>
      </c>
      <c r="T178" s="58">
        <f t="shared" si="98"/>
        <v>0</v>
      </c>
      <c r="U178" s="58">
        <f t="shared" si="98"/>
        <v>0</v>
      </c>
      <c r="V178" s="58">
        <f t="shared" si="98"/>
        <v>0</v>
      </c>
      <c r="W178" s="58">
        <f t="shared" si="98"/>
        <v>0</v>
      </c>
      <c r="X178" s="58">
        <f t="shared" si="98"/>
        <v>0</v>
      </c>
      <c r="Y178" s="58">
        <f t="shared" si="98"/>
        <v>0</v>
      </c>
      <c r="Z178" s="58">
        <f t="shared" si="98"/>
        <v>0</v>
      </c>
      <c r="AA178" s="58">
        <f t="shared" si="98"/>
        <v>0</v>
      </c>
      <c r="AB178" s="58">
        <f t="shared" si="98"/>
        <v>0</v>
      </c>
      <c r="AC178" s="58">
        <f t="shared" si="98"/>
        <v>0</v>
      </c>
      <c r="AD178" s="58">
        <f t="shared" si="98"/>
        <v>0</v>
      </c>
      <c r="AE178" s="58">
        <f t="shared" si="98"/>
        <v>0</v>
      </c>
      <c r="AF178" s="58">
        <f t="shared" si="98"/>
        <v>0</v>
      </c>
      <c r="AG178" s="623"/>
    </row>
    <row r="179" spans="1:39" ht="12.75" customHeight="1" outlineLevel="1">
      <c r="A179" s="43"/>
      <c r="B179" s="167"/>
      <c r="C179" s="43"/>
      <c r="D179" s="43"/>
      <c r="E179" s="43"/>
      <c r="F179" s="43"/>
      <c r="G179" s="43"/>
      <c r="H179" s="43"/>
      <c r="I179" s="43"/>
      <c r="J179" s="46"/>
      <c r="K179" s="46"/>
      <c r="L179" s="46"/>
      <c r="M179" s="46"/>
      <c r="N179" s="46"/>
      <c r="O179" s="46"/>
      <c r="P179" s="46"/>
      <c r="Q179" s="46"/>
      <c r="R179" s="46"/>
      <c r="S179" s="46"/>
      <c r="T179" s="46"/>
      <c r="U179" s="46"/>
      <c r="V179" s="46"/>
      <c r="W179" s="46"/>
      <c r="X179" s="46"/>
      <c r="Y179" s="46"/>
      <c r="Z179" s="46"/>
      <c r="AA179" s="46"/>
      <c r="AB179" s="46"/>
      <c r="AC179" s="46"/>
      <c r="AD179" s="46"/>
      <c r="AE179" s="46"/>
      <c r="AF179" s="46"/>
      <c r="AG179" s="626"/>
    </row>
    <row r="180" spans="1:39" ht="12.75" customHeight="1" outlineLevel="1">
      <c r="A180" s="43"/>
      <c r="B180" s="172" t="s">
        <v>410</v>
      </c>
      <c r="C180" s="43"/>
      <c r="D180" s="43"/>
      <c r="E180" s="43"/>
      <c r="F180" s="43"/>
      <c r="G180" s="43"/>
      <c r="H180" s="43"/>
      <c r="I180" s="43"/>
      <c r="J180" s="46"/>
      <c r="K180" s="46"/>
      <c r="L180" s="46"/>
      <c r="M180" s="46"/>
      <c r="N180" s="46"/>
      <c r="O180" s="46"/>
      <c r="P180" s="46"/>
      <c r="Q180" s="46"/>
      <c r="R180" s="46"/>
      <c r="S180" s="46"/>
      <c r="T180" s="46"/>
      <c r="U180" s="46"/>
      <c r="V180" s="46"/>
      <c r="W180" s="46"/>
      <c r="X180" s="46"/>
      <c r="Y180" s="46"/>
      <c r="Z180" s="46"/>
      <c r="AA180" s="46"/>
      <c r="AB180" s="46"/>
      <c r="AC180" s="46"/>
      <c r="AD180" s="46"/>
      <c r="AE180" s="46"/>
      <c r="AF180" s="46"/>
      <c r="AG180" s="626"/>
    </row>
    <row r="181" spans="1:39" ht="12.75" customHeight="1" outlineLevel="1">
      <c r="A181" s="43"/>
      <c r="B181" s="173"/>
      <c r="C181" s="43"/>
      <c r="D181" s="43"/>
      <c r="E181" s="43"/>
      <c r="F181" s="43"/>
      <c r="G181" s="43"/>
      <c r="H181" s="43"/>
      <c r="I181" s="43"/>
      <c r="J181" s="43"/>
      <c r="K181" s="43"/>
      <c r="L181" s="43"/>
      <c r="M181" s="43"/>
      <c r="N181" s="43"/>
      <c r="O181" s="43"/>
      <c r="P181" s="43"/>
      <c r="Q181" s="43"/>
      <c r="R181" s="43"/>
      <c r="S181" s="43"/>
      <c r="T181" s="43"/>
      <c r="U181" s="43"/>
      <c r="V181" s="43"/>
      <c r="W181" s="43"/>
      <c r="X181" s="43"/>
      <c r="Y181" s="43"/>
      <c r="Z181" s="43"/>
      <c r="AA181" s="43"/>
      <c r="AB181" s="43"/>
      <c r="AC181" s="43"/>
      <c r="AD181" s="43"/>
      <c r="AE181" s="43"/>
      <c r="AF181" s="43"/>
      <c r="AG181" s="626"/>
    </row>
    <row r="182" spans="1:39" s="3" customFormat="1" ht="12.75" customHeight="1" outlineLevel="1">
      <c r="A182" s="56"/>
      <c r="B182" s="166" t="s">
        <v>401</v>
      </c>
      <c r="C182" s="56"/>
      <c r="D182" s="56"/>
      <c r="E182" s="56"/>
      <c r="F182" s="56"/>
      <c r="G182" s="56"/>
      <c r="H182" s="56">
        <f>DEBT!H6</f>
        <v>0</v>
      </c>
      <c r="I182" s="56">
        <f>DEBT!I6</f>
        <v>0</v>
      </c>
      <c r="J182" s="56">
        <f>DEBT!J6</f>
        <v>0</v>
      </c>
      <c r="K182" s="56">
        <f>DEBT!K6</f>
        <v>0</v>
      </c>
      <c r="L182" s="56">
        <f>DEBT!L6</f>
        <v>1153.8050000000001</v>
      </c>
      <c r="M182" s="56">
        <f>DEBT!M6</f>
        <v>1181.5250000000001</v>
      </c>
      <c r="N182" s="56">
        <f>DEBT!N6</f>
        <v>1210.213</v>
      </c>
      <c r="O182" s="56">
        <f>DEBT!O6</f>
        <v>234.21700000000001</v>
      </c>
      <c r="P182" s="56">
        <f>DEBT!P6</f>
        <v>0</v>
      </c>
      <c r="Q182" s="56">
        <f>DEBT!Q6</f>
        <v>0</v>
      </c>
      <c r="R182" s="56">
        <f>DEBT!R6</f>
        <v>0</v>
      </c>
      <c r="S182" s="56">
        <f>DEBT!S6</f>
        <v>0</v>
      </c>
      <c r="T182" s="56">
        <f>DEBT!T6</f>
        <v>0</v>
      </c>
      <c r="U182" s="56">
        <f>DEBT!U6</f>
        <v>0</v>
      </c>
      <c r="V182" s="56">
        <f>DEBT!V6</f>
        <v>0</v>
      </c>
      <c r="W182" s="56">
        <f>DEBT!W6</f>
        <v>0</v>
      </c>
      <c r="X182" s="56">
        <f>DEBT!X6</f>
        <v>0</v>
      </c>
      <c r="Y182" s="56">
        <f>DEBT!Y6</f>
        <v>0</v>
      </c>
      <c r="Z182" s="56">
        <f>DEBT!Z6</f>
        <v>0</v>
      </c>
      <c r="AA182" s="56">
        <f>DEBT!AA6</f>
        <v>0</v>
      </c>
      <c r="AB182" s="56">
        <f>DEBT!AB6</f>
        <v>0</v>
      </c>
      <c r="AC182" s="56">
        <f>DEBT!AC6</f>
        <v>0</v>
      </c>
      <c r="AD182" s="56">
        <f>DEBT!AD6</f>
        <v>0</v>
      </c>
      <c r="AE182" s="56">
        <f>DEBT!AE6</f>
        <v>0</v>
      </c>
      <c r="AF182" s="56">
        <f>DEBT!AF6</f>
        <v>0</v>
      </c>
      <c r="AG182" s="623"/>
      <c r="AH182"/>
      <c r="AI182"/>
      <c r="AJ182"/>
      <c r="AK182"/>
      <c r="AL182"/>
      <c r="AM182"/>
    </row>
    <row r="183" spans="1:39" ht="12.75" customHeight="1" outlineLevel="1">
      <c r="A183" s="43"/>
      <c r="B183" s="173" t="s">
        <v>402</v>
      </c>
      <c r="C183" s="43"/>
      <c r="D183" s="43"/>
      <c r="E183" s="43"/>
      <c r="F183" s="43"/>
      <c r="G183" s="43"/>
      <c r="H183" s="104"/>
      <c r="I183" s="104"/>
      <c r="J183" s="104"/>
      <c r="K183" s="104"/>
      <c r="L183" s="45">
        <f>L182/L184</f>
        <v>51.189219165927248</v>
      </c>
      <c r="M183" s="45">
        <f>M182/M184</f>
        <v>52.41903283052352</v>
      </c>
      <c r="N183" s="45">
        <f>N182/N184</f>
        <v>53.691792369121565</v>
      </c>
      <c r="O183" s="45">
        <f>O182/O184</f>
        <v>10.391171251109141</v>
      </c>
      <c r="P183" s="46"/>
      <c r="Q183" s="46"/>
      <c r="R183" s="46"/>
      <c r="S183" s="46"/>
      <c r="T183" s="46"/>
      <c r="U183" s="46"/>
      <c r="V183" s="46"/>
      <c r="W183" s="46"/>
      <c r="X183" s="46"/>
      <c r="Y183" s="46"/>
      <c r="Z183" s="46"/>
      <c r="AA183" s="46"/>
      <c r="AB183" s="46"/>
      <c r="AC183" s="46"/>
      <c r="AD183" s="46"/>
      <c r="AE183" s="46"/>
      <c r="AF183" s="46"/>
      <c r="AG183" s="626"/>
    </row>
    <row r="184" spans="1:39" s="16" customFormat="1" ht="12.75" customHeight="1" outlineLevel="1">
      <c r="A184" s="65"/>
      <c r="B184" s="165" t="s">
        <v>403</v>
      </c>
      <c r="C184" s="65"/>
      <c r="D184" s="65"/>
      <c r="E184" s="65"/>
      <c r="F184" s="65"/>
      <c r="G184" s="65"/>
      <c r="H184" s="65"/>
      <c r="I184" s="65"/>
      <c r="J184" s="65"/>
      <c r="K184" s="65"/>
      <c r="L184" s="66">
        <f>45.08/2</f>
        <v>22.54</v>
      </c>
      <c r="M184" s="66">
        <f>45.08/2</f>
        <v>22.54</v>
      </c>
      <c r="N184" s="66">
        <f>45.08/2</f>
        <v>22.54</v>
      </c>
      <c r="O184" s="603">
        <f>45.08/2</f>
        <v>22.54</v>
      </c>
      <c r="P184" s="101"/>
      <c r="Q184" s="101"/>
      <c r="R184" s="101"/>
      <c r="S184" s="101"/>
      <c r="T184" s="101"/>
      <c r="U184" s="101"/>
      <c r="V184" s="101"/>
      <c r="W184" s="101"/>
      <c r="X184" s="101"/>
      <c r="Y184" s="101"/>
      <c r="Z184" s="101"/>
      <c r="AA184" s="101"/>
      <c r="AB184" s="101"/>
      <c r="AC184" s="101"/>
      <c r="AD184" s="101"/>
      <c r="AE184" s="101"/>
      <c r="AF184" s="101"/>
      <c r="AG184" s="637"/>
      <c r="AH184"/>
      <c r="AI184"/>
      <c r="AJ184"/>
      <c r="AK184"/>
      <c r="AL184"/>
      <c r="AM184"/>
    </row>
    <row r="185" spans="1:39" ht="12.75" customHeight="1" outlineLevel="1">
      <c r="A185" s="56"/>
      <c r="B185" s="166" t="s">
        <v>404</v>
      </c>
      <c r="C185" s="57"/>
      <c r="D185" s="57"/>
      <c r="E185" s="57"/>
      <c r="F185" s="58"/>
      <c r="G185" s="58"/>
      <c r="H185" s="102"/>
      <c r="I185" s="102"/>
      <c r="J185" s="102"/>
      <c r="K185" s="102"/>
      <c r="L185" s="87" t="str">
        <f>IF(L$152&lt;L184,"0", ((L$152*L183)-L182)/L$152)</f>
        <v>0</v>
      </c>
      <c r="M185" s="87" t="str">
        <f>IF(M$152&lt;M184,"0", ((M$152*M183)-M182)/M$152)</f>
        <v>0</v>
      </c>
      <c r="N185" s="87">
        <f>IF(N$152&lt;N184,"0", ((N$152*N183)-N182)/N$152)</f>
        <v>9.6840469145761077</v>
      </c>
      <c r="O185" s="87">
        <f>IF(O$152&lt;O184,"0", ((O$152*O183)-O182)/O$152)</f>
        <v>6.2132012190006849</v>
      </c>
      <c r="P185" s="105">
        <f>IF(P$152&lt;P184,"0", ((P$152*P183)-P182)/P$152)</f>
        <v>0</v>
      </c>
      <c r="Q185" s="58"/>
      <c r="R185" s="58"/>
      <c r="S185" s="58"/>
      <c r="T185" s="58"/>
      <c r="U185" s="58"/>
      <c r="V185" s="58"/>
      <c r="W185" s="58"/>
      <c r="X185" s="58"/>
      <c r="Y185" s="58"/>
      <c r="Z185" s="58"/>
      <c r="AA185" s="58"/>
      <c r="AB185" s="58"/>
      <c r="AC185" s="58"/>
      <c r="AD185" s="58"/>
      <c r="AE185" s="58"/>
      <c r="AF185" s="58"/>
      <c r="AG185" s="623"/>
    </row>
    <row r="186" spans="1:39" ht="12.75" customHeight="1" outlineLevel="1">
      <c r="A186" s="56"/>
      <c r="B186" s="99"/>
      <c r="C186" s="57"/>
      <c r="D186" s="57"/>
      <c r="E186" s="57"/>
      <c r="F186" s="58"/>
      <c r="G186" s="58"/>
      <c r="H186" s="102"/>
      <c r="I186" s="102"/>
      <c r="J186" s="102"/>
      <c r="K186" s="102"/>
      <c r="L186" s="106"/>
      <c r="M186" s="106"/>
      <c r="N186" s="105"/>
      <c r="O186" s="105"/>
      <c r="P186" s="105"/>
      <c r="Q186" s="58"/>
      <c r="R186" s="58"/>
      <c r="S186" s="58"/>
      <c r="T186" s="58"/>
      <c r="U186" s="58"/>
      <c r="V186" s="58"/>
      <c r="W186" s="58"/>
      <c r="X186" s="58"/>
      <c r="Y186" s="58"/>
      <c r="Z186" s="58"/>
      <c r="AA186" s="58"/>
      <c r="AB186" s="58"/>
      <c r="AC186" s="58"/>
      <c r="AD186" s="58"/>
      <c r="AE186" s="58"/>
      <c r="AF186" s="58"/>
      <c r="AG186" s="623"/>
    </row>
    <row r="187" spans="1:39" ht="12.75" customHeight="1" outlineLevel="1">
      <c r="A187" s="43"/>
      <c r="B187" s="173" t="s">
        <v>402</v>
      </c>
      <c r="C187" s="43"/>
      <c r="D187" s="43"/>
      <c r="E187" s="43"/>
      <c r="F187" s="107"/>
      <c r="G187" s="107"/>
      <c r="H187" s="107"/>
      <c r="I187" s="107"/>
      <c r="J187" s="107"/>
      <c r="K187" s="107"/>
      <c r="L187" s="45">
        <f>L183</f>
        <v>51.189219165927248</v>
      </c>
      <c r="M187" s="45">
        <f>M183</f>
        <v>52.41903283052352</v>
      </c>
      <c r="N187" s="45">
        <f>N183</f>
        <v>53.691792369121565</v>
      </c>
      <c r="O187" s="45">
        <f>O183</f>
        <v>10.391171251109141</v>
      </c>
      <c r="P187" s="46"/>
      <c r="Q187" s="46"/>
      <c r="R187" s="46"/>
      <c r="S187" s="46"/>
      <c r="T187" s="46"/>
      <c r="U187" s="46"/>
      <c r="V187" s="46"/>
      <c r="W187" s="46"/>
      <c r="X187" s="46"/>
      <c r="Y187" s="46"/>
      <c r="Z187" s="46"/>
      <c r="AA187" s="46"/>
      <c r="AB187" s="46"/>
      <c r="AC187" s="46"/>
      <c r="AD187" s="46"/>
      <c r="AE187" s="46"/>
      <c r="AF187" s="46"/>
      <c r="AG187" s="626"/>
    </row>
    <row r="188" spans="1:39" s="16" customFormat="1" ht="12.75" customHeight="1" outlineLevel="1">
      <c r="A188" s="65"/>
      <c r="B188" s="165" t="s">
        <v>405</v>
      </c>
      <c r="C188" s="65"/>
      <c r="D188" s="65"/>
      <c r="E188" s="65"/>
      <c r="F188" s="107"/>
      <c r="G188" s="107"/>
      <c r="H188" s="107"/>
      <c r="I188" s="107"/>
      <c r="J188" s="107"/>
      <c r="K188" s="107"/>
      <c r="L188" s="65">
        <f>56.76/2</f>
        <v>28.38</v>
      </c>
      <c r="M188" s="65">
        <f>56.76/2</f>
        <v>28.38</v>
      </c>
      <c r="N188" s="65">
        <f>56.76/2</f>
        <v>28.38</v>
      </c>
      <c r="O188" s="604">
        <f>56.76/2</f>
        <v>28.38</v>
      </c>
      <c r="P188" s="101"/>
      <c r="Q188" s="101"/>
      <c r="R188" s="101"/>
      <c r="S188" s="101"/>
      <c r="T188" s="101"/>
      <c r="U188" s="101"/>
      <c r="V188" s="101"/>
      <c r="W188" s="101"/>
      <c r="X188" s="101"/>
      <c r="Y188" s="101"/>
      <c r="Z188" s="101"/>
      <c r="AA188" s="101"/>
      <c r="AB188" s="101"/>
      <c r="AC188" s="101"/>
      <c r="AD188" s="101"/>
      <c r="AE188" s="101"/>
      <c r="AF188" s="101"/>
      <c r="AG188" s="637"/>
      <c r="AH188"/>
      <c r="AI188"/>
      <c r="AJ188"/>
      <c r="AK188"/>
      <c r="AL188"/>
      <c r="AM188"/>
    </row>
    <row r="189" spans="1:39" ht="12.75" customHeight="1" outlineLevel="1">
      <c r="A189" s="56"/>
      <c r="B189" s="166" t="s">
        <v>406</v>
      </c>
      <c r="C189" s="57"/>
      <c r="D189" s="57"/>
      <c r="E189" s="57"/>
      <c r="F189" s="108"/>
      <c r="G189" s="108"/>
      <c r="H189" s="108"/>
      <c r="I189" s="108"/>
      <c r="J189" s="108"/>
      <c r="K189" s="108"/>
      <c r="L189" s="108" t="str">
        <f>IF(L$152&lt;L188,"0",((L$152-L188)*L187/L$152))</f>
        <v>0</v>
      </c>
      <c r="M189" s="108" t="str">
        <f>IF(M$152&lt;M188,"0",((M$152-M188)*M187/M$152))</f>
        <v>0</v>
      </c>
      <c r="N189" s="108" t="str">
        <f>IF(N$152&lt;N188,"0",((N$152-N188)*N187/N$152))</f>
        <v>0</v>
      </c>
      <c r="O189" s="108">
        <f>IF(O$152&lt;O188,"0",((O$152-O188)*O187/O$152))</f>
        <v>5.1307103144969863</v>
      </c>
      <c r="P189" s="58"/>
      <c r="Q189" s="58"/>
      <c r="R189" s="58"/>
      <c r="S189" s="58"/>
      <c r="T189" s="58"/>
      <c r="U189" s="58"/>
      <c r="V189" s="58"/>
      <c r="W189" s="58"/>
      <c r="X189" s="58"/>
      <c r="Y189" s="58"/>
      <c r="Z189" s="58"/>
      <c r="AA189" s="58"/>
      <c r="AB189" s="58"/>
      <c r="AC189" s="58"/>
      <c r="AD189" s="58"/>
      <c r="AE189" s="58"/>
      <c r="AF189" s="58"/>
      <c r="AG189" s="623"/>
    </row>
    <row r="190" spans="1:39" ht="12.75" customHeight="1" outlineLevel="1">
      <c r="A190" s="43"/>
      <c r="B190" s="167"/>
      <c r="C190" s="43"/>
      <c r="D190" s="43"/>
      <c r="E190" s="43"/>
      <c r="F190" s="43"/>
      <c r="G190" s="43"/>
      <c r="H190" s="43"/>
      <c r="I190" s="43"/>
      <c r="J190" s="46"/>
      <c r="K190" s="46"/>
      <c r="L190" s="46"/>
      <c r="M190" s="46"/>
      <c r="N190" s="46"/>
      <c r="O190" s="46"/>
      <c r="P190" s="46"/>
      <c r="Q190" s="46"/>
      <c r="R190" s="46"/>
      <c r="S190" s="46"/>
      <c r="T190" s="46"/>
      <c r="U190" s="46"/>
      <c r="V190" s="46"/>
      <c r="W190" s="46"/>
      <c r="X190" s="46"/>
      <c r="Y190" s="46"/>
      <c r="Z190" s="46"/>
      <c r="AA190" s="46"/>
      <c r="AB190" s="46"/>
      <c r="AC190" s="46"/>
      <c r="AD190" s="46"/>
      <c r="AE190" s="46"/>
      <c r="AF190" s="46"/>
      <c r="AG190" s="626"/>
    </row>
    <row r="191" spans="1:39" ht="12.75" customHeight="1" outlineLevel="1">
      <c r="A191" s="56"/>
      <c r="B191" s="141" t="s">
        <v>411</v>
      </c>
      <c r="C191" s="57"/>
      <c r="D191" s="57"/>
      <c r="E191" s="57"/>
      <c r="F191" s="58"/>
      <c r="G191" s="58"/>
      <c r="H191" s="58">
        <f>H185+H189</f>
        <v>0</v>
      </c>
      <c r="I191" s="58">
        <f t="shared" ref="I191:AF191" si="99">I185+I189</f>
        <v>0</v>
      </c>
      <c r="J191" s="58">
        <f t="shared" si="99"/>
        <v>0</v>
      </c>
      <c r="K191" s="58">
        <f t="shared" si="99"/>
        <v>0</v>
      </c>
      <c r="L191" s="58">
        <f t="shared" si="99"/>
        <v>0</v>
      </c>
      <c r="M191" s="58">
        <f t="shared" si="99"/>
        <v>0</v>
      </c>
      <c r="N191" s="58">
        <f t="shared" si="99"/>
        <v>9.6840469145761077</v>
      </c>
      <c r="O191" s="58">
        <f t="shared" si="99"/>
        <v>11.343911533497671</v>
      </c>
      <c r="P191" s="58">
        <f t="shared" si="99"/>
        <v>0</v>
      </c>
      <c r="Q191" s="58">
        <f t="shared" si="99"/>
        <v>0</v>
      </c>
      <c r="R191" s="58">
        <f t="shared" si="99"/>
        <v>0</v>
      </c>
      <c r="S191" s="58">
        <f t="shared" si="99"/>
        <v>0</v>
      </c>
      <c r="T191" s="58">
        <f t="shared" si="99"/>
        <v>0</v>
      </c>
      <c r="U191" s="58">
        <f t="shared" si="99"/>
        <v>0</v>
      </c>
      <c r="V191" s="58">
        <f t="shared" si="99"/>
        <v>0</v>
      </c>
      <c r="W191" s="58">
        <f t="shared" si="99"/>
        <v>0</v>
      </c>
      <c r="X191" s="58">
        <f t="shared" si="99"/>
        <v>0</v>
      </c>
      <c r="Y191" s="58">
        <f t="shared" si="99"/>
        <v>0</v>
      </c>
      <c r="Z191" s="58">
        <f t="shared" si="99"/>
        <v>0</v>
      </c>
      <c r="AA191" s="58">
        <f t="shared" si="99"/>
        <v>0</v>
      </c>
      <c r="AB191" s="58">
        <f t="shared" si="99"/>
        <v>0</v>
      </c>
      <c r="AC191" s="58">
        <f t="shared" si="99"/>
        <v>0</v>
      </c>
      <c r="AD191" s="58">
        <f t="shared" si="99"/>
        <v>0</v>
      </c>
      <c r="AE191" s="58">
        <f t="shared" si="99"/>
        <v>0</v>
      </c>
      <c r="AF191" s="58">
        <f t="shared" si="99"/>
        <v>0</v>
      </c>
      <c r="AG191" s="623"/>
    </row>
    <row r="192" spans="1:39" ht="12.75" customHeight="1" outlineLevel="1">
      <c r="A192" s="56"/>
      <c r="B192" s="99"/>
      <c r="C192" s="57"/>
      <c r="D192" s="57"/>
      <c r="E192" s="57"/>
      <c r="F192" s="58"/>
      <c r="G192" s="58"/>
      <c r="H192" s="102"/>
      <c r="I192" s="102"/>
      <c r="J192" s="102"/>
      <c r="K192" s="102"/>
      <c r="L192" s="106"/>
      <c r="M192" s="106"/>
      <c r="N192" s="105"/>
      <c r="O192" s="105"/>
      <c r="P192" s="105"/>
      <c r="Q192" s="58"/>
      <c r="R192" s="58"/>
      <c r="S192" s="58"/>
      <c r="T192" s="58"/>
      <c r="U192" s="58"/>
      <c r="V192" s="58"/>
      <c r="W192" s="58"/>
      <c r="X192" s="58"/>
      <c r="Y192" s="58"/>
      <c r="Z192" s="58"/>
      <c r="AA192" s="58"/>
      <c r="AB192" s="58"/>
      <c r="AC192" s="58"/>
      <c r="AD192" s="58"/>
      <c r="AE192" s="58"/>
      <c r="AF192" s="58"/>
      <c r="AG192" s="623"/>
    </row>
    <row r="193" spans="1:39" ht="12.75" customHeight="1" outlineLevel="1">
      <c r="A193" s="43"/>
      <c r="B193" s="172" t="s">
        <v>412</v>
      </c>
      <c r="C193" s="43"/>
      <c r="D193" s="43"/>
      <c r="E193" s="43"/>
      <c r="F193" s="43"/>
      <c r="G193" s="43"/>
      <c r="H193" s="43"/>
      <c r="I193" s="43"/>
      <c r="J193" s="46"/>
      <c r="K193" s="46"/>
      <c r="L193" s="46"/>
      <c r="M193" s="46"/>
      <c r="N193" s="46"/>
      <c r="O193" s="46"/>
      <c r="P193" s="46"/>
      <c r="Q193" s="46"/>
      <c r="R193" s="46"/>
      <c r="S193" s="46"/>
      <c r="T193" s="46"/>
      <c r="U193" s="46"/>
      <c r="V193" s="46"/>
      <c r="W193" s="46"/>
      <c r="X193" s="46"/>
      <c r="Y193" s="46"/>
      <c r="Z193" s="46"/>
      <c r="AA193" s="46"/>
      <c r="AB193" s="46"/>
      <c r="AC193" s="46"/>
      <c r="AD193" s="46"/>
      <c r="AE193" s="46"/>
      <c r="AF193" s="46"/>
      <c r="AG193" s="626"/>
    </row>
    <row r="194" spans="1:39" ht="12.75" customHeight="1" outlineLevel="1">
      <c r="A194" s="56"/>
      <c r="B194" s="99"/>
      <c r="C194" s="57"/>
      <c r="D194" s="57"/>
      <c r="E194" s="57"/>
      <c r="F194" s="58"/>
      <c r="G194" s="58"/>
      <c r="H194" s="102"/>
      <c r="I194" s="102"/>
      <c r="J194" s="102"/>
      <c r="K194" s="102"/>
      <c r="L194" s="106"/>
      <c r="M194" s="106"/>
      <c r="N194" s="105"/>
      <c r="O194" s="105"/>
      <c r="P194" s="105"/>
      <c r="Q194" s="58"/>
      <c r="R194" s="58"/>
      <c r="S194" s="58"/>
      <c r="T194" s="58"/>
      <c r="U194" s="58"/>
      <c r="V194" s="58"/>
      <c r="W194" s="58"/>
      <c r="X194" s="58"/>
      <c r="Y194" s="58"/>
      <c r="Z194" s="58"/>
      <c r="AA194" s="58"/>
      <c r="AB194" s="58"/>
      <c r="AC194" s="58"/>
      <c r="AD194" s="58"/>
      <c r="AE194" s="58"/>
      <c r="AF194" s="58"/>
      <c r="AG194" s="623"/>
    </row>
    <row r="195" spans="1:39" s="3" customFormat="1" ht="12.75" customHeight="1" outlineLevel="1">
      <c r="A195" s="56"/>
      <c r="B195" s="166" t="s">
        <v>401</v>
      </c>
      <c r="C195" s="56"/>
      <c r="D195" s="56"/>
      <c r="E195" s="56"/>
      <c r="F195" s="56"/>
      <c r="G195" s="56"/>
      <c r="H195" s="56">
        <f>DEBT!H7</f>
        <v>0</v>
      </c>
      <c r="I195" s="56">
        <f>DEBT!I7</f>
        <v>0</v>
      </c>
      <c r="J195" s="56">
        <f>DEBT!J7</f>
        <v>0</v>
      </c>
      <c r="K195" s="56">
        <f>DEBT!K7</f>
        <v>0</v>
      </c>
      <c r="L195" s="56">
        <f>DEBT!L7</f>
        <v>1107.884</v>
      </c>
      <c r="M195" s="56">
        <f>DEBT!M7</f>
        <v>1132.2929999999999</v>
      </c>
      <c r="N195" s="56">
        <f>DEBT!N7</f>
        <v>1157.692</v>
      </c>
      <c r="O195" s="56">
        <f>DEBT!O7</f>
        <v>1113.0429999999999</v>
      </c>
      <c r="P195" s="56">
        <f>DEBT!P7</f>
        <v>483</v>
      </c>
      <c r="Q195" s="56">
        <f>DEBT!Q7</f>
        <v>283</v>
      </c>
      <c r="R195" s="56">
        <f>DEBT!R7</f>
        <v>0</v>
      </c>
      <c r="S195" s="56">
        <f>DEBT!S7</f>
        <v>0</v>
      </c>
      <c r="T195" s="56">
        <f>DEBT!T7</f>
        <v>0</v>
      </c>
      <c r="U195" s="56">
        <f>DEBT!U7</f>
        <v>0</v>
      </c>
      <c r="V195" s="56">
        <f>DEBT!V7</f>
        <v>0</v>
      </c>
      <c r="W195" s="56">
        <f>DEBT!W7</f>
        <v>0</v>
      </c>
      <c r="X195" s="56">
        <f>DEBT!X7</f>
        <v>0</v>
      </c>
      <c r="Y195" s="56">
        <f>DEBT!Y7</f>
        <v>0</v>
      </c>
      <c r="Z195" s="56">
        <f>DEBT!Z7</f>
        <v>0</v>
      </c>
      <c r="AA195" s="56">
        <f>DEBT!AA7</f>
        <v>0</v>
      </c>
      <c r="AB195" s="56">
        <f>DEBT!AB7</f>
        <v>0</v>
      </c>
      <c r="AC195" s="56">
        <f>DEBT!AC7</f>
        <v>0</v>
      </c>
      <c r="AD195" s="56">
        <f>DEBT!AD7</f>
        <v>0</v>
      </c>
      <c r="AE195" s="56">
        <f>DEBT!AE7</f>
        <v>0</v>
      </c>
      <c r="AF195" s="56">
        <f>DEBT!AF7</f>
        <v>0</v>
      </c>
      <c r="AG195" s="623"/>
      <c r="AH195"/>
      <c r="AI195"/>
      <c r="AJ195"/>
      <c r="AK195"/>
      <c r="AL195"/>
      <c r="AM195"/>
    </row>
    <row r="196" spans="1:39" ht="12.75" customHeight="1" outlineLevel="1">
      <c r="A196" s="43"/>
      <c r="B196" s="173" t="s">
        <v>402</v>
      </c>
      <c r="C196" s="43"/>
      <c r="D196" s="43"/>
      <c r="E196" s="43"/>
      <c r="F196" s="43"/>
      <c r="G196" s="43"/>
      <c r="H196" s="104"/>
      <c r="I196" s="104"/>
      <c r="J196" s="104"/>
      <c r="K196" s="104"/>
      <c r="L196" s="45">
        <f t="shared" ref="L196:Q196" si="100">L195/L197</f>
        <v>48.794714820524121</v>
      </c>
      <c r="M196" s="45">
        <f t="shared" si="100"/>
        <v>49.8697643690817</v>
      </c>
      <c r="N196" s="45">
        <f t="shared" si="100"/>
        <v>50.988416648315351</v>
      </c>
      <c r="O196" s="45">
        <f t="shared" si="100"/>
        <v>49.021933494824928</v>
      </c>
      <c r="P196" s="45">
        <f t="shared" si="100"/>
        <v>21.272847390442635</v>
      </c>
      <c r="Q196" s="45">
        <f t="shared" si="100"/>
        <v>12.46421493063202</v>
      </c>
      <c r="R196" s="46"/>
      <c r="S196" s="46"/>
      <c r="T196" s="46"/>
      <c r="U196" s="46"/>
      <c r="V196" s="46"/>
      <c r="W196" s="46"/>
      <c r="X196" s="46"/>
      <c r="Y196" s="46"/>
      <c r="Z196" s="46"/>
      <c r="AA196" s="46"/>
      <c r="AB196" s="46"/>
      <c r="AC196" s="46"/>
      <c r="AD196" s="46"/>
      <c r="AE196" s="46"/>
      <c r="AF196" s="46"/>
      <c r="AG196" s="626"/>
    </row>
    <row r="197" spans="1:39" s="16" customFormat="1" ht="12.75" customHeight="1" outlineLevel="1">
      <c r="A197" s="65"/>
      <c r="B197" s="165" t="s">
        <v>403</v>
      </c>
      <c r="C197" s="65"/>
      <c r="D197" s="65"/>
      <c r="E197" s="65"/>
      <c r="F197" s="65"/>
      <c r="G197" s="65"/>
      <c r="H197" s="65"/>
      <c r="I197" s="65"/>
      <c r="J197" s="65"/>
      <c r="K197" s="65"/>
      <c r="L197" s="66">
        <f t="shared" ref="L197:Q197" si="101">45.41/2</f>
        <v>22.704999999999998</v>
      </c>
      <c r="M197" s="66">
        <f t="shared" si="101"/>
        <v>22.704999999999998</v>
      </c>
      <c r="N197" s="66">
        <f t="shared" si="101"/>
        <v>22.704999999999998</v>
      </c>
      <c r="O197" s="66">
        <f t="shared" si="101"/>
        <v>22.704999999999998</v>
      </c>
      <c r="P197" s="66">
        <f t="shared" si="101"/>
        <v>22.704999999999998</v>
      </c>
      <c r="Q197" s="66">
        <f t="shared" si="101"/>
        <v>22.704999999999998</v>
      </c>
      <c r="R197" s="101"/>
      <c r="S197" s="101"/>
      <c r="T197" s="101"/>
      <c r="U197" s="101"/>
      <c r="V197" s="101"/>
      <c r="W197" s="101"/>
      <c r="X197" s="101"/>
      <c r="Y197" s="101"/>
      <c r="Z197" s="101"/>
      <c r="AA197" s="101"/>
      <c r="AB197" s="101"/>
      <c r="AC197" s="101"/>
      <c r="AD197" s="101"/>
      <c r="AE197" s="101"/>
      <c r="AF197" s="101"/>
      <c r="AG197" s="637"/>
      <c r="AH197"/>
      <c r="AI197"/>
      <c r="AJ197"/>
      <c r="AK197"/>
      <c r="AL197"/>
      <c r="AM197"/>
    </row>
    <row r="198" spans="1:39" ht="12.75" customHeight="1" outlineLevel="1">
      <c r="A198" s="56"/>
      <c r="B198" s="166" t="s">
        <v>404</v>
      </c>
      <c r="C198" s="57"/>
      <c r="D198" s="57"/>
      <c r="E198" s="57"/>
      <c r="F198" s="58"/>
      <c r="G198" s="58"/>
      <c r="H198" s="102"/>
      <c r="I198" s="102"/>
      <c r="J198" s="102"/>
      <c r="K198" s="102"/>
      <c r="L198" s="87" t="str">
        <f t="shared" ref="L198:Q198" si="102">IF(L$152&lt;L197,"0", ((L$152*L196)-L195)/L$152)</f>
        <v>0</v>
      </c>
      <c r="M198" s="87" t="str">
        <f t="shared" si="102"/>
        <v>0</v>
      </c>
      <c r="N198" s="87">
        <f t="shared" si="102"/>
        <v>8.8905257392244419</v>
      </c>
      <c r="O198" s="87">
        <f t="shared" si="102"/>
        <v>29.167438311093211</v>
      </c>
      <c r="P198" s="87">
        <f t="shared" si="102"/>
        <v>15.803478123088995</v>
      </c>
      <c r="Q198" s="87">
        <f t="shared" si="102"/>
        <v>9.8076862532641425</v>
      </c>
      <c r="R198" s="58"/>
      <c r="S198" s="58"/>
      <c r="T198" s="58"/>
      <c r="U198" s="58"/>
      <c r="V198" s="58"/>
      <c r="W198" s="58"/>
      <c r="X198" s="58"/>
      <c r="Y198" s="58"/>
      <c r="Z198" s="58"/>
      <c r="AA198" s="58"/>
      <c r="AB198" s="58"/>
      <c r="AC198" s="58"/>
      <c r="AD198" s="58"/>
      <c r="AE198" s="58"/>
      <c r="AF198" s="58"/>
      <c r="AG198" s="623"/>
    </row>
    <row r="199" spans="1:39" ht="12.75" customHeight="1" outlineLevel="1">
      <c r="A199" s="56"/>
      <c r="B199" s="99"/>
      <c r="C199" s="57"/>
      <c r="D199" s="57"/>
      <c r="E199" s="57"/>
      <c r="F199" s="58"/>
      <c r="G199" s="58"/>
      <c r="H199" s="102"/>
      <c r="I199" s="102"/>
      <c r="J199" s="102"/>
      <c r="K199" s="102"/>
      <c r="L199" s="106"/>
      <c r="M199" s="106"/>
      <c r="N199" s="105"/>
      <c r="O199" s="105"/>
      <c r="P199" s="105"/>
      <c r="Q199" s="105"/>
      <c r="R199" s="58"/>
      <c r="S199" s="58"/>
      <c r="T199" s="58"/>
      <c r="U199" s="58"/>
      <c r="V199" s="58"/>
      <c r="W199" s="58"/>
      <c r="X199" s="58"/>
      <c r="Y199" s="58"/>
      <c r="Z199" s="58"/>
      <c r="AA199" s="58"/>
      <c r="AB199" s="58"/>
      <c r="AC199" s="58"/>
      <c r="AD199" s="58"/>
      <c r="AE199" s="58"/>
      <c r="AF199" s="58"/>
      <c r="AG199" s="623"/>
    </row>
    <row r="200" spans="1:39" ht="12.75" customHeight="1" outlineLevel="1">
      <c r="A200" s="43"/>
      <c r="B200" s="173" t="s">
        <v>402</v>
      </c>
      <c r="C200" s="43"/>
      <c r="D200" s="43"/>
      <c r="E200" s="43"/>
      <c r="F200" s="107"/>
      <c r="G200" s="107"/>
      <c r="H200" s="107"/>
      <c r="I200" s="107"/>
      <c r="J200" s="107"/>
      <c r="K200" s="107"/>
      <c r="L200" s="45">
        <f t="shared" ref="L200:Q200" si="103">L196</f>
        <v>48.794714820524121</v>
      </c>
      <c r="M200" s="45">
        <f t="shared" si="103"/>
        <v>49.8697643690817</v>
      </c>
      <c r="N200" s="45">
        <f t="shared" si="103"/>
        <v>50.988416648315351</v>
      </c>
      <c r="O200" s="45">
        <f t="shared" si="103"/>
        <v>49.021933494824928</v>
      </c>
      <c r="P200" s="45">
        <f t="shared" si="103"/>
        <v>21.272847390442635</v>
      </c>
      <c r="Q200" s="45">
        <f t="shared" si="103"/>
        <v>12.46421493063202</v>
      </c>
      <c r="R200" s="46"/>
      <c r="S200" s="46"/>
      <c r="T200" s="46"/>
      <c r="U200" s="46"/>
      <c r="V200" s="46"/>
      <c r="W200" s="46"/>
      <c r="X200" s="46"/>
      <c r="Y200" s="46"/>
      <c r="Z200" s="46"/>
      <c r="AA200" s="46"/>
      <c r="AB200" s="46"/>
      <c r="AC200" s="46"/>
      <c r="AD200" s="46"/>
      <c r="AE200" s="46"/>
      <c r="AF200" s="46"/>
      <c r="AG200" s="626"/>
    </row>
    <row r="201" spans="1:39" s="16" customFormat="1" ht="12.75" customHeight="1" outlineLevel="1">
      <c r="A201" s="65"/>
      <c r="B201" s="165" t="s">
        <v>405</v>
      </c>
      <c r="C201" s="65"/>
      <c r="D201" s="65"/>
      <c r="E201" s="65"/>
      <c r="F201" s="107"/>
      <c r="G201" s="107"/>
      <c r="H201" s="107"/>
      <c r="I201" s="107"/>
      <c r="J201" s="107"/>
      <c r="K201" s="107"/>
      <c r="L201" s="65">
        <f t="shared" ref="L201:Q201" si="104">(60.1/2)</f>
        <v>30.05</v>
      </c>
      <c r="M201" s="65">
        <f t="shared" si="104"/>
        <v>30.05</v>
      </c>
      <c r="N201" s="65">
        <f t="shared" si="104"/>
        <v>30.05</v>
      </c>
      <c r="O201" s="65">
        <f t="shared" si="104"/>
        <v>30.05</v>
      </c>
      <c r="P201" s="65">
        <f t="shared" si="104"/>
        <v>30.05</v>
      </c>
      <c r="Q201" s="65">
        <f t="shared" si="104"/>
        <v>30.05</v>
      </c>
      <c r="R201" s="101"/>
      <c r="S201" s="101"/>
      <c r="T201" s="101"/>
      <c r="U201" s="101"/>
      <c r="V201" s="101"/>
      <c r="W201" s="101"/>
      <c r="X201" s="101"/>
      <c r="Y201" s="101"/>
      <c r="Z201" s="101"/>
      <c r="AA201" s="101"/>
      <c r="AB201" s="101"/>
      <c r="AC201" s="101"/>
      <c r="AD201" s="101"/>
      <c r="AE201" s="101"/>
      <c r="AF201" s="101"/>
      <c r="AG201" s="637"/>
      <c r="AH201"/>
      <c r="AI201"/>
      <c r="AJ201"/>
      <c r="AK201"/>
      <c r="AL201"/>
      <c r="AM201"/>
    </row>
    <row r="202" spans="1:39" ht="12.75" customHeight="1" outlineLevel="1">
      <c r="A202" s="56"/>
      <c r="B202" s="166" t="s">
        <v>406</v>
      </c>
      <c r="C202" s="57"/>
      <c r="D202" s="57"/>
      <c r="E202" s="57"/>
      <c r="F202" s="108"/>
      <c r="G202" s="108"/>
      <c r="H202" s="108"/>
      <c r="I202" s="108"/>
      <c r="J202" s="108"/>
      <c r="K202" s="108"/>
      <c r="L202" s="108" t="str">
        <f t="shared" ref="L202:Q202" si="105">IF(L$152&lt;L201,"0",((L$152-L201)*L200/L$152))</f>
        <v>0</v>
      </c>
      <c r="M202" s="108" t="str">
        <f t="shared" si="105"/>
        <v>0</v>
      </c>
      <c r="N202" s="108" t="str">
        <f t="shared" si="105"/>
        <v>0</v>
      </c>
      <c r="O202" s="108">
        <f t="shared" si="105"/>
        <v>22.744568144851883</v>
      </c>
      <c r="P202" s="108">
        <f t="shared" si="105"/>
        <v>14.034153425061579</v>
      </c>
      <c r="Q202" s="108">
        <f t="shared" si="105"/>
        <v>8.948307123765483</v>
      </c>
      <c r="R202" s="58"/>
      <c r="S202" s="58"/>
      <c r="T202" s="58"/>
      <c r="U202" s="58"/>
      <c r="V202" s="58"/>
      <c r="W202" s="58"/>
      <c r="X202" s="58"/>
      <c r="Y202" s="58"/>
      <c r="Z202" s="58"/>
      <c r="AA202" s="58"/>
      <c r="AB202" s="58"/>
      <c r="AC202" s="58"/>
      <c r="AD202" s="58"/>
      <c r="AE202" s="58"/>
      <c r="AF202" s="58"/>
      <c r="AG202" s="623"/>
    </row>
    <row r="203" spans="1:39" ht="12.75" customHeight="1" outlineLevel="1">
      <c r="A203" s="43"/>
      <c r="B203" s="167"/>
      <c r="C203" s="43"/>
      <c r="D203" s="43"/>
      <c r="E203" s="43"/>
      <c r="F203" s="43"/>
      <c r="G203" s="43"/>
      <c r="H203" s="43"/>
      <c r="I203" s="43"/>
      <c r="J203" s="46"/>
      <c r="K203" s="46"/>
      <c r="L203" s="46"/>
      <c r="M203" s="46"/>
      <c r="N203" s="46"/>
      <c r="O203" s="46"/>
      <c r="P203" s="46"/>
      <c r="Q203" s="46"/>
      <c r="R203" s="46"/>
      <c r="S203" s="46"/>
      <c r="T203" s="46"/>
      <c r="U203" s="46"/>
      <c r="V203" s="46"/>
      <c r="W203" s="46"/>
      <c r="X203" s="46"/>
      <c r="Y203" s="46"/>
      <c r="Z203" s="46"/>
      <c r="AA203" s="46"/>
      <c r="AB203" s="46"/>
      <c r="AC203" s="46"/>
      <c r="AD203" s="46"/>
      <c r="AE203" s="46"/>
      <c r="AF203" s="46"/>
      <c r="AG203" s="626"/>
    </row>
    <row r="204" spans="1:39" ht="12.75" customHeight="1" outlineLevel="1">
      <c r="A204" s="56"/>
      <c r="B204" s="141" t="s">
        <v>413</v>
      </c>
      <c r="C204" s="57"/>
      <c r="D204" s="57"/>
      <c r="E204" s="57"/>
      <c r="F204" s="58"/>
      <c r="G204" s="58"/>
      <c r="H204" s="58">
        <f>H198+H202</f>
        <v>0</v>
      </c>
      <c r="I204" s="58">
        <f t="shared" ref="I204:AF204" si="106">I198+I202</f>
        <v>0</v>
      </c>
      <c r="J204" s="58">
        <f t="shared" si="106"/>
        <v>0</v>
      </c>
      <c r="K204" s="58">
        <f t="shared" si="106"/>
        <v>0</v>
      </c>
      <c r="L204" s="58">
        <f t="shared" si="106"/>
        <v>0</v>
      </c>
      <c r="M204" s="58">
        <f t="shared" si="106"/>
        <v>0</v>
      </c>
      <c r="N204" s="58">
        <f t="shared" si="106"/>
        <v>8.8905257392244419</v>
      </c>
      <c r="O204" s="58">
        <f>O198+O202</f>
        <v>51.91200645594509</v>
      </c>
      <c r="P204" s="58">
        <f t="shared" si="106"/>
        <v>29.837631548150576</v>
      </c>
      <c r="Q204" s="58">
        <f t="shared" si="106"/>
        <v>18.755993377029625</v>
      </c>
      <c r="R204" s="58">
        <f t="shared" si="106"/>
        <v>0</v>
      </c>
      <c r="S204" s="58">
        <f t="shared" si="106"/>
        <v>0</v>
      </c>
      <c r="T204" s="58">
        <f t="shared" si="106"/>
        <v>0</v>
      </c>
      <c r="U204" s="58">
        <f t="shared" si="106"/>
        <v>0</v>
      </c>
      <c r="V204" s="58">
        <f t="shared" si="106"/>
        <v>0</v>
      </c>
      <c r="W204" s="58">
        <f t="shared" si="106"/>
        <v>0</v>
      </c>
      <c r="X204" s="58">
        <f t="shared" si="106"/>
        <v>0</v>
      </c>
      <c r="Y204" s="58">
        <f t="shared" si="106"/>
        <v>0</v>
      </c>
      <c r="Z204" s="58">
        <f t="shared" si="106"/>
        <v>0</v>
      </c>
      <c r="AA204" s="58">
        <f t="shared" si="106"/>
        <v>0</v>
      </c>
      <c r="AB204" s="58">
        <f t="shared" si="106"/>
        <v>0</v>
      </c>
      <c r="AC204" s="58">
        <f t="shared" si="106"/>
        <v>0</v>
      </c>
      <c r="AD204" s="58">
        <f t="shared" si="106"/>
        <v>0</v>
      </c>
      <c r="AE204" s="58">
        <f t="shared" si="106"/>
        <v>0</v>
      </c>
      <c r="AF204" s="58">
        <f t="shared" si="106"/>
        <v>0</v>
      </c>
      <c r="AG204" s="623"/>
    </row>
    <row r="205" spans="1:39" ht="12.75" customHeight="1" outlineLevel="1">
      <c r="A205" s="43"/>
      <c r="B205" s="173"/>
      <c r="C205" s="43"/>
      <c r="D205" s="43"/>
      <c r="E205" s="43"/>
      <c r="F205" s="43"/>
      <c r="G205" s="43"/>
      <c r="H205" s="43"/>
      <c r="I205" s="43"/>
      <c r="J205" s="43"/>
      <c r="K205" s="43"/>
      <c r="L205" s="43"/>
      <c r="M205" s="43"/>
      <c r="N205" s="43"/>
      <c r="O205" s="43"/>
      <c r="P205" s="43"/>
      <c r="Q205" s="43"/>
      <c r="R205" s="43"/>
      <c r="S205" s="43"/>
      <c r="T205" s="43"/>
      <c r="U205" s="43"/>
      <c r="V205" s="43"/>
      <c r="W205" s="43"/>
      <c r="X205" s="43"/>
      <c r="Y205" s="43"/>
      <c r="Z205" s="43"/>
      <c r="AA205" s="43"/>
      <c r="AB205" s="43"/>
      <c r="AC205" s="43"/>
      <c r="AD205" s="43"/>
      <c r="AE205" s="43"/>
      <c r="AF205" s="43"/>
      <c r="AG205" s="626"/>
    </row>
    <row r="206" spans="1:39" s="9" customFormat="1" ht="12.75" customHeight="1" outlineLevel="1">
      <c r="A206" s="44"/>
      <c r="B206" s="172" t="s">
        <v>414</v>
      </c>
      <c r="C206" s="44"/>
      <c r="D206" s="44"/>
      <c r="E206" s="44"/>
      <c r="F206" s="44"/>
      <c r="G206" s="44"/>
      <c r="H206" s="109">
        <f>H165+H178+H191+H204</f>
        <v>0</v>
      </c>
      <c r="I206" s="109">
        <f t="shared" ref="I206:U206" si="107">I165+I178+I191+I204</f>
        <v>1.9323513882799108</v>
      </c>
      <c r="J206" s="109">
        <f t="shared" si="107"/>
        <v>12.417076976503768</v>
      </c>
      <c r="K206" s="109">
        <f t="shared" si="107"/>
        <v>8.7644325910874059</v>
      </c>
      <c r="L206" s="109">
        <f t="shared" si="107"/>
        <v>5.3639957932677778</v>
      </c>
      <c r="M206" s="109">
        <f t="shared" si="107"/>
        <v>1.445161271653866</v>
      </c>
      <c r="N206" s="109">
        <f t="shared" si="107"/>
        <v>25.782295073270845</v>
      </c>
      <c r="O206" s="109">
        <f>O165+O178+O191+O204</f>
        <v>63.255917989442764</v>
      </c>
      <c r="P206" s="109">
        <f t="shared" si="107"/>
        <v>29.837631548150576</v>
      </c>
      <c r="Q206" s="109">
        <f t="shared" si="107"/>
        <v>18.755993377029625</v>
      </c>
      <c r="R206" s="109">
        <f t="shared" si="107"/>
        <v>0</v>
      </c>
      <c r="S206" s="109">
        <f t="shared" si="107"/>
        <v>0</v>
      </c>
      <c r="T206" s="109">
        <f t="shared" si="107"/>
        <v>0</v>
      </c>
      <c r="U206" s="109">
        <f t="shared" si="107"/>
        <v>0</v>
      </c>
      <c r="V206" s="109">
        <f>V165+V178+V191+V204</f>
        <v>0</v>
      </c>
      <c r="W206" s="109">
        <f t="shared" ref="W206:AF206" si="108">W165+W178+W191+W204</f>
        <v>0</v>
      </c>
      <c r="X206" s="109">
        <f t="shared" si="108"/>
        <v>0</v>
      </c>
      <c r="Y206" s="109">
        <f t="shared" si="108"/>
        <v>0</v>
      </c>
      <c r="Z206" s="109">
        <f t="shared" si="108"/>
        <v>0</v>
      </c>
      <c r="AA206" s="109">
        <f t="shared" si="108"/>
        <v>0</v>
      </c>
      <c r="AB206" s="109">
        <f t="shared" si="108"/>
        <v>0</v>
      </c>
      <c r="AC206" s="109">
        <f t="shared" si="108"/>
        <v>0</v>
      </c>
      <c r="AD206" s="109">
        <f t="shared" si="108"/>
        <v>0</v>
      </c>
      <c r="AE206" s="109">
        <f t="shared" si="108"/>
        <v>0</v>
      </c>
      <c r="AF206" s="109">
        <f t="shared" si="108"/>
        <v>0</v>
      </c>
      <c r="AG206" s="639"/>
      <c r="AH206"/>
      <c r="AI206"/>
      <c r="AJ206"/>
      <c r="AK206"/>
      <c r="AL206"/>
      <c r="AM206"/>
    </row>
    <row r="208" spans="1:39" ht="12.75" customHeight="1">
      <c r="B208" s="283" t="s">
        <v>682</v>
      </c>
    </row>
    <row r="209" spans="2:32" ht="12.75" customHeight="1">
      <c r="B209" s="21" t="s">
        <v>683</v>
      </c>
      <c r="C209" s="284">
        <v>0</v>
      </c>
      <c r="D209" s="284">
        <v>0</v>
      </c>
      <c r="E209" s="284">
        <v>0</v>
      </c>
      <c r="F209" s="284">
        <v>0</v>
      </c>
      <c r="G209" s="284">
        <v>0</v>
      </c>
      <c r="H209" s="284">
        <v>0</v>
      </c>
      <c r="I209" s="284">
        <v>0</v>
      </c>
      <c r="J209" s="284">
        <v>0</v>
      </c>
      <c r="K209" s="646">
        <v>0</v>
      </c>
      <c r="L209" s="646">
        <v>0</v>
      </c>
      <c r="M209" s="646">
        <v>0</v>
      </c>
      <c r="N209" s="646">
        <v>0</v>
      </c>
      <c r="O209" s="646">
        <v>0</v>
      </c>
      <c r="P209" s="646">
        <v>0</v>
      </c>
      <c r="Q209" s="646">
        <v>0</v>
      </c>
      <c r="R209" s="646">
        <v>0</v>
      </c>
      <c r="S209" s="646">
        <v>0</v>
      </c>
      <c r="T209" s="646">
        <v>0</v>
      </c>
      <c r="U209" s="646">
        <v>0</v>
      </c>
      <c r="V209" s="646">
        <v>0</v>
      </c>
      <c r="W209" s="646">
        <v>0</v>
      </c>
      <c r="X209" s="646">
        <v>0</v>
      </c>
      <c r="Y209" s="646">
        <v>0</v>
      </c>
      <c r="Z209" s="646">
        <v>0</v>
      </c>
      <c r="AA209" s="646">
        <v>0</v>
      </c>
      <c r="AB209" s="646">
        <v>0</v>
      </c>
      <c r="AC209" s="646">
        <v>0</v>
      </c>
      <c r="AD209" s="646">
        <v>0</v>
      </c>
      <c r="AE209" s="646">
        <v>0</v>
      </c>
      <c r="AF209" s="646">
        <v>0</v>
      </c>
    </row>
    <row r="210" spans="2:32" ht="12.75" customHeight="1">
      <c r="B210" s="21" t="s">
        <v>686</v>
      </c>
      <c r="C210" s="17">
        <f>0.019532/0.057447</f>
        <v>0.34000034814698771</v>
      </c>
      <c r="D210" s="17">
        <f>+(0.025689+0.000004)/0.073397</f>
        <v>0.35005517936700409</v>
      </c>
      <c r="E210" s="17">
        <f>(-0.058636+0.00066)/-0.167533</f>
        <v>0.34605719470193935</v>
      </c>
      <c r="F210" s="17">
        <f>+(0.229748+0.024399)/0.656422</f>
        <v>0.38717014359664975</v>
      </c>
      <c r="G210" s="17">
        <f>+(0.406627+0.036631)/1.161792</f>
        <v>0.38152956811546307</v>
      </c>
      <c r="H210" s="17">
        <f>(-0.223374+0.059773)/-0.638207</f>
        <v>0.25634472827781585</v>
      </c>
      <c r="I210" s="17">
        <f>+(0.794618+0.078444)/2.270338</f>
        <v>0.38455155135490837</v>
      </c>
      <c r="J210" s="17">
        <f>+(0.935444+0.058166)/2.672698</f>
        <v>0.37176291522648652</v>
      </c>
      <c r="K210" s="17">
        <f>+(1.225685+0.111095)/3.501956</f>
        <v>0.38172381377721476</v>
      </c>
      <c r="L210" s="17">
        <f>+(1.369742+0.10625)/3.913548</f>
        <v>0.37714932843547594</v>
      </c>
      <c r="M210" s="17">
        <f>+(1.277852+0.027894)/3.651004</f>
        <v>0.35764025457107146</v>
      </c>
      <c r="N210" s="17">
        <f>(1.264193+0.016551)/3.61198</f>
        <v>0.35458225128599824</v>
      </c>
      <c r="O210" s="17">
        <f>N210</f>
        <v>0.35458225128599824</v>
      </c>
      <c r="P210" s="17">
        <f t="shared" ref="P210:V210" si="109">O210</f>
        <v>0.35458225128599824</v>
      </c>
      <c r="Q210" s="17">
        <f t="shared" si="109"/>
        <v>0.35458225128599824</v>
      </c>
      <c r="R210" s="17">
        <f t="shared" si="109"/>
        <v>0.35458225128599824</v>
      </c>
      <c r="S210" s="17">
        <f t="shared" si="109"/>
        <v>0.35458225128599824</v>
      </c>
      <c r="T210" s="17">
        <f t="shared" si="109"/>
        <v>0.35458225128599824</v>
      </c>
      <c r="U210" s="17">
        <f t="shared" si="109"/>
        <v>0.35458225128599824</v>
      </c>
      <c r="V210" s="17">
        <f t="shared" si="109"/>
        <v>0.35458225128599824</v>
      </c>
      <c r="W210" s="17">
        <f t="shared" ref="W210:AF210" si="110">V210</f>
        <v>0.35458225128599824</v>
      </c>
      <c r="X210" s="17">
        <f t="shared" si="110"/>
        <v>0.35458225128599824</v>
      </c>
      <c r="Y210" s="17">
        <f t="shared" si="110"/>
        <v>0.35458225128599824</v>
      </c>
      <c r="Z210" s="17">
        <f t="shared" si="110"/>
        <v>0.35458225128599824</v>
      </c>
      <c r="AA210" s="17">
        <f t="shared" si="110"/>
        <v>0.35458225128599824</v>
      </c>
      <c r="AB210" s="17">
        <f t="shared" si="110"/>
        <v>0.35458225128599824</v>
      </c>
      <c r="AC210" s="17">
        <f t="shared" si="110"/>
        <v>0.35458225128599824</v>
      </c>
      <c r="AD210" s="17">
        <f t="shared" si="110"/>
        <v>0.35458225128599824</v>
      </c>
      <c r="AE210" s="17">
        <f t="shared" si="110"/>
        <v>0.35458225128599824</v>
      </c>
      <c r="AF210" s="17">
        <f t="shared" si="110"/>
        <v>0.35458225128599824</v>
      </c>
    </row>
    <row r="211" spans="2:32" ht="12.75" customHeight="1">
      <c r="B211" s="21" t="s">
        <v>695</v>
      </c>
      <c r="C211" s="284">
        <f>C32+C34+C33+C42</f>
        <v>36.311</v>
      </c>
      <c r="D211" s="284">
        <f t="shared" ref="D211:U211" si="111">D32+D34+D33+D42</f>
        <v>51.386000000000003</v>
      </c>
      <c r="E211" s="284">
        <f t="shared" si="111"/>
        <v>83.805999999999997</v>
      </c>
      <c r="F211" s="284">
        <f t="shared" si="111"/>
        <v>78.796000000000006</v>
      </c>
      <c r="G211" s="284">
        <f t="shared" si="111"/>
        <v>143.28299999999999</v>
      </c>
      <c r="H211" s="284">
        <f t="shared" si="111"/>
        <v>-46.297000000000025</v>
      </c>
      <c r="I211" s="284">
        <f t="shared" si="111"/>
        <v>-167.84000000000003</v>
      </c>
      <c r="J211" s="284">
        <f t="shared" si="111"/>
        <v>-1531.518</v>
      </c>
      <c r="K211" s="284">
        <f t="shared" si="111"/>
        <v>-695.58100000000002</v>
      </c>
      <c r="L211" s="284">
        <f t="shared" si="111"/>
        <v>-3564.3249999999998</v>
      </c>
      <c r="M211" s="284">
        <f t="shared" si="111"/>
        <v>-2130.547</v>
      </c>
      <c r="N211" s="284">
        <f t="shared" si="111"/>
        <v>-86.522000000000048</v>
      </c>
      <c r="O211" s="284">
        <f t="shared" si="111"/>
        <v>-1030.201</v>
      </c>
      <c r="P211" s="284">
        <f t="shared" si="111"/>
        <v>-8629</v>
      </c>
      <c r="Q211" s="284">
        <f t="shared" si="111"/>
        <v>-12963</v>
      </c>
      <c r="R211" s="284">
        <f t="shared" si="111"/>
        <v>-11262</v>
      </c>
      <c r="S211" s="284">
        <f t="shared" si="111"/>
        <v>-720</v>
      </c>
      <c r="T211" s="284">
        <f t="shared" si="111"/>
        <v>-505.97743131719466</v>
      </c>
      <c r="U211" s="284">
        <f t="shared" si="111"/>
        <v>-4035.7001623117285</v>
      </c>
      <c r="V211" s="284">
        <f>V32+V34+V33+V42</f>
        <v>-6929.047075127989</v>
      </c>
      <c r="W211" s="284">
        <f t="shared" ref="W211:AF211" si="112">W32+W34+W33+W42</f>
        <v>-5046.6447119516488</v>
      </c>
      <c r="X211" s="284">
        <f t="shared" si="112"/>
        <v>-5564.1401501290675</v>
      </c>
      <c r="Y211" s="284">
        <f t="shared" si="112"/>
        <v>-6133.3979630912099</v>
      </c>
      <c r="Z211" s="284">
        <f t="shared" si="112"/>
        <v>-1247.922933652271</v>
      </c>
      <c r="AA211" s="284">
        <f t="shared" si="112"/>
        <v>-1385.5847254064308</v>
      </c>
      <c r="AB211" s="284">
        <f t="shared" si="112"/>
        <v>-1537.0255658343954</v>
      </c>
      <c r="AC211" s="284">
        <f t="shared" si="112"/>
        <v>-1703.6233726730441</v>
      </c>
      <c r="AD211" s="284">
        <f t="shared" si="112"/>
        <v>-1886.8938554458125</v>
      </c>
      <c r="AE211" s="284">
        <f t="shared" si="112"/>
        <v>-2088.5042946413632</v>
      </c>
      <c r="AF211" s="284">
        <f t="shared" si="112"/>
        <v>-2310.28869881012</v>
      </c>
    </row>
    <row r="213" spans="2:32" customFormat="1" ht="12.75" customHeight="1"/>
  </sheetData>
  <phoneticPr fontId="21" type="noConversion"/>
  <pageMargins left="0" right="0" top="0" bottom="0" header="0" footer="0"/>
  <pageSetup paperSize="5" scale="46" orientation="landscape" r:id="rId1"/>
  <ignoredErrors>
    <ignoredError sqref="P20" formula="1"/>
    <ignoredError sqref="O40:R40 S45" formulaRange="1"/>
    <ignoredError sqref="R45" formula="1" formulaRange="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
  <sheetViews>
    <sheetView zoomScaleNormal="100" workbookViewId="0"/>
  </sheetViews>
  <sheetFormatPr defaultRowHeight="15"/>
  <sheetData>
    <row r="1" spans="1:6">
      <c r="A1" t="s">
        <v>694</v>
      </c>
    </row>
    <row r="2" spans="1:6">
      <c r="A2" s="287" t="s">
        <v>693</v>
      </c>
      <c r="B2" s="287" t="s">
        <v>1110</v>
      </c>
      <c r="C2" s="287" t="s">
        <v>692</v>
      </c>
      <c r="D2" s="287" t="s">
        <v>678</v>
      </c>
      <c r="E2" s="287" t="s">
        <v>691</v>
      </c>
      <c r="F2" s="287" t="s">
        <v>736</v>
      </c>
    </row>
  </sheetData>
  <phoneticPr fontId="21"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M215"/>
  <sheetViews>
    <sheetView zoomScale="85" zoomScaleNormal="85" workbookViewId="0">
      <pane xSplit="2" ySplit="1" topLeftCell="Q2" activePane="bottomRight" state="frozen"/>
      <selection pane="topRight" activeCell="C1" sqref="C1"/>
      <selection pane="bottomLeft" activeCell="A2" sqref="A2"/>
      <selection pane="bottomRight" activeCell="S48" sqref="S48"/>
    </sheetView>
  </sheetViews>
  <sheetFormatPr defaultColWidth="2.28515625" defaultRowHeight="12.75" outlineLevelRow="1" outlineLevelCol="1"/>
  <cols>
    <col min="1" max="1" width="2.140625" style="1" customWidth="1"/>
    <col min="2" max="2" width="72.28515625" style="1" bestFit="1" customWidth="1"/>
    <col min="3" max="13" width="9.28515625" style="1" hidden="1" customWidth="1" outlineLevel="1"/>
    <col min="14" max="14" width="9.28515625" style="1" customWidth="1" collapsed="1"/>
    <col min="15" max="16" width="9.28515625" style="1" customWidth="1"/>
    <col min="17" max="17" width="11.28515625" style="1" bestFit="1" customWidth="1"/>
    <col min="18" max="56" width="9.28515625" style="1" customWidth="1"/>
    <col min="57" max="264" width="9.140625" style="1" customWidth="1"/>
    <col min="265" max="265" width="1.5703125" style="1" customWidth="1"/>
    <col min="266" max="266" width="2" style="1" customWidth="1"/>
    <col min="267" max="16384" width="2.28515625" style="1"/>
  </cols>
  <sheetData>
    <row r="1" spans="2:37">
      <c r="C1" s="132">
        <f t="shared" ref="C1:J1" si="0">D1-1</f>
        <v>2001</v>
      </c>
      <c r="D1" s="132">
        <f t="shared" si="0"/>
        <v>2002</v>
      </c>
      <c r="E1" s="132">
        <f t="shared" si="0"/>
        <v>2003</v>
      </c>
      <c r="F1" s="132">
        <f t="shared" si="0"/>
        <v>2004</v>
      </c>
      <c r="G1" s="132">
        <f t="shared" si="0"/>
        <v>2005</v>
      </c>
      <c r="H1" s="132">
        <f t="shared" si="0"/>
        <v>2006</v>
      </c>
      <c r="I1" s="132">
        <f t="shared" si="0"/>
        <v>2007</v>
      </c>
      <c r="J1" s="132">
        <f t="shared" si="0"/>
        <v>2008</v>
      </c>
      <c r="K1" s="132">
        <f>L1-1</f>
        <v>2009</v>
      </c>
      <c r="L1" s="132">
        <v>2010</v>
      </c>
      <c r="M1" s="132">
        <v>2011</v>
      </c>
      <c r="N1" s="132">
        <v>2012</v>
      </c>
      <c r="O1" s="132">
        <v>2013</v>
      </c>
      <c r="P1" s="132">
        <f>O1+1</f>
        <v>2014</v>
      </c>
      <c r="Q1" s="132">
        <f t="shared" ref="Q1:V1" si="1">P1+1</f>
        <v>2015</v>
      </c>
      <c r="R1" s="132">
        <f t="shared" si="1"/>
        <v>2016</v>
      </c>
      <c r="S1" s="132">
        <f t="shared" si="1"/>
        <v>2017</v>
      </c>
      <c r="T1" s="132">
        <f t="shared" si="1"/>
        <v>2018</v>
      </c>
      <c r="U1" s="132">
        <f t="shared" si="1"/>
        <v>2019</v>
      </c>
      <c r="V1" s="132">
        <f t="shared" si="1"/>
        <v>2020</v>
      </c>
      <c r="W1" s="132">
        <f t="shared" ref="W1:AF1" si="2">V1+1</f>
        <v>2021</v>
      </c>
      <c r="X1" s="132">
        <f t="shared" si="2"/>
        <v>2022</v>
      </c>
      <c r="Y1" s="132">
        <f t="shared" si="2"/>
        <v>2023</v>
      </c>
      <c r="Z1" s="132">
        <f t="shared" si="2"/>
        <v>2024</v>
      </c>
      <c r="AA1" s="132">
        <f t="shared" si="2"/>
        <v>2025</v>
      </c>
      <c r="AB1" s="132">
        <f t="shared" si="2"/>
        <v>2026</v>
      </c>
      <c r="AC1" s="132">
        <f t="shared" si="2"/>
        <v>2027</v>
      </c>
      <c r="AD1" s="132">
        <f t="shared" si="2"/>
        <v>2028</v>
      </c>
      <c r="AE1" s="132">
        <f t="shared" si="2"/>
        <v>2029</v>
      </c>
      <c r="AF1" s="132">
        <f t="shared" si="2"/>
        <v>2030</v>
      </c>
      <c r="AG1" s="132"/>
      <c r="AH1" s="111" t="s">
        <v>457</v>
      </c>
    </row>
    <row r="2" spans="2:37">
      <c r="B2" s="9" t="s">
        <v>456</v>
      </c>
    </row>
    <row r="3" spans="2:37" ht="12.75" customHeight="1" outlineLevel="1"/>
    <row r="4" spans="2:37" outlineLevel="1">
      <c r="B4" s="21" t="s">
        <v>458</v>
      </c>
      <c r="C4" s="123"/>
      <c r="D4" s="123"/>
      <c r="E4" s="123"/>
      <c r="F4" s="123"/>
      <c r="G4" s="123"/>
      <c r="H4" s="123">
        <f>I4</f>
        <v>650</v>
      </c>
      <c r="I4" s="123">
        <f>J4</f>
        <v>650</v>
      </c>
      <c r="J4" s="123">
        <v>650</v>
      </c>
      <c r="K4" s="123">
        <v>606.78599999999994</v>
      </c>
      <c r="L4" s="123">
        <v>638.99099999999999</v>
      </c>
      <c r="M4" s="123"/>
      <c r="N4" s="123"/>
      <c r="O4" s="679">
        <v>0</v>
      </c>
      <c r="P4" s="679">
        <v>0</v>
      </c>
      <c r="Q4" s="679">
        <v>0</v>
      </c>
      <c r="R4" s="123">
        <f t="shared" ref="R4:AF4" si="3">+Q4+R61</f>
        <v>0</v>
      </c>
      <c r="S4" s="123">
        <f t="shared" si="3"/>
        <v>0</v>
      </c>
      <c r="T4" s="123">
        <f t="shared" si="3"/>
        <v>0</v>
      </c>
      <c r="U4" s="123">
        <f t="shared" si="3"/>
        <v>0</v>
      </c>
      <c r="V4" s="123">
        <f t="shared" si="3"/>
        <v>0</v>
      </c>
      <c r="W4" s="123">
        <f t="shared" si="3"/>
        <v>0</v>
      </c>
      <c r="X4" s="123">
        <f t="shared" si="3"/>
        <v>0</v>
      </c>
      <c r="Y4" s="123">
        <f t="shared" si="3"/>
        <v>0</v>
      </c>
      <c r="Z4" s="123">
        <f t="shared" si="3"/>
        <v>0</v>
      </c>
      <c r="AA4" s="123">
        <f t="shared" si="3"/>
        <v>0</v>
      </c>
      <c r="AB4" s="123">
        <f t="shared" si="3"/>
        <v>0</v>
      </c>
      <c r="AC4" s="123">
        <f t="shared" si="3"/>
        <v>0</v>
      </c>
      <c r="AD4" s="123">
        <f t="shared" si="3"/>
        <v>0</v>
      </c>
      <c r="AE4" s="123">
        <f t="shared" si="3"/>
        <v>0</v>
      </c>
      <c r="AF4" s="123">
        <f t="shared" si="3"/>
        <v>0</v>
      </c>
      <c r="AG4" s="123"/>
      <c r="AH4" s="111">
        <v>2011</v>
      </c>
      <c r="AI4" s="123"/>
    </row>
    <row r="5" spans="2:37" outlineLevel="1">
      <c r="B5" s="21" t="s">
        <v>459</v>
      </c>
      <c r="C5" s="123"/>
      <c r="D5" s="123"/>
      <c r="E5" s="123"/>
      <c r="F5" s="123"/>
      <c r="G5" s="123"/>
      <c r="H5" s="123">
        <f>1300-H4</f>
        <v>650</v>
      </c>
      <c r="I5" s="123">
        <f>1300-I4</f>
        <v>650</v>
      </c>
      <c r="J5" s="123">
        <f>1098.025-J4</f>
        <v>448.02500000000009</v>
      </c>
      <c r="K5" s="123">
        <v>548.48</v>
      </c>
      <c r="L5" s="123">
        <v>576.88400000000001</v>
      </c>
      <c r="M5" s="123">
        <v>607.03599999999994</v>
      </c>
      <c r="N5" s="123">
        <v>419.43299999999999</v>
      </c>
      <c r="O5" s="679">
        <v>0</v>
      </c>
      <c r="P5" s="679">
        <v>0</v>
      </c>
      <c r="Q5" s="679">
        <v>0</v>
      </c>
      <c r="R5" s="123">
        <f t="shared" ref="R5:AF5" si="4">+Q5+R62</f>
        <v>0</v>
      </c>
      <c r="S5" s="123">
        <f t="shared" si="4"/>
        <v>0</v>
      </c>
      <c r="T5" s="123">
        <f t="shared" si="4"/>
        <v>0</v>
      </c>
      <c r="U5" s="123">
        <f t="shared" si="4"/>
        <v>0</v>
      </c>
      <c r="V5" s="123">
        <f t="shared" si="4"/>
        <v>0</v>
      </c>
      <c r="W5" s="123">
        <f t="shared" si="4"/>
        <v>0</v>
      </c>
      <c r="X5" s="123">
        <f t="shared" si="4"/>
        <v>0</v>
      </c>
      <c r="Y5" s="123">
        <f t="shared" si="4"/>
        <v>0</v>
      </c>
      <c r="Z5" s="123">
        <f t="shared" si="4"/>
        <v>0</v>
      </c>
      <c r="AA5" s="123">
        <f t="shared" si="4"/>
        <v>0</v>
      </c>
      <c r="AB5" s="123">
        <f t="shared" si="4"/>
        <v>0</v>
      </c>
      <c r="AC5" s="123">
        <f t="shared" si="4"/>
        <v>0</v>
      </c>
      <c r="AD5" s="123">
        <f t="shared" si="4"/>
        <v>0</v>
      </c>
      <c r="AE5" s="123">
        <f t="shared" si="4"/>
        <v>0</v>
      </c>
      <c r="AF5" s="123">
        <f t="shared" si="4"/>
        <v>0</v>
      </c>
      <c r="AG5" s="123"/>
      <c r="AH5" s="111">
        <v>2013</v>
      </c>
      <c r="AI5" s="123"/>
    </row>
    <row r="6" spans="2:37" outlineLevel="1">
      <c r="B6" s="21" t="s">
        <v>460</v>
      </c>
      <c r="C6" s="123"/>
      <c r="D6" s="123"/>
      <c r="E6" s="123"/>
      <c r="F6" s="123"/>
      <c r="G6" s="123"/>
      <c r="H6" s="123"/>
      <c r="I6" s="123"/>
      <c r="J6" s="123"/>
      <c r="K6" s="123"/>
      <c r="L6" s="123">
        <v>1153.8050000000001</v>
      </c>
      <c r="M6" s="123">
        <v>1181.5250000000001</v>
      </c>
      <c r="N6" s="123">
        <v>1210.213</v>
      </c>
      <c r="O6" s="679">
        <v>234.21700000000001</v>
      </c>
      <c r="P6" s="679">
        <v>0</v>
      </c>
      <c r="Q6" s="679">
        <v>0</v>
      </c>
      <c r="R6" s="123">
        <f t="shared" ref="R6:AF6" si="5">+Q6+R63</f>
        <v>0</v>
      </c>
      <c r="S6" s="123">
        <f t="shared" si="5"/>
        <v>0</v>
      </c>
      <c r="T6" s="123">
        <f t="shared" si="5"/>
        <v>0</v>
      </c>
      <c r="U6" s="123">
        <f t="shared" si="5"/>
        <v>0</v>
      </c>
      <c r="V6" s="123">
        <f t="shared" si="5"/>
        <v>0</v>
      </c>
      <c r="W6" s="123">
        <f t="shared" si="5"/>
        <v>0</v>
      </c>
      <c r="X6" s="123">
        <f t="shared" si="5"/>
        <v>0</v>
      </c>
      <c r="Y6" s="123">
        <f t="shared" si="5"/>
        <v>0</v>
      </c>
      <c r="Z6" s="123">
        <f t="shared" si="5"/>
        <v>0</v>
      </c>
      <c r="AA6" s="123">
        <f t="shared" si="5"/>
        <v>0</v>
      </c>
      <c r="AB6" s="123">
        <f t="shared" si="5"/>
        <v>0</v>
      </c>
      <c r="AC6" s="123">
        <f t="shared" si="5"/>
        <v>0</v>
      </c>
      <c r="AD6" s="123">
        <f t="shared" si="5"/>
        <v>0</v>
      </c>
      <c r="AE6" s="123">
        <f t="shared" si="5"/>
        <v>0</v>
      </c>
      <c r="AF6" s="123">
        <f t="shared" si="5"/>
        <v>0</v>
      </c>
      <c r="AG6" s="123"/>
      <c r="AH6" s="111">
        <v>2014</v>
      </c>
      <c r="AI6" s="123"/>
    </row>
    <row r="7" spans="2:37" outlineLevel="1">
      <c r="B7" s="21" t="s">
        <v>461</v>
      </c>
      <c r="C7" s="123"/>
      <c r="D7" s="123"/>
      <c r="E7" s="123"/>
      <c r="F7" s="123"/>
      <c r="G7" s="123"/>
      <c r="H7" s="123"/>
      <c r="I7" s="123"/>
      <c r="J7" s="123"/>
      <c r="K7" s="123"/>
      <c r="L7" s="123">
        <v>1107.884</v>
      </c>
      <c r="M7" s="123">
        <v>1132.2929999999999</v>
      </c>
      <c r="N7" s="123">
        <v>1157.692</v>
      </c>
      <c r="O7" s="679">
        <v>1113.0429999999999</v>
      </c>
      <c r="P7" s="679">
        <v>483</v>
      </c>
      <c r="Q7" s="679">
        <v>283</v>
      </c>
      <c r="R7" s="123">
        <f t="shared" ref="R7:AF7" si="6">+Q7+R64</f>
        <v>0</v>
      </c>
      <c r="S7" s="123">
        <f t="shared" si="6"/>
        <v>0</v>
      </c>
      <c r="T7" s="123">
        <f t="shared" si="6"/>
        <v>0</v>
      </c>
      <c r="U7" s="123">
        <f t="shared" si="6"/>
        <v>0</v>
      </c>
      <c r="V7" s="123">
        <f t="shared" si="6"/>
        <v>0</v>
      </c>
      <c r="W7" s="123">
        <f t="shared" si="6"/>
        <v>0</v>
      </c>
      <c r="X7" s="123">
        <f t="shared" si="6"/>
        <v>0</v>
      </c>
      <c r="Y7" s="123">
        <f t="shared" si="6"/>
        <v>0</v>
      </c>
      <c r="Z7" s="123">
        <f t="shared" si="6"/>
        <v>0</v>
      </c>
      <c r="AA7" s="123">
        <f t="shared" si="6"/>
        <v>0</v>
      </c>
      <c r="AB7" s="123">
        <f t="shared" si="6"/>
        <v>0</v>
      </c>
      <c r="AC7" s="123">
        <f t="shared" si="6"/>
        <v>0</v>
      </c>
      <c r="AD7" s="123">
        <f t="shared" si="6"/>
        <v>0</v>
      </c>
      <c r="AE7" s="123">
        <f t="shared" si="6"/>
        <v>0</v>
      </c>
      <c r="AF7" s="123">
        <f t="shared" si="6"/>
        <v>0</v>
      </c>
      <c r="AG7" s="123"/>
      <c r="AH7" s="111">
        <v>2016</v>
      </c>
      <c r="AI7" s="123"/>
    </row>
    <row r="8" spans="2:37" outlineLevel="1">
      <c r="B8" s="21" t="s">
        <v>462</v>
      </c>
      <c r="C8" s="123"/>
      <c r="D8" s="123">
        <v>345</v>
      </c>
      <c r="E8" s="123">
        <v>345</v>
      </c>
      <c r="F8" s="123"/>
      <c r="G8" s="123"/>
      <c r="H8" s="123"/>
      <c r="I8" s="123"/>
      <c r="J8" s="123"/>
      <c r="K8" s="123"/>
      <c r="L8" s="123"/>
      <c r="M8" s="123"/>
      <c r="N8" s="123"/>
      <c r="O8" s="679">
        <v>0</v>
      </c>
      <c r="P8" s="679">
        <v>0</v>
      </c>
      <c r="Q8" s="679">
        <v>0</v>
      </c>
      <c r="R8" s="123">
        <f t="shared" ref="R8:AF8" si="7">+Q8+R65</f>
        <v>0</v>
      </c>
      <c r="S8" s="123">
        <f t="shared" si="7"/>
        <v>0</v>
      </c>
      <c r="T8" s="123">
        <f t="shared" si="7"/>
        <v>0</v>
      </c>
      <c r="U8" s="123">
        <f t="shared" si="7"/>
        <v>0</v>
      </c>
      <c r="V8" s="123">
        <f t="shared" si="7"/>
        <v>0</v>
      </c>
      <c r="W8" s="123">
        <f t="shared" si="7"/>
        <v>0</v>
      </c>
      <c r="X8" s="123">
        <f t="shared" si="7"/>
        <v>0</v>
      </c>
      <c r="Y8" s="123">
        <f t="shared" si="7"/>
        <v>0</v>
      </c>
      <c r="Z8" s="123">
        <f t="shared" si="7"/>
        <v>0</v>
      </c>
      <c r="AA8" s="123">
        <f t="shared" si="7"/>
        <v>0</v>
      </c>
      <c r="AB8" s="123">
        <f t="shared" si="7"/>
        <v>0</v>
      </c>
      <c r="AC8" s="123">
        <f t="shared" si="7"/>
        <v>0</v>
      </c>
      <c r="AD8" s="123">
        <f t="shared" si="7"/>
        <v>0</v>
      </c>
      <c r="AE8" s="123">
        <f t="shared" si="7"/>
        <v>0</v>
      </c>
      <c r="AF8" s="123">
        <f t="shared" si="7"/>
        <v>0</v>
      </c>
      <c r="AG8" s="123"/>
      <c r="AH8" s="111">
        <v>2007</v>
      </c>
      <c r="AI8" s="123"/>
    </row>
    <row r="9" spans="2:37" outlineLevel="1">
      <c r="B9" s="21" t="s">
        <v>463</v>
      </c>
      <c r="C9" s="123">
        <v>250</v>
      </c>
      <c r="D9" s="123">
        <v>250</v>
      </c>
      <c r="E9" s="123"/>
      <c r="F9" s="123"/>
      <c r="G9" s="123"/>
      <c r="H9" s="123"/>
      <c r="I9" s="123"/>
      <c r="J9" s="123"/>
      <c r="K9" s="123"/>
      <c r="L9" s="123"/>
      <c r="M9" s="123"/>
      <c r="N9" s="123"/>
      <c r="O9" s="679">
        <v>0</v>
      </c>
      <c r="P9" s="679">
        <v>0</v>
      </c>
      <c r="Q9" s="679">
        <v>0</v>
      </c>
      <c r="R9" s="123">
        <f t="shared" ref="R9:AF9" si="8">+Q9+R66</f>
        <v>0</v>
      </c>
      <c r="S9" s="123">
        <f t="shared" si="8"/>
        <v>0</v>
      </c>
      <c r="T9" s="123">
        <f t="shared" si="8"/>
        <v>0</v>
      </c>
      <c r="U9" s="123">
        <f t="shared" si="8"/>
        <v>0</v>
      </c>
      <c r="V9" s="123">
        <f t="shared" si="8"/>
        <v>0</v>
      </c>
      <c r="W9" s="123">
        <f t="shared" si="8"/>
        <v>0</v>
      </c>
      <c r="X9" s="123">
        <f t="shared" si="8"/>
        <v>0</v>
      </c>
      <c r="Y9" s="123">
        <f t="shared" si="8"/>
        <v>0</v>
      </c>
      <c r="Z9" s="123">
        <f t="shared" si="8"/>
        <v>0</v>
      </c>
      <c r="AA9" s="123">
        <f t="shared" si="8"/>
        <v>0</v>
      </c>
      <c r="AB9" s="123">
        <f t="shared" si="8"/>
        <v>0</v>
      </c>
      <c r="AC9" s="123">
        <f t="shared" si="8"/>
        <v>0</v>
      </c>
      <c r="AD9" s="123">
        <f t="shared" si="8"/>
        <v>0</v>
      </c>
      <c r="AE9" s="123">
        <f t="shared" si="8"/>
        <v>0</v>
      </c>
      <c r="AF9" s="123">
        <f t="shared" si="8"/>
        <v>0</v>
      </c>
      <c r="AG9" s="123"/>
      <c r="AH9" s="111">
        <v>2007</v>
      </c>
      <c r="AI9" s="123"/>
    </row>
    <row r="10" spans="2:37" outlineLevel="1">
      <c r="B10" s="21" t="s">
        <v>464</v>
      </c>
      <c r="C10" s="123"/>
      <c r="D10" s="123"/>
      <c r="E10" s="123"/>
      <c r="F10" s="123"/>
      <c r="G10" s="123"/>
      <c r="H10" s="123"/>
      <c r="I10" s="123"/>
      <c r="J10" s="123"/>
      <c r="K10" s="123"/>
      <c r="L10" s="123"/>
      <c r="M10" s="123">
        <v>749.07799999999997</v>
      </c>
      <c r="N10" s="123">
        <v>749.39400000000001</v>
      </c>
      <c r="O10" s="679">
        <v>749.71</v>
      </c>
      <c r="P10" s="679">
        <v>0</v>
      </c>
      <c r="Q10" s="679">
        <v>0</v>
      </c>
      <c r="R10" s="123"/>
      <c r="S10" s="123"/>
      <c r="T10" s="123"/>
      <c r="U10" s="123"/>
      <c r="V10" s="123"/>
      <c r="W10" s="123"/>
      <c r="X10" s="123"/>
      <c r="Y10" s="123"/>
      <c r="Z10" s="123"/>
      <c r="AA10" s="123"/>
      <c r="AB10" s="123"/>
      <c r="AC10" s="123"/>
      <c r="AD10" s="123"/>
      <c r="AE10" s="123"/>
      <c r="AF10" s="123"/>
      <c r="AG10" s="123"/>
      <c r="AH10" s="111">
        <v>2014</v>
      </c>
      <c r="AI10" s="123"/>
    </row>
    <row r="11" spans="2:37" outlineLevel="1">
      <c r="B11" s="21" t="s">
        <v>465</v>
      </c>
      <c r="C11" s="123"/>
      <c r="D11" s="123"/>
      <c r="E11" s="123"/>
      <c r="F11" s="123"/>
      <c r="G11" s="123"/>
      <c r="H11" s="123"/>
      <c r="I11" s="123"/>
      <c r="J11" s="123"/>
      <c r="K11" s="123"/>
      <c r="L11" s="123"/>
      <c r="M11" s="123">
        <v>698.86400000000003</v>
      </c>
      <c r="N11" s="123">
        <v>699.09500000000003</v>
      </c>
      <c r="O11" s="679">
        <v>699.32600000000002</v>
      </c>
      <c r="P11" s="679">
        <v>700</v>
      </c>
      <c r="Q11" s="679">
        <v>700</v>
      </c>
      <c r="R11" s="123">
        <v>0</v>
      </c>
      <c r="S11" s="123"/>
      <c r="T11" s="123"/>
      <c r="U11" s="123"/>
      <c r="V11" s="123"/>
      <c r="W11" s="123"/>
      <c r="X11" s="123"/>
      <c r="Y11" s="123"/>
      <c r="Z11" s="123"/>
      <c r="AA11" s="123"/>
      <c r="AB11" s="123"/>
      <c r="AC11" s="123"/>
      <c r="AD11" s="123"/>
      <c r="AE11" s="123"/>
      <c r="AF11" s="123"/>
      <c r="AG11" s="123"/>
      <c r="AH11" s="111">
        <v>2016</v>
      </c>
      <c r="AI11" s="123"/>
    </row>
    <row r="12" spans="2:37" s="689" customFormat="1" outlineLevel="1">
      <c r="B12" s="21" t="s">
        <v>1028</v>
      </c>
      <c r="C12" s="123"/>
      <c r="D12" s="123"/>
      <c r="E12" s="123"/>
      <c r="F12" s="123"/>
      <c r="G12" s="123"/>
      <c r="H12" s="123"/>
      <c r="I12" s="123"/>
      <c r="J12" s="123"/>
      <c r="K12" s="123"/>
      <c r="L12" s="123"/>
      <c r="M12" s="123"/>
      <c r="N12" s="123"/>
      <c r="O12" s="679"/>
      <c r="P12" s="679"/>
      <c r="Q12" s="679"/>
      <c r="R12" s="123"/>
      <c r="S12" s="679">
        <v>749</v>
      </c>
      <c r="T12" s="123"/>
      <c r="U12" s="123"/>
      <c r="V12" s="123"/>
      <c r="W12" s="123"/>
      <c r="X12" s="123"/>
      <c r="Y12" s="123"/>
      <c r="Z12" s="123"/>
      <c r="AA12" s="123"/>
      <c r="AB12" s="123"/>
      <c r="AC12" s="123"/>
      <c r="AD12" s="123"/>
      <c r="AE12" s="123"/>
      <c r="AF12" s="123"/>
      <c r="AG12" s="123"/>
      <c r="AH12" s="111">
        <v>2018</v>
      </c>
      <c r="AI12" s="123"/>
    </row>
    <row r="13" spans="2:37" s="689" customFormat="1" outlineLevel="1">
      <c r="B13" s="999" t="s">
        <v>1111</v>
      </c>
      <c r="C13" s="123"/>
      <c r="D13" s="123"/>
      <c r="E13" s="123"/>
      <c r="F13" s="123"/>
      <c r="G13" s="123"/>
      <c r="H13" s="123"/>
      <c r="I13" s="123"/>
      <c r="J13" s="123"/>
      <c r="K13" s="123"/>
      <c r="L13" s="123"/>
      <c r="M13" s="123"/>
      <c r="N13" s="123"/>
      <c r="O13" s="679"/>
      <c r="P13" s="679"/>
      <c r="Q13" s="679"/>
      <c r="R13" s="123"/>
      <c r="S13" s="679">
        <v>999</v>
      </c>
      <c r="T13" s="123"/>
      <c r="U13" s="123"/>
      <c r="V13" s="123"/>
      <c r="W13" s="123"/>
      <c r="X13" s="123"/>
      <c r="Y13" s="123"/>
      <c r="Z13" s="123"/>
      <c r="AA13" s="123"/>
      <c r="AB13" s="123"/>
      <c r="AC13" s="123"/>
      <c r="AD13" s="123"/>
      <c r="AE13" s="123"/>
      <c r="AF13" s="123"/>
      <c r="AG13" s="123"/>
      <c r="AH13" s="111"/>
      <c r="AI13" s="123"/>
    </row>
    <row r="14" spans="2:37" s="689" customFormat="1" outlineLevel="1">
      <c r="B14" s="21" t="s">
        <v>1027</v>
      </c>
      <c r="C14" s="123"/>
      <c r="D14" s="123"/>
      <c r="E14" s="123"/>
      <c r="F14" s="123"/>
      <c r="G14" s="123"/>
      <c r="H14" s="123"/>
      <c r="I14" s="123"/>
      <c r="J14" s="123"/>
      <c r="K14" s="123"/>
      <c r="L14" s="123"/>
      <c r="M14" s="123"/>
      <c r="N14" s="123"/>
      <c r="O14" s="679"/>
      <c r="P14" s="679"/>
      <c r="Q14" s="679"/>
      <c r="R14" s="123"/>
      <c r="S14" s="679">
        <v>748</v>
      </c>
      <c r="T14" s="123">
        <f>S14</f>
        <v>748</v>
      </c>
      <c r="U14" s="123"/>
      <c r="V14" s="123"/>
      <c r="W14" s="123"/>
      <c r="X14" s="123"/>
      <c r="Y14" s="123"/>
      <c r="Z14" s="123"/>
      <c r="AA14" s="123"/>
      <c r="AB14" s="123"/>
      <c r="AC14" s="123"/>
      <c r="AD14" s="123"/>
      <c r="AE14" s="123"/>
      <c r="AF14" s="123"/>
      <c r="AG14" s="123"/>
      <c r="AH14" s="111">
        <v>2019</v>
      </c>
      <c r="AI14" s="123"/>
    </row>
    <row r="15" spans="2:37" s="601" customFormat="1" outlineLevel="1">
      <c r="B15" s="21" t="s">
        <v>733</v>
      </c>
      <c r="C15" s="602"/>
      <c r="D15" s="602"/>
      <c r="E15" s="602"/>
      <c r="F15" s="602"/>
      <c r="G15" s="602"/>
      <c r="H15" s="602"/>
      <c r="I15" s="602"/>
      <c r="J15" s="602"/>
      <c r="K15" s="602"/>
      <c r="L15" s="602"/>
      <c r="M15" s="602"/>
      <c r="N15" s="602"/>
      <c r="O15" s="679"/>
      <c r="P15" s="679">
        <v>499</v>
      </c>
      <c r="Q15" s="679">
        <v>498</v>
      </c>
      <c r="R15" s="679">
        <v>499</v>
      </c>
      <c r="S15" s="679">
        <v>499</v>
      </c>
      <c r="T15" s="123">
        <f>+S15</f>
        <v>499</v>
      </c>
      <c r="U15" s="123"/>
      <c r="V15" s="602"/>
      <c r="W15" s="602"/>
      <c r="X15" s="602"/>
      <c r="Y15" s="602"/>
      <c r="Z15" s="602"/>
      <c r="AA15" s="602"/>
      <c r="AB15" s="602"/>
      <c r="AC15" s="602"/>
      <c r="AD15" s="602"/>
      <c r="AE15" s="602"/>
      <c r="AF15" s="602"/>
      <c r="AG15" s="602"/>
      <c r="AH15" s="111">
        <v>2019</v>
      </c>
      <c r="AI15" s="602"/>
      <c r="AJ15" s="601">
        <v>998</v>
      </c>
      <c r="AK15" s="601" t="s">
        <v>918</v>
      </c>
    </row>
    <row r="16" spans="2:37" s="601" customFormat="1" outlineLevel="1">
      <c r="B16" s="21" t="s">
        <v>1026</v>
      </c>
      <c r="C16" s="602"/>
      <c r="D16" s="602"/>
      <c r="E16" s="602"/>
      <c r="F16" s="602"/>
      <c r="G16" s="602"/>
      <c r="H16" s="602"/>
      <c r="I16" s="602"/>
      <c r="J16" s="602"/>
      <c r="K16" s="602"/>
      <c r="L16" s="602"/>
      <c r="M16" s="602"/>
      <c r="N16" s="602"/>
      <c r="O16" s="679"/>
      <c r="P16" s="679"/>
      <c r="Q16" s="679"/>
      <c r="R16" s="679"/>
      <c r="S16" s="679">
        <v>499</v>
      </c>
      <c r="T16" s="123">
        <f>S16</f>
        <v>499</v>
      </c>
      <c r="U16" s="123"/>
      <c r="V16" s="602"/>
      <c r="W16" s="602"/>
      <c r="X16" s="602"/>
      <c r="Y16" s="602"/>
      <c r="Z16" s="602"/>
      <c r="AA16" s="602"/>
      <c r="AB16" s="602"/>
      <c r="AC16" s="602"/>
      <c r="AD16" s="602"/>
      <c r="AE16" s="602"/>
      <c r="AF16" s="602"/>
      <c r="AG16" s="602"/>
      <c r="AH16" s="111">
        <v>2019</v>
      </c>
      <c r="AI16" s="602"/>
    </row>
    <row r="17" spans="2:37" s="601" customFormat="1" outlineLevel="1">
      <c r="B17" s="21" t="s">
        <v>1029</v>
      </c>
      <c r="C17" s="602"/>
      <c r="D17" s="602"/>
      <c r="E17" s="602"/>
      <c r="F17" s="602"/>
      <c r="G17" s="602"/>
      <c r="H17" s="602"/>
      <c r="I17" s="602"/>
      <c r="J17" s="602"/>
      <c r="K17" s="602"/>
      <c r="L17" s="602"/>
      <c r="M17" s="602"/>
      <c r="N17" s="602"/>
      <c r="O17" s="679"/>
      <c r="P17" s="679"/>
      <c r="Q17" s="679"/>
      <c r="R17" s="679"/>
      <c r="S17" s="679">
        <v>997</v>
      </c>
      <c r="T17" s="123">
        <f>S17</f>
        <v>997</v>
      </c>
      <c r="U17" s="123"/>
      <c r="V17" s="602"/>
      <c r="W17" s="602"/>
      <c r="X17" s="602"/>
      <c r="Y17" s="602"/>
      <c r="Z17" s="602"/>
      <c r="AA17" s="602"/>
      <c r="AB17" s="602"/>
      <c r="AC17" s="602"/>
      <c r="AD17" s="602"/>
      <c r="AE17" s="602"/>
      <c r="AF17" s="602"/>
      <c r="AG17" s="602"/>
      <c r="AH17" s="111"/>
      <c r="AI17" s="602"/>
    </row>
    <row r="18" spans="2:37" s="601" customFormat="1" outlineLevel="1">
      <c r="B18" s="21" t="s">
        <v>804</v>
      </c>
      <c r="C18" s="602"/>
      <c r="D18" s="602"/>
      <c r="E18" s="602"/>
      <c r="F18" s="602"/>
      <c r="G18" s="602"/>
      <c r="H18" s="602"/>
      <c r="I18" s="602"/>
      <c r="J18" s="602"/>
      <c r="K18" s="602"/>
      <c r="L18" s="602"/>
      <c r="M18" s="602"/>
      <c r="N18" s="602"/>
      <c r="O18" s="679"/>
      <c r="P18" s="679">
        <v>499</v>
      </c>
      <c r="Q18" s="679">
        <v>497</v>
      </c>
      <c r="R18" s="679">
        <v>498</v>
      </c>
      <c r="S18" s="679">
        <v>499</v>
      </c>
      <c r="T18" s="123">
        <v>500</v>
      </c>
      <c r="U18" s="123">
        <v>500</v>
      </c>
      <c r="V18" s="123"/>
      <c r="W18" s="602"/>
      <c r="X18" s="602"/>
      <c r="Y18" s="602"/>
      <c r="Z18" s="602"/>
      <c r="AA18" s="602"/>
      <c r="AB18" s="602"/>
      <c r="AC18" s="602"/>
      <c r="AD18" s="602"/>
      <c r="AE18" s="602"/>
      <c r="AF18" s="602"/>
      <c r="AG18" s="602"/>
      <c r="AH18" s="111">
        <v>2020</v>
      </c>
      <c r="AI18" s="602"/>
      <c r="AJ18" s="601">
        <v>499</v>
      </c>
      <c r="AK18" s="601" t="s">
        <v>918</v>
      </c>
    </row>
    <row r="19" spans="2:37" s="601" customFormat="1" outlineLevel="1">
      <c r="B19" s="999" t="s">
        <v>1112</v>
      </c>
      <c r="C19" s="602"/>
      <c r="D19" s="602"/>
      <c r="E19" s="602"/>
      <c r="F19" s="602"/>
      <c r="G19" s="602"/>
      <c r="H19" s="602"/>
      <c r="I19" s="602"/>
      <c r="J19" s="602"/>
      <c r="K19" s="602"/>
      <c r="L19" s="602"/>
      <c r="M19" s="602"/>
      <c r="N19" s="602"/>
      <c r="O19" s="679"/>
      <c r="P19" s="679"/>
      <c r="Q19" s="679"/>
      <c r="R19" s="679"/>
      <c r="S19" s="679">
        <v>998</v>
      </c>
      <c r="T19" s="123">
        <f>S19</f>
        <v>998</v>
      </c>
      <c r="U19" s="123">
        <f>T19</f>
        <v>998</v>
      </c>
      <c r="V19" s="123"/>
      <c r="W19" s="602"/>
      <c r="X19" s="602"/>
      <c r="Y19" s="602"/>
      <c r="Z19" s="602"/>
      <c r="AA19" s="602"/>
      <c r="AB19" s="602"/>
      <c r="AC19" s="602"/>
      <c r="AD19" s="602"/>
      <c r="AE19" s="602"/>
      <c r="AF19" s="602"/>
      <c r="AG19" s="602"/>
      <c r="AH19" s="111"/>
      <c r="AI19" s="602"/>
    </row>
    <row r="20" spans="2:37" outlineLevel="1">
      <c r="B20" s="21" t="s">
        <v>466</v>
      </c>
      <c r="C20" s="123"/>
      <c r="D20" s="123"/>
      <c r="E20" s="123"/>
      <c r="F20" s="123"/>
      <c r="G20" s="123"/>
      <c r="H20" s="123"/>
      <c r="I20" s="123"/>
      <c r="J20" s="123"/>
      <c r="K20" s="123"/>
      <c r="L20" s="123"/>
      <c r="M20" s="123">
        <v>992.06600000000003</v>
      </c>
      <c r="N20" s="123">
        <v>992.923</v>
      </c>
      <c r="O20" s="679">
        <v>993.78099999999995</v>
      </c>
      <c r="P20" s="679">
        <v>995</v>
      </c>
      <c r="Q20" s="679">
        <v>992</v>
      </c>
      <c r="R20" s="679">
        <v>994</v>
      </c>
      <c r="S20" s="1000">
        <v>995</v>
      </c>
      <c r="T20" s="123">
        <f t="shared" ref="T20:V24" si="9">+S20</f>
        <v>995</v>
      </c>
      <c r="U20" s="123">
        <f t="shared" si="9"/>
        <v>995</v>
      </c>
      <c r="V20" s="123">
        <f>+U20</f>
        <v>995</v>
      </c>
      <c r="W20" s="123"/>
      <c r="X20" s="123"/>
      <c r="Y20" s="123"/>
      <c r="Z20" s="123"/>
      <c r="AA20" s="123"/>
      <c r="AB20" s="123"/>
      <c r="AC20" s="123"/>
      <c r="AD20" s="123"/>
      <c r="AE20" s="123"/>
      <c r="AF20" s="123"/>
      <c r="AG20" s="123"/>
      <c r="AH20" s="111">
        <v>2021</v>
      </c>
      <c r="AI20" s="123"/>
      <c r="AJ20" s="1">
        <v>498</v>
      </c>
      <c r="AK20" s="1" t="s">
        <v>918</v>
      </c>
    </row>
    <row r="21" spans="2:37" outlineLevel="1">
      <c r="B21" s="21" t="s">
        <v>467</v>
      </c>
      <c r="C21" s="123"/>
      <c r="D21" s="123"/>
      <c r="E21" s="123"/>
      <c r="F21" s="123"/>
      <c r="G21" s="123"/>
      <c r="H21" s="123"/>
      <c r="I21" s="123"/>
      <c r="J21" s="123"/>
      <c r="K21" s="123"/>
      <c r="L21" s="123"/>
      <c r="M21" s="123">
        <v>1247.1379999999999</v>
      </c>
      <c r="N21" s="123">
        <v>1247.4280000000001</v>
      </c>
      <c r="O21" s="679">
        <v>1247.7159999999999</v>
      </c>
      <c r="P21" s="679">
        <v>1248</v>
      </c>
      <c r="Q21" s="679">
        <v>1244</v>
      </c>
      <c r="R21" s="679">
        <v>1245</v>
      </c>
      <c r="S21" s="679">
        <v>1246</v>
      </c>
      <c r="T21" s="123">
        <f t="shared" si="9"/>
        <v>1246</v>
      </c>
      <c r="U21" s="123">
        <f t="shared" si="9"/>
        <v>1246</v>
      </c>
      <c r="V21" s="123">
        <f>+U21</f>
        <v>1246</v>
      </c>
      <c r="W21" s="123"/>
      <c r="X21" s="123"/>
      <c r="Y21" s="123"/>
      <c r="Z21" s="123"/>
      <c r="AA21" s="123"/>
      <c r="AB21" s="123"/>
      <c r="AC21" s="123"/>
      <c r="AD21" s="123"/>
      <c r="AE21" s="123"/>
      <c r="AF21" s="123"/>
      <c r="AG21" s="123"/>
      <c r="AH21" s="111">
        <v>2021</v>
      </c>
      <c r="AI21" s="123"/>
      <c r="AJ21" s="1">
        <v>1991</v>
      </c>
      <c r="AK21" s="1" t="s">
        <v>918</v>
      </c>
    </row>
    <row r="22" spans="2:37" s="601" customFormat="1" outlineLevel="1">
      <c r="B22" s="21" t="s">
        <v>734</v>
      </c>
      <c r="C22" s="602"/>
      <c r="D22" s="602"/>
      <c r="E22" s="602"/>
      <c r="F22" s="602"/>
      <c r="G22" s="602"/>
      <c r="H22" s="602"/>
      <c r="I22" s="602"/>
      <c r="J22" s="602"/>
      <c r="K22" s="602"/>
      <c r="L22" s="602"/>
      <c r="M22" s="602"/>
      <c r="N22" s="602"/>
      <c r="O22" s="679"/>
      <c r="P22" s="679">
        <v>1747</v>
      </c>
      <c r="Q22" s="679">
        <v>1740</v>
      </c>
      <c r="R22" s="679">
        <v>1741</v>
      </c>
      <c r="S22" s="679">
        <v>1742</v>
      </c>
      <c r="T22" s="123">
        <f t="shared" si="9"/>
        <v>1742</v>
      </c>
      <c r="U22" s="123">
        <f t="shared" si="9"/>
        <v>1742</v>
      </c>
      <c r="V22" s="123">
        <f>+U22</f>
        <v>1742</v>
      </c>
      <c r="W22" s="123">
        <f t="shared" ref="W22:Z25" si="10">+V22</f>
        <v>1742</v>
      </c>
      <c r="X22" s="123">
        <f t="shared" si="10"/>
        <v>1742</v>
      </c>
      <c r="Y22" s="123">
        <f t="shared" si="10"/>
        <v>1742</v>
      </c>
      <c r="Z22" s="123"/>
      <c r="AA22" s="123"/>
      <c r="AB22" s="123"/>
      <c r="AC22" s="123"/>
      <c r="AD22" s="123"/>
      <c r="AE22" s="123"/>
      <c r="AF22" s="123"/>
      <c r="AG22" s="123"/>
      <c r="AH22" s="111">
        <v>2024</v>
      </c>
      <c r="AI22" s="602"/>
      <c r="AJ22" s="601">
        <v>994</v>
      </c>
      <c r="AK22" s="601" t="s">
        <v>918</v>
      </c>
    </row>
    <row r="23" spans="2:37" s="601" customFormat="1" outlineLevel="1">
      <c r="B23" s="21" t="s">
        <v>805</v>
      </c>
      <c r="C23" s="602"/>
      <c r="D23" s="602"/>
      <c r="E23" s="602"/>
      <c r="F23" s="602"/>
      <c r="G23" s="602"/>
      <c r="H23" s="602"/>
      <c r="I23" s="602"/>
      <c r="J23" s="602"/>
      <c r="K23" s="602"/>
      <c r="L23" s="602"/>
      <c r="M23" s="602"/>
      <c r="N23" s="602"/>
      <c r="O23" s="679"/>
      <c r="P23" s="679">
        <v>1748</v>
      </c>
      <c r="Q23" s="679">
        <v>1742</v>
      </c>
      <c r="R23" s="679">
        <v>1743</v>
      </c>
      <c r="S23" s="679">
        <v>1744</v>
      </c>
      <c r="T23" s="123">
        <v>1750</v>
      </c>
      <c r="U23" s="123">
        <v>1750</v>
      </c>
      <c r="V23" s="123">
        <v>1750</v>
      </c>
      <c r="W23" s="123">
        <v>1750</v>
      </c>
      <c r="X23" s="123">
        <v>1750</v>
      </c>
      <c r="Y23" s="123">
        <v>1750</v>
      </c>
      <c r="Z23" s="123">
        <v>1750</v>
      </c>
      <c r="AA23" s="123"/>
      <c r="AB23" s="123"/>
      <c r="AC23" s="123"/>
      <c r="AD23" s="123"/>
      <c r="AE23" s="123"/>
      <c r="AF23" s="123"/>
      <c r="AG23" s="123"/>
      <c r="AH23" s="111">
        <v>2025</v>
      </c>
      <c r="AI23" s="602"/>
      <c r="AJ23" s="601">
        <v>1245</v>
      </c>
      <c r="AK23" s="601" t="s">
        <v>918</v>
      </c>
    </row>
    <row r="24" spans="2:37" outlineLevel="1">
      <c r="B24" s="21" t="s">
        <v>468</v>
      </c>
      <c r="C24" s="123"/>
      <c r="D24" s="123"/>
      <c r="E24" s="123"/>
      <c r="F24" s="123"/>
      <c r="G24" s="123"/>
      <c r="H24" s="123"/>
      <c r="I24" s="123"/>
      <c r="J24" s="123"/>
      <c r="K24" s="123"/>
      <c r="L24" s="123"/>
      <c r="M24" s="123">
        <v>997.73400000000004</v>
      </c>
      <c r="N24" s="123">
        <v>997.81</v>
      </c>
      <c r="O24" s="679">
        <v>997.88499999999999</v>
      </c>
      <c r="P24" s="679">
        <v>998</v>
      </c>
      <c r="Q24" s="679">
        <v>995</v>
      </c>
      <c r="R24" s="679">
        <v>995</v>
      </c>
      <c r="S24" s="679">
        <v>995</v>
      </c>
      <c r="T24" s="123">
        <f t="shared" si="9"/>
        <v>995</v>
      </c>
      <c r="U24" s="123">
        <f t="shared" si="9"/>
        <v>995</v>
      </c>
      <c r="V24" s="123">
        <f t="shared" si="9"/>
        <v>995</v>
      </c>
      <c r="W24" s="123">
        <f t="shared" si="10"/>
        <v>995</v>
      </c>
      <c r="X24" s="123">
        <f t="shared" si="10"/>
        <v>995</v>
      </c>
      <c r="Y24" s="123">
        <f t="shared" si="10"/>
        <v>995</v>
      </c>
      <c r="Z24" s="123">
        <f t="shared" si="10"/>
        <v>995</v>
      </c>
      <c r="AA24" s="123">
        <f t="shared" ref="AA24:AF25" si="11">+Z24</f>
        <v>995</v>
      </c>
      <c r="AB24" s="123">
        <f t="shared" si="11"/>
        <v>995</v>
      </c>
      <c r="AC24" s="123">
        <f t="shared" si="11"/>
        <v>995</v>
      </c>
      <c r="AD24" s="123">
        <f t="shared" si="11"/>
        <v>995</v>
      </c>
      <c r="AE24" s="123">
        <f t="shared" si="11"/>
        <v>995</v>
      </c>
      <c r="AF24" s="123">
        <f t="shared" si="11"/>
        <v>995</v>
      </c>
      <c r="AG24" s="123"/>
      <c r="AH24" s="111">
        <v>2041</v>
      </c>
      <c r="AI24" s="123"/>
      <c r="AJ24" s="1">
        <v>497</v>
      </c>
      <c r="AK24" s="1" t="s">
        <v>918</v>
      </c>
    </row>
    <row r="25" spans="2:37" s="601" customFormat="1" outlineLevel="1">
      <c r="B25" s="21" t="s">
        <v>735</v>
      </c>
      <c r="C25" s="602"/>
      <c r="D25" s="602"/>
      <c r="E25" s="602"/>
      <c r="F25" s="602"/>
      <c r="G25" s="602"/>
      <c r="H25" s="602"/>
      <c r="I25" s="602"/>
      <c r="J25" s="602"/>
      <c r="K25" s="602"/>
      <c r="L25" s="602"/>
      <c r="M25" s="602"/>
      <c r="N25" s="602"/>
      <c r="O25" s="679"/>
      <c r="P25" s="123">
        <v>1747</v>
      </c>
      <c r="Q25" s="679">
        <v>1732</v>
      </c>
      <c r="R25" s="679">
        <v>1732</v>
      </c>
      <c r="S25" s="679">
        <v>1733</v>
      </c>
      <c r="T25" s="123">
        <f>+S25</f>
        <v>1733</v>
      </c>
      <c r="U25" s="123">
        <f>+T25</f>
        <v>1733</v>
      </c>
      <c r="V25" s="123">
        <f>+U25</f>
        <v>1733</v>
      </c>
      <c r="W25" s="123">
        <f t="shared" si="10"/>
        <v>1733</v>
      </c>
      <c r="X25" s="123">
        <f t="shared" si="10"/>
        <v>1733</v>
      </c>
      <c r="Y25" s="123">
        <f t="shared" si="10"/>
        <v>1733</v>
      </c>
      <c r="Z25" s="123">
        <f t="shared" si="10"/>
        <v>1733</v>
      </c>
      <c r="AA25" s="123">
        <f t="shared" si="11"/>
        <v>1733</v>
      </c>
      <c r="AB25" s="123">
        <f t="shared" si="11"/>
        <v>1733</v>
      </c>
      <c r="AC25" s="123">
        <f t="shared" si="11"/>
        <v>1733</v>
      </c>
      <c r="AD25" s="123">
        <f t="shared" si="11"/>
        <v>1733</v>
      </c>
      <c r="AE25" s="123">
        <f t="shared" si="11"/>
        <v>1733</v>
      </c>
      <c r="AF25" s="123">
        <f t="shared" si="11"/>
        <v>1733</v>
      </c>
      <c r="AG25" s="123"/>
      <c r="AH25" s="111">
        <v>2044</v>
      </c>
      <c r="AI25" s="602"/>
      <c r="AJ25" s="601">
        <v>995</v>
      </c>
      <c r="AK25" s="601" t="s">
        <v>918</v>
      </c>
    </row>
    <row r="26" spans="2:37" s="601" customFormat="1" outlineLevel="1">
      <c r="B26" s="21" t="s">
        <v>806</v>
      </c>
      <c r="C26" s="602"/>
      <c r="D26" s="602"/>
      <c r="E26" s="602"/>
      <c r="F26" s="602"/>
      <c r="G26" s="602"/>
      <c r="H26" s="602"/>
      <c r="I26" s="602"/>
      <c r="J26" s="602"/>
      <c r="K26" s="602"/>
      <c r="L26" s="602"/>
      <c r="M26" s="602"/>
      <c r="N26" s="602"/>
      <c r="O26" s="679"/>
      <c r="P26" s="123">
        <v>1740</v>
      </c>
      <c r="Q26" s="679">
        <v>1728</v>
      </c>
      <c r="R26" s="679">
        <v>1729</v>
      </c>
      <c r="S26" s="679">
        <v>1730</v>
      </c>
      <c r="T26" s="123">
        <v>1750</v>
      </c>
      <c r="U26" s="123">
        <v>1750</v>
      </c>
      <c r="V26" s="123">
        <v>1750</v>
      </c>
      <c r="W26" s="123">
        <v>1750</v>
      </c>
      <c r="X26" s="123">
        <v>1750</v>
      </c>
      <c r="Y26" s="123">
        <v>1750</v>
      </c>
      <c r="Z26" s="123">
        <v>1750</v>
      </c>
      <c r="AA26" s="123">
        <v>1750</v>
      </c>
      <c r="AB26" s="123">
        <v>1750</v>
      </c>
      <c r="AC26" s="123">
        <v>1750</v>
      </c>
      <c r="AD26" s="123">
        <v>1750</v>
      </c>
      <c r="AE26" s="123">
        <v>1750</v>
      </c>
      <c r="AF26" s="123">
        <v>1750</v>
      </c>
      <c r="AG26" s="123"/>
      <c r="AH26" s="111">
        <v>2045</v>
      </c>
      <c r="AI26" s="602"/>
      <c r="AJ26" s="601">
        <v>744</v>
      </c>
      <c r="AK26" s="601" t="s">
        <v>918</v>
      </c>
    </row>
    <row r="27" spans="2:37" s="601" customFormat="1" outlineLevel="1">
      <c r="B27" s="21" t="s">
        <v>836</v>
      </c>
      <c r="C27" s="602"/>
      <c r="D27" s="602"/>
      <c r="E27" s="602"/>
      <c r="F27" s="602"/>
      <c r="G27" s="602"/>
      <c r="H27" s="602"/>
      <c r="I27" s="602"/>
      <c r="J27" s="602"/>
      <c r="K27" s="602"/>
      <c r="L27" s="602"/>
      <c r="M27" s="602"/>
      <c r="N27" s="602"/>
      <c r="O27" s="679"/>
      <c r="P27" s="123"/>
      <c r="Q27" s="679">
        <v>997</v>
      </c>
      <c r="R27" s="679">
        <v>998</v>
      </c>
      <c r="S27" s="679">
        <v>999</v>
      </c>
      <c r="T27" s="123"/>
      <c r="U27" s="123"/>
      <c r="V27" s="123"/>
      <c r="W27" s="123"/>
      <c r="X27" s="123"/>
      <c r="Y27" s="123"/>
      <c r="Z27" s="123"/>
      <c r="AA27" s="123"/>
      <c r="AB27" s="123"/>
      <c r="AC27" s="123"/>
      <c r="AD27" s="123"/>
      <c r="AE27" s="123"/>
      <c r="AF27" s="123"/>
      <c r="AG27" s="123"/>
      <c r="AH27" s="111">
        <v>2018</v>
      </c>
      <c r="AI27" s="602"/>
      <c r="AJ27" s="601">
        <v>1741</v>
      </c>
      <c r="AK27" s="601" t="s">
        <v>918</v>
      </c>
    </row>
    <row r="28" spans="2:37" s="601" customFormat="1" outlineLevel="1">
      <c r="B28" s="21" t="s">
        <v>837</v>
      </c>
      <c r="C28" s="602"/>
      <c r="D28" s="602"/>
      <c r="E28" s="602"/>
      <c r="F28" s="602"/>
      <c r="G28" s="602"/>
      <c r="H28" s="602"/>
      <c r="I28" s="602"/>
      <c r="J28" s="602"/>
      <c r="K28" s="602"/>
      <c r="L28" s="602"/>
      <c r="M28" s="602"/>
      <c r="N28" s="602"/>
      <c r="O28" s="679"/>
      <c r="P28" s="123"/>
      <c r="Q28" s="679">
        <v>1989</v>
      </c>
      <c r="R28" s="679">
        <v>1991</v>
      </c>
      <c r="S28" s="679">
        <v>1994</v>
      </c>
      <c r="T28" s="123">
        <v>2000</v>
      </c>
      <c r="U28" s="123">
        <v>2000</v>
      </c>
      <c r="V28" s="123"/>
      <c r="W28" s="123"/>
      <c r="X28" s="123"/>
      <c r="Y28" s="123"/>
      <c r="Z28" s="123"/>
      <c r="AA28" s="123"/>
      <c r="AB28" s="123"/>
      <c r="AC28" s="123"/>
      <c r="AD28" s="123"/>
      <c r="AE28" s="123"/>
      <c r="AF28" s="123"/>
      <c r="AG28" s="123"/>
      <c r="AH28" s="111">
        <v>2020</v>
      </c>
      <c r="AI28" s="602"/>
      <c r="AJ28" s="601">
        <v>1743</v>
      </c>
      <c r="AK28" s="601" t="s">
        <v>918</v>
      </c>
    </row>
    <row r="29" spans="2:37" s="601" customFormat="1" outlineLevel="1">
      <c r="B29" s="21" t="s">
        <v>838</v>
      </c>
      <c r="C29" s="602"/>
      <c r="D29" s="602"/>
      <c r="E29" s="602"/>
      <c r="F29" s="602"/>
      <c r="G29" s="602"/>
      <c r="H29" s="602"/>
      <c r="I29" s="602"/>
      <c r="J29" s="602"/>
      <c r="K29" s="602"/>
      <c r="L29" s="602"/>
      <c r="M29" s="602"/>
      <c r="N29" s="602"/>
      <c r="O29" s="679"/>
      <c r="P29" s="123"/>
      <c r="Q29" s="679">
        <v>995</v>
      </c>
      <c r="R29" s="679">
        <v>995</v>
      </c>
      <c r="S29" s="679">
        <v>996</v>
      </c>
      <c r="T29" s="123">
        <v>1000</v>
      </c>
      <c r="U29" s="123">
        <v>1000</v>
      </c>
      <c r="V29" s="123">
        <v>1000</v>
      </c>
      <c r="W29" s="123">
        <v>1000</v>
      </c>
      <c r="X29" s="123"/>
      <c r="Y29" s="123"/>
      <c r="Z29" s="123"/>
      <c r="AA29" s="123"/>
      <c r="AB29" s="123"/>
      <c r="AC29" s="123"/>
      <c r="AD29" s="123"/>
      <c r="AE29" s="123"/>
      <c r="AF29" s="123"/>
      <c r="AG29" s="123"/>
      <c r="AH29" s="111">
        <v>2022</v>
      </c>
      <c r="AI29" s="602"/>
      <c r="AJ29" s="601">
        <v>2726</v>
      </c>
      <c r="AK29" s="601" t="s">
        <v>918</v>
      </c>
    </row>
    <row r="30" spans="2:37" s="601" customFormat="1" outlineLevel="1">
      <c r="B30" s="999" t="s">
        <v>1113</v>
      </c>
      <c r="C30" s="602"/>
      <c r="D30" s="602"/>
      <c r="E30" s="602"/>
      <c r="F30" s="602"/>
      <c r="G30" s="602"/>
      <c r="H30" s="602"/>
      <c r="I30" s="602"/>
      <c r="J30" s="602"/>
      <c r="K30" s="602"/>
      <c r="L30" s="602"/>
      <c r="M30" s="602"/>
      <c r="N30" s="602"/>
      <c r="O30" s="679"/>
      <c r="P30" s="123"/>
      <c r="Q30" s="679"/>
      <c r="R30" s="679"/>
      <c r="S30" s="679">
        <v>2497</v>
      </c>
      <c r="T30" s="123">
        <f>S30</f>
        <v>2497</v>
      </c>
      <c r="U30" s="123">
        <f>T30</f>
        <v>2497</v>
      </c>
      <c r="V30" s="123">
        <f>U30</f>
        <v>2497</v>
      </c>
      <c r="W30" s="123">
        <f>V30</f>
        <v>2497</v>
      </c>
      <c r="X30" s="123"/>
      <c r="Y30" s="123"/>
      <c r="Z30" s="123"/>
      <c r="AA30" s="123"/>
      <c r="AB30" s="123"/>
      <c r="AC30" s="123"/>
      <c r="AD30" s="123"/>
      <c r="AE30" s="123"/>
      <c r="AF30" s="123"/>
      <c r="AG30" s="123"/>
      <c r="AH30" s="111"/>
      <c r="AI30" s="602"/>
    </row>
    <row r="31" spans="2:37" s="601" customFormat="1" outlineLevel="1">
      <c r="B31" s="21" t="s">
        <v>1114</v>
      </c>
      <c r="C31" s="602"/>
      <c r="D31" s="602"/>
      <c r="E31" s="602"/>
      <c r="F31" s="602"/>
      <c r="G31" s="602"/>
      <c r="H31" s="602"/>
      <c r="I31" s="602"/>
      <c r="J31" s="602"/>
      <c r="K31" s="602"/>
      <c r="L31" s="602"/>
      <c r="M31" s="602"/>
      <c r="N31" s="602"/>
      <c r="O31" s="679"/>
      <c r="P31" s="123"/>
      <c r="Q31" s="679">
        <v>2724</v>
      </c>
      <c r="R31" s="679">
        <v>2726</v>
      </c>
      <c r="S31" s="679">
        <v>2729</v>
      </c>
      <c r="T31" s="123">
        <v>2750</v>
      </c>
      <c r="U31" s="123">
        <v>2750</v>
      </c>
      <c r="V31" s="123">
        <v>2750</v>
      </c>
      <c r="W31" s="123">
        <v>2750</v>
      </c>
      <c r="X31" s="123">
        <v>2750</v>
      </c>
      <c r="Y31" s="123">
        <v>2750</v>
      </c>
      <c r="Z31" s="123">
        <v>2750</v>
      </c>
      <c r="AA31" s="123">
        <v>2750</v>
      </c>
      <c r="AB31" s="123"/>
      <c r="AC31" s="123"/>
      <c r="AD31" s="123"/>
      <c r="AE31" s="123"/>
      <c r="AF31" s="123"/>
      <c r="AG31" s="123"/>
      <c r="AH31" s="111">
        <v>2026</v>
      </c>
      <c r="AI31" s="602"/>
      <c r="AJ31" s="601">
        <v>1243</v>
      </c>
      <c r="AK31" s="601" t="s">
        <v>918</v>
      </c>
    </row>
    <row r="32" spans="2:37" s="601" customFormat="1" outlineLevel="1">
      <c r="B32" s="21" t="s">
        <v>841</v>
      </c>
      <c r="C32" s="602"/>
      <c r="D32" s="602"/>
      <c r="E32" s="602"/>
      <c r="F32" s="602"/>
      <c r="G32" s="602"/>
      <c r="H32" s="602"/>
      <c r="I32" s="602"/>
      <c r="J32" s="602"/>
      <c r="K32" s="602"/>
      <c r="L32" s="602"/>
      <c r="M32" s="602"/>
      <c r="N32" s="602"/>
      <c r="O32" s="679"/>
      <c r="P32" s="123"/>
      <c r="Q32" s="679">
        <v>988</v>
      </c>
      <c r="R32" s="679">
        <v>989</v>
      </c>
      <c r="S32" s="679">
        <v>990</v>
      </c>
      <c r="T32" s="123">
        <v>1000</v>
      </c>
      <c r="U32" s="123">
        <v>1000</v>
      </c>
      <c r="V32" s="123">
        <v>1000</v>
      </c>
      <c r="W32" s="123">
        <v>1000</v>
      </c>
      <c r="X32" s="123">
        <v>1000</v>
      </c>
      <c r="Y32" s="123">
        <v>1000</v>
      </c>
      <c r="Z32" s="123">
        <v>1000</v>
      </c>
      <c r="AA32" s="123">
        <v>1000</v>
      </c>
      <c r="AB32" s="123">
        <v>1000</v>
      </c>
      <c r="AC32" s="123">
        <v>1000</v>
      </c>
      <c r="AD32" s="123">
        <v>1000</v>
      </c>
      <c r="AE32" s="123">
        <v>1000</v>
      </c>
      <c r="AF32" s="123">
        <v>1000</v>
      </c>
      <c r="AG32" s="123"/>
      <c r="AH32" s="111">
        <v>2035</v>
      </c>
      <c r="AI32" s="602"/>
      <c r="AJ32" s="601">
        <v>989</v>
      </c>
      <c r="AK32" s="601" t="s">
        <v>918</v>
      </c>
    </row>
    <row r="33" spans="2:39" s="601" customFormat="1" outlineLevel="1">
      <c r="B33" s="21" t="s">
        <v>1116</v>
      </c>
      <c r="C33" s="602"/>
      <c r="D33" s="602"/>
      <c r="E33" s="602"/>
      <c r="F33" s="602"/>
      <c r="G33" s="602"/>
      <c r="H33" s="602"/>
      <c r="I33" s="602"/>
      <c r="J33" s="602"/>
      <c r="K33" s="602"/>
      <c r="L33" s="602"/>
      <c r="M33" s="602"/>
      <c r="N33" s="602"/>
      <c r="O33" s="679"/>
      <c r="P33" s="123"/>
      <c r="Q33" s="679">
        <v>2212</v>
      </c>
      <c r="R33" s="679">
        <v>2214</v>
      </c>
      <c r="S33" s="679">
        <v>2215</v>
      </c>
      <c r="T33" s="123">
        <v>2250</v>
      </c>
      <c r="U33" s="123">
        <v>2250</v>
      </c>
      <c r="V33" s="123">
        <v>2250</v>
      </c>
      <c r="W33" s="123">
        <v>2250</v>
      </c>
      <c r="X33" s="123">
        <v>2250</v>
      </c>
      <c r="Y33" s="123">
        <v>2250</v>
      </c>
      <c r="Z33" s="123">
        <v>2250</v>
      </c>
      <c r="AA33" s="123">
        <v>2250</v>
      </c>
      <c r="AB33" s="123">
        <v>2250</v>
      </c>
      <c r="AC33" s="123">
        <v>2250</v>
      </c>
      <c r="AD33" s="123">
        <v>2250</v>
      </c>
      <c r="AE33" s="123">
        <v>2250</v>
      </c>
      <c r="AF33" s="123">
        <v>2250</v>
      </c>
      <c r="AG33" s="123"/>
      <c r="AH33" s="111">
        <v>2046</v>
      </c>
      <c r="AI33" s="602"/>
      <c r="AJ33" s="601">
        <v>739</v>
      </c>
      <c r="AK33" s="601" t="s">
        <v>918</v>
      </c>
    </row>
    <row r="34" spans="2:39" s="601" customFormat="1" outlineLevel="1">
      <c r="B34" s="21" t="s">
        <v>926</v>
      </c>
      <c r="C34" s="602"/>
      <c r="D34" s="602"/>
      <c r="E34" s="602"/>
      <c r="F34" s="602"/>
      <c r="G34" s="602"/>
      <c r="H34" s="602"/>
      <c r="I34" s="602"/>
      <c r="J34" s="602"/>
      <c r="K34" s="602"/>
      <c r="L34" s="602"/>
      <c r="M34" s="602"/>
      <c r="N34" s="602"/>
      <c r="O34" s="679"/>
      <c r="P34" s="123"/>
      <c r="Q34" s="679"/>
      <c r="R34" s="679">
        <v>497</v>
      </c>
      <c r="S34" s="679">
        <v>497</v>
      </c>
      <c r="T34" s="123">
        <f t="shared" ref="T34:W34" si="12">S34</f>
        <v>497</v>
      </c>
      <c r="U34" s="123">
        <f t="shared" si="12"/>
        <v>497</v>
      </c>
      <c r="V34" s="123">
        <f t="shared" si="12"/>
        <v>497</v>
      </c>
      <c r="W34" s="123">
        <f t="shared" si="12"/>
        <v>497</v>
      </c>
      <c r="X34" s="123"/>
      <c r="Y34" s="123"/>
      <c r="Z34" s="123"/>
      <c r="AA34" s="123"/>
      <c r="AB34" s="123"/>
      <c r="AC34" s="123"/>
      <c r="AD34" s="123"/>
      <c r="AE34" s="123"/>
      <c r="AF34" s="123"/>
      <c r="AG34" s="123"/>
      <c r="AH34" s="111">
        <v>2022</v>
      </c>
      <c r="AI34" s="602"/>
      <c r="AJ34" s="601">
        <v>995</v>
      </c>
      <c r="AK34" s="601" t="s">
        <v>918</v>
      </c>
    </row>
    <row r="35" spans="2:39" s="601" customFormat="1" outlineLevel="1">
      <c r="B35" s="21" t="s">
        <v>927</v>
      </c>
      <c r="C35" s="602"/>
      <c r="D35" s="602"/>
      <c r="E35" s="602"/>
      <c r="F35" s="602"/>
      <c r="G35" s="602"/>
      <c r="H35" s="602"/>
      <c r="I35" s="602"/>
      <c r="J35" s="602"/>
      <c r="K35" s="602"/>
      <c r="L35" s="602"/>
      <c r="M35" s="602"/>
      <c r="N35" s="602"/>
      <c r="O35" s="679"/>
      <c r="P35" s="123"/>
      <c r="Q35" s="679"/>
      <c r="R35" s="679">
        <v>744</v>
      </c>
      <c r="S35" s="679">
        <v>745</v>
      </c>
      <c r="T35" s="123">
        <f t="shared" ref="T35:X35" si="13">S35</f>
        <v>745</v>
      </c>
      <c r="U35" s="123">
        <f t="shared" si="13"/>
        <v>745</v>
      </c>
      <c r="V35" s="123">
        <f t="shared" si="13"/>
        <v>745</v>
      </c>
      <c r="W35" s="123">
        <f t="shared" si="13"/>
        <v>745</v>
      </c>
      <c r="X35" s="123">
        <f t="shared" si="13"/>
        <v>745</v>
      </c>
      <c r="Y35" s="123"/>
      <c r="Z35" s="123"/>
      <c r="AA35" s="123"/>
      <c r="AB35" s="123"/>
      <c r="AC35" s="123"/>
      <c r="AD35" s="123"/>
      <c r="AE35" s="123"/>
      <c r="AF35" s="123"/>
      <c r="AG35" s="123"/>
      <c r="AH35" s="111">
        <v>2023</v>
      </c>
      <c r="AI35" s="602"/>
      <c r="AJ35" s="601">
        <v>1732</v>
      </c>
      <c r="AK35" s="601" t="s">
        <v>918</v>
      </c>
    </row>
    <row r="36" spans="2:39" s="601" customFormat="1" outlineLevel="1">
      <c r="B36" s="21" t="s">
        <v>1115</v>
      </c>
      <c r="C36" s="602"/>
      <c r="D36" s="602"/>
      <c r="E36" s="602"/>
      <c r="F36" s="602"/>
      <c r="G36" s="602"/>
      <c r="H36" s="602"/>
      <c r="I36" s="602"/>
      <c r="J36" s="602"/>
      <c r="K36" s="602"/>
      <c r="L36" s="602"/>
      <c r="M36" s="602"/>
      <c r="N36" s="602"/>
      <c r="O36" s="679"/>
      <c r="P36" s="123"/>
      <c r="Q36" s="679"/>
      <c r="R36" s="679">
        <v>1243</v>
      </c>
      <c r="S36" s="679">
        <v>1244</v>
      </c>
      <c r="T36" s="123">
        <f t="shared" ref="T36:AB36" si="14">S36</f>
        <v>1244</v>
      </c>
      <c r="U36" s="123">
        <f t="shared" si="14"/>
        <v>1244</v>
      </c>
      <c r="V36" s="123">
        <f t="shared" si="14"/>
        <v>1244</v>
      </c>
      <c r="W36" s="123">
        <f t="shared" si="14"/>
        <v>1244</v>
      </c>
      <c r="X36" s="123">
        <f t="shared" si="14"/>
        <v>1244</v>
      </c>
      <c r="Y36" s="123">
        <f t="shared" si="14"/>
        <v>1244</v>
      </c>
      <c r="Z36" s="123">
        <f t="shared" si="14"/>
        <v>1244</v>
      </c>
      <c r="AA36" s="123">
        <f t="shared" si="14"/>
        <v>1244</v>
      </c>
      <c r="AB36" s="123">
        <f t="shared" si="14"/>
        <v>1244</v>
      </c>
      <c r="AC36" s="123"/>
      <c r="AD36" s="123"/>
      <c r="AE36" s="123"/>
      <c r="AF36" s="123"/>
      <c r="AG36" s="123"/>
      <c r="AH36" s="111">
        <v>2027</v>
      </c>
      <c r="AI36" s="602"/>
      <c r="AJ36" s="601">
        <v>1729</v>
      </c>
      <c r="AK36" s="601" t="s">
        <v>918</v>
      </c>
    </row>
    <row r="37" spans="2:39" s="601" customFormat="1" outlineLevel="1">
      <c r="B37" s="21" t="s">
        <v>929</v>
      </c>
      <c r="C37" s="602"/>
      <c r="D37" s="602"/>
      <c r="E37" s="602"/>
      <c r="F37" s="602"/>
      <c r="G37" s="602"/>
      <c r="H37" s="602"/>
      <c r="I37" s="602"/>
      <c r="J37" s="602"/>
      <c r="K37" s="602"/>
      <c r="L37" s="602"/>
      <c r="M37" s="602"/>
      <c r="N37" s="602"/>
      <c r="O37" s="679"/>
      <c r="P37" s="123"/>
      <c r="Q37" s="679"/>
      <c r="R37" s="679">
        <v>739</v>
      </c>
      <c r="S37" s="679">
        <v>740</v>
      </c>
      <c r="T37" s="123">
        <f t="shared" ref="T37:AF37" si="15">S37</f>
        <v>740</v>
      </c>
      <c r="U37" s="123">
        <f t="shared" si="15"/>
        <v>740</v>
      </c>
      <c r="V37" s="123">
        <f t="shared" si="15"/>
        <v>740</v>
      </c>
      <c r="W37" s="123">
        <f t="shared" si="15"/>
        <v>740</v>
      </c>
      <c r="X37" s="123">
        <f t="shared" si="15"/>
        <v>740</v>
      </c>
      <c r="Y37" s="123">
        <f t="shared" si="15"/>
        <v>740</v>
      </c>
      <c r="Z37" s="123">
        <f t="shared" si="15"/>
        <v>740</v>
      </c>
      <c r="AA37" s="123">
        <f t="shared" si="15"/>
        <v>740</v>
      </c>
      <c r="AB37" s="123">
        <f t="shared" si="15"/>
        <v>740</v>
      </c>
      <c r="AC37" s="123">
        <f t="shared" si="15"/>
        <v>740</v>
      </c>
      <c r="AD37" s="123">
        <f t="shared" si="15"/>
        <v>740</v>
      </c>
      <c r="AE37" s="123">
        <f t="shared" si="15"/>
        <v>740</v>
      </c>
      <c r="AF37" s="123">
        <f t="shared" si="15"/>
        <v>740</v>
      </c>
      <c r="AG37" s="123"/>
      <c r="AH37" s="111"/>
      <c r="AI37" s="602"/>
      <c r="AJ37" s="601">
        <v>2214</v>
      </c>
      <c r="AK37" s="601" t="s">
        <v>918</v>
      </c>
    </row>
    <row r="38" spans="2:39" s="601" customFormat="1" outlineLevel="1">
      <c r="B38" s="21" t="s">
        <v>1117</v>
      </c>
      <c r="C38" s="602"/>
      <c r="D38" s="602"/>
      <c r="E38" s="602"/>
      <c r="F38" s="602"/>
      <c r="G38" s="602"/>
      <c r="H38" s="602"/>
      <c r="I38" s="602"/>
      <c r="J38" s="602"/>
      <c r="K38" s="602"/>
      <c r="L38" s="602"/>
      <c r="M38" s="602"/>
      <c r="N38" s="602"/>
      <c r="O38" s="679"/>
      <c r="P38" s="123"/>
      <c r="Q38" s="679"/>
      <c r="R38" s="679">
        <v>1723</v>
      </c>
      <c r="S38" s="679">
        <v>1723</v>
      </c>
      <c r="T38" s="123">
        <f t="shared" ref="T38:AF39" si="16">S38</f>
        <v>1723</v>
      </c>
      <c r="U38" s="123">
        <f t="shared" si="16"/>
        <v>1723</v>
      </c>
      <c r="V38" s="123">
        <f t="shared" si="16"/>
        <v>1723</v>
      </c>
      <c r="W38" s="123">
        <f t="shared" si="16"/>
        <v>1723</v>
      </c>
      <c r="X38" s="123">
        <f t="shared" si="16"/>
        <v>1723</v>
      </c>
      <c r="Y38" s="123">
        <f t="shared" si="16"/>
        <v>1723</v>
      </c>
      <c r="Z38" s="123">
        <f t="shared" si="16"/>
        <v>1723</v>
      </c>
      <c r="AA38" s="123">
        <f t="shared" si="16"/>
        <v>1723</v>
      </c>
      <c r="AB38" s="123">
        <f t="shared" si="16"/>
        <v>1723</v>
      </c>
      <c r="AC38" s="123">
        <f t="shared" si="16"/>
        <v>1723</v>
      </c>
      <c r="AD38" s="123">
        <f t="shared" si="16"/>
        <v>1723</v>
      </c>
      <c r="AE38" s="123">
        <f t="shared" si="16"/>
        <v>1723</v>
      </c>
      <c r="AF38" s="123">
        <f t="shared" si="16"/>
        <v>1723</v>
      </c>
      <c r="AG38" s="123"/>
      <c r="AH38" s="111"/>
      <c r="AI38" s="602"/>
      <c r="AJ38" s="601">
        <v>1723</v>
      </c>
    </row>
    <row r="39" spans="2:39" s="601" customFormat="1" outlineLevel="1">
      <c r="B39" s="21" t="s">
        <v>1103</v>
      </c>
      <c r="C39" s="602"/>
      <c r="D39" s="602"/>
      <c r="E39" s="602"/>
      <c r="F39" s="602"/>
      <c r="G39" s="602"/>
      <c r="H39" s="602"/>
      <c r="I39" s="602"/>
      <c r="J39" s="602"/>
      <c r="K39" s="602"/>
      <c r="L39" s="602"/>
      <c r="M39" s="602"/>
      <c r="N39" s="602"/>
      <c r="O39" s="679"/>
      <c r="P39" s="123"/>
      <c r="Q39" s="679"/>
      <c r="R39" s="679"/>
      <c r="S39" s="123">
        <v>0</v>
      </c>
      <c r="T39" s="123">
        <f t="shared" si="16"/>
        <v>0</v>
      </c>
      <c r="U39" s="123"/>
      <c r="V39" s="123"/>
      <c r="W39" s="123"/>
      <c r="X39" s="123"/>
      <c r="Y39" s="123"/>
      <c r="Z39" s="123"/>
      <c r="AA39" s="123"/>
      <c r="AB39" s="123"/>
      <c r="AC39" s="123"/>
      <c r="AD39" s="123"/>
      <c r="AE39" s="123"/>
      <c r="AF39" s="123"/>
      <c r="AG39" s="123"/>
      <c r="AH39" s="111"/>
      <c r="AI39" s="602"/>
    </row>
    <row r="40" spans="2:39" s="601" customFormat="1" outlineLevel="1">
      <c r="B40" s="21"/>
      <c r="C40" s="602"/>
      <c r="D40" s="602"/>
      <c r="E40" s="602"/>
      <c r="F40" s="602"/>
      <c r="G40" s="602"/>
      <c r="H40" s="602"/>
      <c r="I40" s="602"/>
      <c r="J40" s="602"/>
      <c r="K40" s="602"/>
      <c r="L40" s="602"/>
      <c r="M40" s="602"/>
      <c r="N40" s="602"/>
      <c r="O40" s="679"/>
      <c r="P40" s="123"/>
      <c r="Q40" s="679"/>
      <c r="R40" s="679"/>
      <c r="S40" s="123"/>
      <c r="T40" s="123"/>
      <c r="U40" s="123"/>
      <c r="V40" s="123"/>
      <c r="W40" s="123"/>
      <c r="X40" s="123"/>
      <c r="Y40" s="123"/>
      <c r="Z40" s="123"/>
      <c r="AA40" s="123"/>
      <c r="AB40" s="123"/>
      <c r="AC40" s="123"/>
      <c r="AD40" s="123"/>
      <c r="AE40" s="123"/>
      <c r="AF40" s="123"/>
      <c r="AG40" s="123"/>
      <c r="AH40" s="111"/>
      <c r="AI40" s="602"/>
      <c r="AJ40" s="601">
        <v>311</v>
      </c>
    </row>
    <row r="41" spans="2:39" s="601" customFormat="1" outlineLevel="1">
      <c r="B41" s="21"/>
      <c r="C41" s="602"/>
      <c r="D41" s="602"/>
      <c r="E41" s="602"/>
      <c r="F41" s="602"/>
      <c r="G41" s="602"/>
      <c r="H41" s="602"/>
      <c r="I41" s="602"/>
      <c r="J41" s="602"/>
      <c r="K41" s="602"/>
      <c r="L41" s="602"/>
      <c r="M41" s="602"/>
      <c r="N41" s="602"/>
      <c r="O41" s="679"/>
      <c r="P41" s="123"/>
      <c r="Q41" s="679"/>
      <c r="R41" s="123"/>
      <c r="S41" s="123"/>
      <c r="T41" s="123"/>
      <c r="U41" s="123"/>
      <c r="V41" s="123"/>
      <c r="W41" s="123"/>
      <c r="X41" s="123"/>
      <c r="Y41" s="123"/>
      <c r="Z41" s="123"/>
      <c r="AA41" s="123"/>
      <c r="AB41" s="123"/>
      <c r="AC41" s="123"/>
      <c r="AD41" s="123"/>
      <c r="AE41" s="123"/>
      <c r="AF41" s="123"/>
      <c r="AG41" s="123"/>
      <c r="AH41" s="111"/>
      <c r="AI41" s="602"/>
      <c r="AJ41" s="601">
        <f>SUM(AJ15:AJ40)</f>
        <v>26346</v>
      </c>
      <c r="AL41" s="749">
        <f>SUM(R15:R41)</f>
        <v>26035</v>
      </c>
      <c r="AM41" s="749">
        <f>AJ41-AL41</f>
        <v>311</v>
      </c>
    </row>
    <row r="42" spans="2:39" outlineLevel="1">
      <c r="B42" s="21" t="s">
        <v>469</v>
      </c>
      <c r="C42" s="123">
        <f>(1.492+0.389+250)-C4-C5-C6-C7-C8-C9-C43</f>
        <v>1.8810000000000002</v>
      </c>
      <c r="D42" s="123">
        <f>(0.194+0.273+345+250)-D4-D5-D6-D7-D8-D9-D43</f>
        <v>0.46699999999998454</v>
      </c>
      <c r="E42" s="123">
        <f>(0.139+0.323+345)-E4-E5-E6-E7-E8-E9-E43</f>
        <v>0.46199999999998909</v>
      </c>
      <c r="F42" s="123">
        <f>(0.181+0.234)-F4-F5-F6-F7-F8-F9-F43</f>
        <v>0.41500000000000004</v>
      </c>
      <c r="G42" s="123">
        <f>(60.206+240.65)-G4-G5-G6-G7-G8-G9-G43</f>
        <v>300.85599999999999</v>
      </c>
      <c r="H42" s="123">
        <f>(18.747+1300+91.847)-H4-H5-H6-H7-H8-H9-H43</f>
        <v>110.59400000000005</v>
      </c>
      <c r="I42" s="123">
        <f>(0.286+1300+11.604)-I4-I5-I6-I7-I8-I9-I43</f>
        <v>10.3900000000001</v>
      </c>
      <c r="J42" s="123">
        <f>(5.631+1098.025+21.462)-J4-J5-J6-J7-J8-J9-J43</f>
        <v>23.393000000000075</v>
      </c>
      <c r="K42" s="123">
        <f>(5.587+1155.443+35.918)-K4-K5-K6-K7-K8-K9-K43</f>
        <v>37.4819999999999</v>
      </c>
      <c r="L42" s="123">
        <f>(646.345+2838.573+27.401)-L4-L5-L6-L7-L8-L9-L43</f>
        <v>29.754999999999427</v>
      </c>
      <c r="M42" s="123">
        <f>(1.572+7605.734+147.736)-SUM(M4:M24)</f>
        <v>149.30799999999999</v>
      </c>
      <c r="N42" s="123">
        <f>(7054.555+1169.49+228.04)-SUM(N4:N24,N43)</f>
        <v>228.09700000000157</v>
      </c>
      <c r="O42" s="679">
        <v>303.83800000000002</v>
      </c>
      <c r="P42" s="679">
        <v>601</v>
      </c>
      <c r="Q42" s="679">
        <f>122+397</f>
        <v>519</v>
      </c>
      <c r="R42" s="679">
        <f>311+BS!R32</f>
        <v>607</v>
      </c>
      <c r="S42" s="679">
        <f>BS!S32</f>
        <v>558</v>
      </c>
      <c r="T42" s="123">
        <f t="shared" ref="T42:V43" si="17">+S42+T97</f>
        <v>558</v>
      </c>
      <c r="U42" s="123">
        <f t="shared" si="17"/>
        <v>558</v>
      </c>
      <c r="V42" s="123">
        <f t="shared" si="17"/>
        <v>558</v>
      </c>
      <c r="W42" s="123">
        <f t="shared" ref="W42:AF42" si="18">+V42+W97</f>
        <v>558</v>
      </c>
      <c r="X42" s="123">
        <f t="shared" si="18"/>
        <v>558</v>
      </c>
      <c r="Y42" s="123">
        <f t="shared" si="18"/>
        <v>558</v>
      </c>
      <c r="Z42" s="123">
        <f t="shared" si="18"/>
        <v>558</v>
      </c>
      <c r="AA42" s="123">
        <f t="shared" si="18"/>
        <v>558</v>
      </c>
      <c r="AB42" s="123">
        <f t="shared" si="18"/>
        <v>558</v>
      </c>
      <c r="AC42" s="123">
        <f t="shared" si="18"/>
        <v>558</v>
      </c>
      <c r="AD42" s="123">
        <f t="shared" si="18"/>
        <v>558</v>
      </c>
      <c r="AE42" s="123">
        <f t="shared" si="18"/>
        <v>558</v>
      </c>
      <c r="AF42" s="123">
        <f t="shared" si="18"/>
        <v>558</v>
      </c>
      <c r="AG42" s="123"/>
      <c r="AH42" s="111"/>
      <c r="AI42" s="123"/>
    </row>
    <row r="43" spans="2:39" outlineLevel="1">
      <c r="B43" s="21" t="s">
        <v>470</v>
      </c>
      <c r="C43" s="123"/>
      <c r="D43" s="123"/>
      <c r="E43" s="123"/>
      <c r="F43" s="123"/>
      <c r="G43" s="123"/>
      <c r="H43" s="123"/>
      <c r="I43" s="123">
        <v>1.5</v>
      </c>
      <c r="J43" s="123">
        <v>3.7</v>
      </c>
      <c r="K43" s="123">
        <v>4.2</v>
      </c>
      <c r="L43" s="123">
        <v>5</v>
      </c>
      <c r="M43" s="123"/>
      <c r="N43" s="123">
        <v>750</v>
      </c>
      <c r="O43" s="679">
        <v>600</v>
      </c>
      <c r="P43" s="679">
        <v>0</v>
      </c>
      <c r="Q43" s="679">
        <v>0</v>
      </c>
      <c r="R43" s="679">
        <v>0</v>
      </c>
      <c r="S43" s="679">
        <v>0</v>
      </c>
      <c r="T43" s="123">
        <f t="shared" si="17"/>
        <v>0</v>
      </c>
      <c r="U43" s="123">
        <f t="shared" si="17"/>
        <v>0</v>
      </c>
      <c r="V43" s="123">
        <f t="shared" si="17"/>
        <v>0</v>
      </c>
      <c r="W43" s="123">
        <f t="shared" ref="W43:AF43" si="19">+V43+W98</f>
        <v>0</v>
      </c>
      <c r="X43" s="123">
        <f t="shared" si="19"/>
        <v>0</v>
      </c>
      <c r="Y43" s="123">
        <f>+X43+Y98</f>
        <v>0</v>
      </c>
      <c r="Z43" s="123">
        <f t="shared" si="19"/>
        <v>0</v>
      </c>
      <c r="AA43" s="123">
        <f t="shared" si="19"/>
        <v>0</v>
      </c>
      <c r="AB43" s="123">
        <f t="shared" si="19"/>
        <v>0</v>
      </c>
      <c r="AC43" s="123">
        <f t="shared" si="19"/>
        <v>0</v>
      </c>
      <c r="AD43" s="123">
        <f t="shared" si="19"/>
        <v>0</v>
      </c>
      <c r="AE43" s="123">
        <f t="shared" si="19"/>
        <v>0</v>
      </c>
      <c r="AF43" s="123">
        <f t="shared" si="19"/>
        <v>0</v>
      </c>
      <c r="AG43" s="123"/>
      <c r="AH43" s="111">
        <v>2013</v>
      </c>
      <c r="AI43" s="123"/>
    </row>
    <row r="44" spans="2:39">
      <c r="B44" s="21"/>
      <c r="C44" s="123"/>
      <c r="D44" s="123"/>
      <c r="E44" s="123"/>
      <c r="F44" s="123"/>
      <c r="G44" s="123"/>
      <c r="H44" s="123"/>
      <c r="I44" s="123"/>
      <c r="J44" s="123"/>
      <c r="K44" s="123"/>
      <c r="L44" s="123"/>
      <c r="M44" s="123"/>
      <c r="N44" s="123"/>
      <c r="O44" s="679"/>
      <c r="P44" s="123"/>
      <c r="Q44" s="123"/>
      <c r="R44" s="123"/>
      <c r="S44" s="123"/>
      <c r="T44" s="123"/>
      <c r="U44" s="123"/>
      <c r="V44" s="123"/>
      <c r="W44" s="123"/>
      <c r="X44" s="123"/>
      <c r="Y44" s="123"/>
      <c r="Z44" s="123"/>
      <c r="AA44" s="123"/>
      <c r="AB44" s="123"/>
      <c r="AC44" s="123"/>
      <c r="AD44" s="123"/>
      <c r="AE44" s="123"/>
      <c r="AF44" s="123"/>
      <c r="AG44" s="123"/>
      <c r="AH44" s="123"/>
      <c r="AI44" s="123"/>
    </row>
    <row r="45" spans="2:39">
      <c r="B45" s="9" t="s">
        <v>471</v>
      </c>
      <c r="C45" s="156">
        <f t="shared" ref="C45:V45" si="20">SUM(C4:C43)</f>
        <v>251.881</v>
      </c>
      <c r="D45" s="156">
        <f t="shared" si="20"/>
        <v>595.46699999999998</v>
      </c>
      <c r="E45" s="156">
        <f t="shared" si="20"/>
        <v>345.46199999999999</v>
      </c>
      <c r="F45" s="156">
        <f t="shared" si="20"/>
        <v>0.41500000000000004</v>
      </c>
      <c r="G45" s="156">
        <f t="shared" si="20"/>
        <v>300.85599999999999</v>
      </c>
      <c r="H45" s="156">
        <f t="shared" si="20"/>
        <v>1410.5940000000001</v>
      </c>
      <c r="I45" s="156">
        <f t="shared" si="20"/>
        <v>1311.89</v>
      </c>
      <c r="J45" s="156">
        <f t="shared" si="20"/>
        <v>1125.1180000000002</v>
      </c>
      <c r="K45" s="156">
        <f t="shared" si="20"/>
        <v>1196.9480000000001</v>
      </c>
      <c r="L45" s="156">
        <f t="shared" si="20"/>
        <v>3512.3189999999995</v>
      </c>
      <c r="M45" s="156">
        <f t="shared" si="20"/>
        <v>7755.0420000000004</v>
      </c>
      <c r="N45" s="156">
        <f t="shared" si="20"/>
        <v>8452.0850000000009</v>
      </c>
      <c r="O45" s="156">
        <f t="shared" si="20"/>
        <v>6939.5159999999996</v>
      </c>
      <c r="P45" s="156">
        <f>SUM(P4:P43)</f>
        <v>13005</v>
      </c>
      <c r="Q45" s="156">
        <f t="shared" si="20"/>
        <v>22575</v>
      </c>
      <c r="R45" s="156">
        <f t="shared" si="20"/>
        <v>26642</v>
      </c>
      <c r="S45" s="156">
        <f t="shared" si="20"/>
        <v>34100</v>
      </c>
      <c r="T45" s="156">
        <f t="shared" si="20"/>
        <v>31456</v>
      </c>
      <c r="U45" s="156">
        <f t="shared" si="20"/>
        <v>28713</v>
      </c>
      <c r="V45" s="156">
        <f t="shared" si="20"/>
        <v>25215</v>
      </c>
      <c r="W45" s="156">
        <f t="shared" ref="W45:AF45" si="21">SUM(W4:W43)</f>
        <v>22974</v>
      </c>
      <c r="X45" s="156">
        <f t="shared" si="21"/>
        <v>18980</v>
      </c>
      <c r="Y45" s="156">
        <f>SUM(Y4:Y43)</f>
        <v>18235</v>
      </c>
      <c r="Z45" s="156">
        <f t="shared" si="21"/>
        <v>16493</v>
      </c>
      <c r="AA45" s="156">
        <f t="shared" si="21"/>
        <v>14743</v>
      </c>
      <c r="AB45" s="156">
        <f t="shared" si="21"/>
        <v>11993</v>
      </c>
      <c r="AC45" s="156">
        <f t="shared" si="21"/>
        <v>10749</v>
      </c>
      <c r="AD45" s="156">
        <f t="shared" si="21"/>
        <v>10749</v>
      </c>
      <c r="AE45" s="156">
        <f t="shared" si="21"/>
        <v>10749</v>
      </c>
      <c r="AF45" s="156">
        <f t="shared" si="21"/>
        <v>10749</v>
      </c>
      <c r="AG45" s="156"/>
      <c r="AH45" s="156"/>
      <c r="AI45" s="156"/>
    </row>
    <row r="46" spans="2:39">
      <c r="B46" s="9" t="s">
        <v>472</v>
      </c>
      <c r="C46" s="156">
        <f>BS!C26+BS!C30+BS!C32</f>
        <v>251.881</v>
      </c>
      <c r="D46" s="156">
        <f>BS!D26+BS!D30+BS!D32</f>
        <v>595.46699999999998</v>
      </c>
      <c r="E46" s="156">
        <f>BS!E26+BS!E30+BS!E32</f>
        <v>345.46199999999999</v>
      </c>
      <c r="F46" s="156">
        <f>BS!F26+BS!F30+BS!F32</f>
        <v>0.41500000000000004</v>
      </c>
      <c r="G46" s="156">
        <f>BS!G26+BS!G30+BS!G32</f>
        <v>300.85599999999999</v>
      </c>
      <c r="H46" s="156">
        <f>BS!H26+BS!H30+BS!H32</f>
        <v>1410.5940000000001</v>
      </c>
      <c r="I46" s="156">
        <f>BS!I26+BS!I30+BS!I32</f>
        <v>1311.89</v>
      </c>
      <c r="J46" s="156">
        <f>BS!J26+BS!J30+BS!J32</f>
        <v>1125.1180000000002</v>
      </c>
      <c r="K46" s="156">
        <f>BS!K26+BS!K30+BS!K32</f>
        <v>1196.9479999999999</v>
      </c>
      <c r="L46" s="156">
        <f>BS!L26+BS!L30+BS!L32</f>
        <v>3512.3189999999995</v>
      </c>
      <c r="M46" s="156">
        <f>BS!M26+BS!M30+BS!M32</f>
        <v>7755.0420000000004</v>
      </c>
      <c r="N46" s="156">
        <f>BS!N26+BS!N30+BS!N32</f>
        <v>8452.0850000000009</v>
      </c>
      <c r="O46" s="156">
        <f>BS!O26+BS!O30+BS!O32</f>
        <v>6939.5160000000005</v>
      </c>
      <c r="P46" s="156">
        <f>BS!P26+BS!P30+BS!P32</f>
        <v>13005</v>
      </c>
      <c r="Q46" s="156">
        <f>BS!Q26+BS!Q30+BS!Q32</f>
        <v>22575</v>
      </c>
      <c r="R46" s="156">
        <f>BS!R26+BS!R30+BS!R32</f>
        <v>26642</v>
      </c>
      <c r="S46" s="156">
        <f>BS!S26+BS!S30+BS!S32</f>
        <v>34100</v>
      </c>
      <c r="T46" s="156">
        <f>BS!T26+BS!T30+BS!T32</f>
        <v>31456</v>
      </c>
      <c r="U46" s="156">
        <f>BS!U26+BS!U30+BS!U32</f>
        <v>28713</v>
      </c>
      <c r="V46" s="156">
        <f>BS!V26+BS!V30+BS!V32</f>
        <v>25215</v>
      </c>
      <c r="W46" s="156">
        <f>BS!W26+BS!W30+BS!W32</f>
        <v>22974</v>
      </c>
      <c r="X46" s="156">
        <f>BS!X26+BS!X30+BS!X32</f>
        <v>18980</v>
      </c>
      <c r="Y46" s="156">
        <f>BS!Y26+BS!Y30+BS!Y32</f>
        <v>18235</v>
      </c>
      <c r="Z46" s="156">
        <f>BS!Z26+BS!Z30+BS!Z32</f>
        <v>16493</v>
      </c>
      <c r="AA46" s="156">
        <f>BS!AA26+BS!AA30+BS!AA32</f>
        <v>14743</v>
      </c>
      <c r="AB46" s="156">
        <f>BS!AB26+BS!AB30+BS!AB32</f>
        <v>11993</v>
      </c>
      <c r="AC46" s="156">
        <f>BS!AC26+BS!AC30+BS!AC32</f>
        <v>10749</v>
      </c>
      <c r="AD46" s="156">
        <f>BS!AD26+BS!AD30+BS!AD32</f>
        <v>10749</v>
      </c>
      <c r="AE46" s="156">
        <f>BS!AE26+BS!AE30+BS!AE32</f>
        <v>10749</v>
      </c>
      <c r="AF46" s="156">
        <f>BS!AF26+BS!AF30+BS!AF32</f>
        <v>10749</v>
      </c>
      <c r="AG46" s="156"/>
      <c r="AH46" s="156"/>
      <c r="AI46" s="156"/>
    </row>
    <row r="47" spans="2:39" outlineLevel="1">
      <c r="B47" s="21" t="s">
        <v>415</v>
      </c>
      <c r="C47" s="63">
        <f>C46-C45</f>
        <v>0</v>
      </c>
      <c r="D47" s="63">
        <f t="shared" ref="D47:U47" si="22">D46-D45</f>
        <v>0</v>
      </c>
      <c r="E47" s="63">
        <f t="shared" si="22"/>
        <v>0</v>
      </c>
      <c r="F47" s="63">
        <f t="shared" si="22"/>
        <v>0</v>
      </c>
      <c r="G47" s="63">
        <f t="shared" si="22"/>
        <v>0</v>
      </c>
      <c r="H47" s="63">
        <f t="shared" si="22"/>
        <v>0</v>
      </c>
      <c r="I47" s="63">
        <f t="shared" si="22"/>
        <v>0</v>
      </c>
      <c r="J47" s="63">
        <f t="shared" si="22"/>
        <v>0</v>
      </c>
      <c r="K47" s="63">
        <f t="shared" si="22"/>
        <v>0</v>
      </c>
      <c r="L47" s="63">
        <f t="shared" si="22"/>
        <v>0</v>
      </c>
      <c r="M47" s="63">
        <f t="shared" si="22"/>
        <v>0</v>
      </c>
      <c r="N47" s="63">
        <f t="shared" si="22"/>
        <v>0</v>
      </c>
      <c r="O47" s="558">
        <f t="shared" si="22"/>
        <v>0</v>
      </c>
      <c r="P47" s="63">
        <f t="shared" si="22"/>
        <v>0</v>
      </c>
      <c r="Q47" s="139">
        <f>Q46-Q45</f>
        <v>0</v>
      </c>
      <c r="R47" s="139">
        <f t="shared" si="22"/>
        <v>0</v>
      </c>
      <c r="S47" s="139">
        <f t="shared" si="22"/>
        <v>0</v>
      </c>
      <c r="T47" s="139">
        <f t="shared" si="22"/>
        <v>0</v>
      </c>
      <c r="U47" s="139">
        <f t="shared" si="22"/>
        <v>0</v>
      </c>
      <c r="V47" s="139">
        <f>V46-V45</f>
        <v>0</v>
      </c>
      <c r="W47" s="139">
        <f t="shared" ref="W47:AF47" si="23">W46-W45</f>
        <v>0</v>
      </c>
      <c r="X47" s="139">
        <f t="shared" si="23"/>
        <v>0</v>
      </c>
      <c r="Y47" s="139">
        <f t="shared" si="23"/>
        <v>0</v>
      </c>
      <c r="Z47" s="139">
        <f t="shared" si="23"/>
        <v>0</v>
      </c>
      <c r="AA47" s="139">
        <f t="shared" si="23"/>
        <v>0</v>
      </c>
      <c r="AB47" s="139">
        <f t="shared" si="23"/>
        <v>0</v>
      </c>
      <c r="AC47" s="139">
        <f t="shared" si="23"/>
        <v>0</v>
      </c>
      <c r="AD47" s="139">
        <f t="shared" si="23"/>
        <v>0</v>
      </c>
      <c r="AE47" s="139">
        <f t="shared" si="23"/>
        <v>0</v>
      </c>
      <c r="AF47" s="139">
        <f t="shared" si="23"/>
        <v>0</v>
      </c>
      <c r="AG47" s="63"/>
      <c r="AH47" s="63"/>
      <c r="AI47" s="63"/>
    </row>
    <row r="48" spans="2:39">
      <c r="B48" s="21"/>
      <c r="C48" s="63"/>
      <c r="D48" s="63"/>
      <c r="E48" s="63"/>
      <c r="F48" s="63"/>
      <c r="G48" s="63"/>
      <c r="H48" s="63"/>
      <c r="I48" s="63"/>
      <c r="J48" s="63"/>
      <c r="K48" s="63"/>
      <c r="L48" s="63"/>
      <c r="M48" s="63"/>
      <c r="N48" s="63"/>
      <c r="O48" s="63"/>
      <c r="P48" s="63"/>
      <c r="Q48" s="63"/>
      <c r="R48" s="63"/>
      <c r="S48" s="63"/>
      <c r="T48" s="63"/>
      <c r="U48" s="63"/>
      <c r="V48" s="63"/>
      <c r="W48" s="63"/>
      <c r="X48" s="63"/>
      <c r="Y48" s="63"/>
      <c r="Z48" s="63"/>
      <c r="AA48" s="63"/>
      <c r="AB48" s="63"/>
      <c r="AC48" s="63"/>
      <c r="AD48" s="63"/>
      <c r="AE48" s="63"/>
      <c r="AF48" s="63"/>
      <c r="AG48" s="63"/>
      <c r="AH48" s="63"/>
      <c r="AI48" s="63"/>
    </row>
    <row r="49" spans="2:35">
      <c r="B49" s="21" t="s">
        <v>115</v>
      </c>
      <c r="L49" s="28">
        <f>IS!AV110-IS!AV35</f>
        <v>4470.6710000000003</v>
      </c>
      <c r="M49" s="28">
        <f>IS!BA110-IS!BA35</f>
        <v>4235.7309999999998</v>
      </c>
      <c r="N49" s="28">
        <f>IS!BF110-IS!BF35</f>
        <v>4455.5450000000019</v>
      </c>
      <c r="O49" s="28">
        <f>IS!BK110-IS!BK35</f>
        <v>5080.9339999999993</v>
      </c>
      <c r="P49" s="28">
        <f>IS!BP110-IS!BP35</f>
        <v>17274.282107738505</v>
      </c>
      <c r="Q49" s="28">
        <f>IS!BU110-IS!BU35</f>
        <v>24111</v>
      </c>
      <c r="R49" s="28">
        <f>IS!BZ110-IS!BZ35</f>
        <v>20811</v>
      </c>
      <c r="S49" s="28">
        <f>IS!CE110-IS!CE35</f>
        <v>16668</v>
      </c>
      <c r="T49" s="28">
        <f>IS!CJ110-IS!CJ35</f>
        <v>11771.391789519957</v>
      </c>
      <c r="U49" s="28">
        <f>IS!CO110-IS!CO35</f>
        <v>11880.143776052964</v>
      </c>
      <c r="V49" s="28">
        <f>IS!CT110-IS!CT35</f>
        <v>12969.948543647288</v>
      </c>
      <c r="W49" s="28">
        <f>IS!CY110-IS!CY35</f>
        <v>11741.868110656489</v>
      </c>
      <c r="X49" s="28">
        <f>IS!DD110-IS!DD35</f>
        <v>12392.052658967028</v>
      </c>
      <c r="Y49" s="28">
        <f>IS!DI110-IS!DI35</f>
        <v>13172.735501623596</v>
      </c>
      <c r="Z49" s="28">
        <f>IS!DN110-IS!DN35</f>
        <v>13982.662430120299</v>
      </c>
      <c r="AA49" s="28">
        <f>IS!DS110-IS!DS35</f>
        <v>9334.5343920072555</v>
      </c>
      <c r="AB49" s="28">
        <f>IS!DX110-IS!DX35</f>
        <v>7786.9236313235078</v>
      </c>
      <c r="AC49" s="28">
        <f>IS!EC110-IS!EC35</f>
        <v>7471.6229762771582</v>
      </c>
      <c r="AD49" s="28">
        <f>IS!EH110-IS!EH35</f>
        <v>8139.323897853099</v>
      </c>
      <c r="AE49" s="28">
        <f>IS!EM110-IS!EM35</f>
        <v>10558.780548343155</v>
      </c>
      <c r="AF49" s="28">
        <f>IS!ER110-IS!ER35</f>
        <v>10648.796147637206</v>
      </c>
      <c r="AG49" s="28"/>
      <c r="AH49" s="28"/>
      <c r="AI49" s="28"/>
    </row>
    <row r="50" spans="2:35">
      <c r="B50" s="21" t="s">
        <v>497</v>
      </c>
      <c r="L50" s="57">
        <f>L45/L49</f>
        <v>0.78563575803274255</v>
      </c>
      <c r="M50" s="57">
        <f t="shared" ref="M50:AF50" si="24">M45/M49</f>
        <v>1.8308627247575451</v>
      </c>
      <c r="N50" s="57">
        <f t="shared" si="24"/>
        <v>1.8969811773868286</v>
      </c>
      <c r="O50" s="57">
        <f t="shared" si="24"/>
        <v>1.3657953439269237</v>
      </c>
      <c r="P50" s="57">
        <f t="shared" si="24"/>
        <v>0.75285328321540157</v>
      </c>
      <c r="Q50" s="57">
        <f>Q45/Q49</f>
        <v>0.93629463730247608</v>
      </c>
      <c r="R50" s="57">
        <f t="shared" si="24"/>
        <v>1.2801883619239824</v>
      </c>
      <c r="S50" s="57">
        <f t="shared" si="24"/>
        <v>2.0458363330933524</v>
      </c>
      <c r="T50" s="57">
        <f t="shared" si="24"/>
        <v>2.6722413595990582</v>
      </c>
      <c r="U50" s="57">
        <f t="shared" si="24"/>
        <v>2.4168899418437468</v>
      </c>
      <c r="V50" s="57">
        <f t="shared" si="24"/>
        <v>1.9441094862593242</v>
      </c>
      <c r="W50" s="57">
        <f t="shared" si="24"/>
        <v>1.9565881496445732</v>
      </c>
      <c r="X50" s="57">
        <f t="shared" si="24"/>
        <v>1.5316268032694211</v>
      </c>
      <c r="Y50" s="57">
        <f t="shared" si="24"/>
        <v>1.3842986521480263</v>
      </c>
      <c r="Z50" s="57">
        <f t="shared" si="24"/>
        <v>1.1795321586590075</v>
      </c>
      <c r="AA50" s="57">
        <f t="shared" si="24"/>
        <v>1.5794038974909956</v>
      </c>
      <c r="AB50" s="57">
        <f t="shared" si="24"/>
        <v>1.5401460920660917</v>
      </c>
      <c r="AC50" s="57">
        <f t="shared" si="24"/>
        <v>1.4386432551707582</v>
      </c>
      <c r="AD50" s="57">
        <f t="shared" si="24"/>
        <v>1.3206256606688489</v>
      </c>
      <c r="AE50" s="57">
        <f t="shared" si="24"/>
        <v>1.0180152860253067</v>
      </c>
      <c r="AF50" s="57">
        <f t="shared" si="24"/>
        <v>1.0094098760999408</v>
      </c>
      <c r="AG50" s="57"/>
      <c r="AH50" s="57"/>
      <c r="AI50" s="57"/>
    </row>
    <row r="52" spans="2:35">
      <c r="B52" s="9" t="s">
        <v>473</v>
      </c>
    </row>
    <row r="53" spans="2:35" outlineLevel="1">
      <c r="B53" s="9"/>
    </row>
    <row r="54" spans="2:35" outlineLevel="1">
      <c r="B54" s="21" t="s">
        <v>474</v>
      </c>
      <c r="N54" s="12"/>
      <c r="O54" s="12">
        <f t="shared" ref="O54:V54" si="25">SUM(IF($AH4-O1=1,O$4,0),IF($AH5-O1=1,O$5,0),IF($AH6-O1=1,O$6,0),IF($AH7-O$1=1,O7,0),IF($AH8-O$1=1,O8,0),IF($AH9-O$1=1,O9,0),)</f>
        <v>234.21700000000001</v>
      </c>
      <c r="P54" s="12">
        <f t="shared" si="25"/>
        <v>0</v>
      </c>
      <c r="Q54" s="12">
        <f>SUM(IF($AH4-Q1=1,Q$4,0),IF($AH5-Q1=1,Q$5,0),IF($AH6-Q1=1,Q$6,0),IF($AH7-Q$1=1,Q7,0),IF($AH8-Q$1=1,Q8,0),IF($AH9-Q$1=1,Q9,0),IF($AH10-Q$1=1,Q10,0),IF($AH11-Q$1=1,Q11,0),IF($AH15-Q$1=1,Q15,0),IF($AH18-Q$1=1,Q18,0),IF($AH20-Q$1=1,Q20,0),IF($AH21-Q$1=1,Q21,0),IF($AH22-Q$1=1,Q22,0),IF($AH23-Q$1=1,Q23,0),IF($AH24-Q$1=1,Q24,0),IF($AH25-Q$1=1,Q25,0),IF($AH26-Q$1=1,Q26,0),IF($AH27-Q$1=1,Q27,0),IF($AH28-Q$1=1,Q28,0),IF($AH29-Q$1=1,Q29,0),IF($AH31-Q$1=1,Q31,0),IF($AH32-Q$1=1,Q32,0),IF($AH33-Q$1=1,Q33,0),)</f>
        <v>983</v>
      </c>
      <c r="R54" s="12">
        <f t="shared" si="25"/>
        <v>0</v>
      </c>
      <c r="S54" s="12">
        <f t="shared" si="25"/>
        <v>0</v>
      </c>
      <c r="T54" s="12">
        <f t="shared" si="25"/>
        <v>0</v>
      </c>
      <c r="U54" s="12">
        <f t="shared" si="25"/>
        <v>0</v>
      </c>
      <c r="V54" s="12">
        <f t="shared" si="25"/>
        <v>0</v>
      </c>
      <c r="W54" s="12">
        <f t="shared" ref="W54:AE54" si="26">SUM(IF($AH4-W1=1,W$4,0),IF($AH5-W1=1,W$5,0),IF($AH6-W1=1,W$6,0),IF($AH7-W$1=1,W7,0),IF($AH8-W$1=1,W8,0),IF($AH9-W$1=1,W9,0),)</f>
        <v>0</v>
      </c>
      <c r="X54" s="12">
        <f t="shared" si="26"/>
        <v>0</v>
      </c>
      <c r="Y54" s="12">
        <f t="shared" si="26"/>
        <v>0</v>
      </c>
      <c r="Z54" s="12">
        <f t="shared" si="26"/>
        <v>0</v>
      </c>
      <c r="AA54" s="12">
        <f t="shared" si="26"/>
        <v>0</v>
      </c>
      <c r="AB54" s="12">
        <f t="shared" si="26"/>
        <v>0</v>
      </c>
      <c r="AC54" s="12">
        <f t="shared" si="26"/>
        <v>0</v>
      </c>
      <c r="AD54" s="12">
        <f t="shared" si="26"/>
        <v>0</v>
      </c>
      <c r="AE54" s="12">
        <f t="shared" si="26"/>
        <v>0</v>
      </c>
      <c r="AF54" s="12">
        <f>SUM(IF($AH4-AF1=1,AF$4,0),IF($AH5-AF1=1,AF$5,0),IF($AH6-AF1=1,AF$6,0),IF($AH7-AF$1=1,AF7,0),IF($AH8-AF$1=1,AF8,0),IF($AH9-AF$1=1,AF9,0),)</f>
        <v>0</v>
      </c>
      <c r="AG54" s="12"/>
      <c r="AH54" s="12"/>
      <c r="AI54" s="12"/>
    </row>
    <row r="55" spans="2:35" outlineLevel="1">
      <c r="B55" s="21" t="s">
        <v>475</v>
      </c>
      <c r="N55" s="12"/>
      <c r="O55" s="12">
        <f t="shared" ref="O55:V55" si="27">SUM(IF($AH43-O$1=1,O43,0),IF($AH42-O$1=1,O42,0))</f>
        <v>0</v>
      </c>
      <c r="P55" s="12">
        <f t="shared" si="27"/>
        <v>0</v>
      </c>
      <c r="Q55" s="12">
        <f>SUM(IF($AH43-Q$1=1,Q43,0),IF($AH42-Q$1=1,Q42,0))</f>
        <v>0</v>
      </c>
      <c r="R55" s="12">
        <f t="shared" si="27"/>
        <v>0</v>
      </c>
      <c r="S55" s="12">
        <f t="shared" si="27"/>
        <v>0</v>
      </c>
      <c r="T55" s="12">
        <f t="shared" si="27"/>
        <v>0</v>
      </c>
      <c r="U55" s="12">
        <f t="shared" si="27"/>
        <v>0</v>
      </c>
      <c r="V55" s="12">
        <f t="shared" si="27"/>
        <v>0</v>
      </c>
      <c r="W55" s="12">
        <f t="shared" ref="W55:AF55" si="28">SUM(IF($AH43-W$1=1,W43,0),IF($AH42-W$1=1,W42,0))</f>
        <v>0</v>
      </c>
      <c r="X55" s="12">
        <f t="shared" si="28"/>
        <v>0</v>
      </c>
      <c r="Y55" s="12">
        <f t="shared" si="28"/>
        <v>0</v>
      </c>
      <c r="Z55" s="12">
        <f t="shared" si="28"/>
        <v>0</v>
      </c>
      <c r="AA55" s="12">
        <f t="shared" si="28"/>
        <v>0</v>
      </c>
      <c r="AB55" s="12">
        <f t="shared" si="28"/>
        <v>0</v>
      </c>
      <c r="AC55" s="12">
        <f t="shared" si="28"/>
        <v>0</v>
      </c>
      <c r="AD55" s="12">
        <f t="shared" si="28"/>
        <v>0</v>
      </c>
      <c r="AE55" s="12">
        <f t="shared" si="28"/>
        <v>0</v>
      </c>
      <c r="AF55" s="12">
        <f t="shared" si="28"/>
        <v>0</v>
      </c>
      <c r="AG55" s="12"/>
      <c r="AH55" s="12"/>
      <c r="AI55" s="12"/>
    </row>
    <row r="56" spans="2:35" outlineLevel="1">
      <c r="B56" s="21" t="s">
        <v>476</v>
      </c>
      <c r="M56" s="12"/>
      <c r="N56" s="12"/>
      <c r="O56" s="12">
        <f>+SUM(O4:O26)-O54</f>
        <v>5801.4610000000002</v>
      </c>
      <c r="P56" s="12">
        <f>+SUM(P4:P26)-P54</f>
        <v>12404</v>
      </c>
      <c r="Q56" s="12">
        <f>+SUM(Q4:Q33)-Q54</f>
        <v>21073</v>
      </c>
      <c r="R56" s="12">
        <f t="shared" ref="R56" si="29">+SUM(R4:R33)-R54</f>
        <v>21089</v>
      </c>
      <c r="S56" s="12">
        <f>+SUM(S4:S39)-S54</f>
        <v>33542</v>
      </c>
      <c r="T56" s="692">
        <f t="shared" ref="T56:AF56" si="30">+SUM(T4:T39)-T54</f>
        <v>30898</v>
      </c>
      <c r="U56" s="692">
        <f t="shared" si="30"/>
        <v>28155</v>
      </c>
      <c r="V56" s="692">
        <f t="shared" si="30"/>
        <v>24657</v>
      </c>
      <c r="W56" s="692">
        <f t="shared" si="30"/>
        <v>22416</v>
      </c>
      <c r="X56" s="692">
        <f t="shared" si="30"/>
        <v>18422</v>
      </c>
      <c r="Y56" s="692">
        <f t="shared" si="30"/>
        <v>17677</v>
      </c>
      <c r="Z56" s="692">
        <f t="shared" si="30"/>
        <v>15935</v>
      </c>
      <c r="AA56" s="692">
        <f t="shared" si="30"/>
        <v>14185</v>
      </c>
      <c r="AB56" s="692">
        <f t="shared" si="30"/>
        <v>11435</v>
      </c>
      <c r="AC56" s="692">
        <f t="shared" si="30"/>
        <v>10191</v>
      </c>
      <c r="AD56" s="692">
        <f t="shared" si="30"/>
        <v>10191</v>
      </c>
      <c r="AE56" s="692">
        <f t="shared" si="30"/>
        <v>10191</v>
      </c>
      <c r="AF56" s="692">
        <f t="shared" si="30"/>
        <v>10191</v>
      </c>
      <c r="AG56" s="12"/>
      <c r="AH56" s="12"/>
      <c r="AI56" s="12"/>
    </row>
    <row r="57" spans="2:35" outlineLevel="1">
      <c r="B57" s="21" t="s">
        <v>477</v>
      </c>
      <c r="M57" s="12"/>
      <c r="N57" s="12"/>
      <c r="O57" s="12">
        <f>+SUM(O42:O43)-O55</f>
        <v>903.83799999999997</v>
      </c>
      <c r="P57" s="12">
        <f t="shared" ref="P57:U57" si="31">+SUM(P42:P43)-P55</f>
        <v>601</v>
      </c>
      <c r="Q57" s="12">
        <f t="shared" si="31"/>
        <v>519</v>
      </c>
      <c r="R57" s="12">
        <f>+SUM(R42:R43)-R55</f>
        <v>607</v>
      </c>
      <c r="S57" s="12">
        <f>+SUM(S42:S43)-S55</f>
        <v>558</v>
      </c>
      <c r="T57" s="12">
        <f t="shared" si="31"/>
        <v>558</v>
      </c>
      <c r="U57" s="12">
        <f t="shared" si="31"/>
        <v>558</v>
      </c>
      <c r="V57" s="12">
        <f>+SUM(V42:V43)-V55</f>
        <v>558</v>
      </c>
      <c r="W57" s="12">
        <f t="shared" ref="W57:AF57" si="32">+SUM(W42:W43)-W55</f>
        <v>558</v>
      </c>
      <c r="X57" s="12">
        <f t="shared" si="32"/>
        <v>558</v>
      </c>
      <c r="Y57" s="12">
        <f t="shared" si="32"/>
        <v>558</v>
      </c>
      <c r="Z57" s="12">
        <f t="shared" si="32"/>
        <v>558</v>
      </c>
      <c r="AA57" s="12">
        <f t="shared" si="32"/>
        <v>558</v>
      </c>
      <c r="AB57" s="12">
        <f t="shared" si="32"/>
        <v>558</v>
      </c>
      <c r="AC57" s="12">
        <f t="shared" si="32"/>
        <v>558</v>
      </c>
      <c r="AD57" s="12">
        <f t="shared" si="32"/>
        <v>558</v>
      </c>
      <c r="AE57" s="12">
        <f t="shared" si="32"/>
        <v>558</v>
      </c>
      <c r="AF57" s="12">
        <f t="shared" si="32"/>
        <v>558</v>
      </c>
      <c r="AG57" s="12"/>
      <c r="AH57" s="12"/>
      <c r="AI57" s="12"/>
    </row>
    <row r="58" spans="2:35">
      <c r="B58" s="21"/>
      <c r="M58" s="12"/>
      <c r="N58" s="12"/>
      <c r="O58" s="12"/>
      <c r="P58" s="12"/>
      <c r="Q58" s="12"/>
      <c r="R58" s="12"/>
      <c r="S58" s="12"/>
      <c r="T58" s="12"/>
      <c r="U58" s="12"/>
      <c r="V58" s="12"/>
      <c r="W58" s="12"/>
      <c r="X58" s="12"/>
      <c r="Y58" s="12"/>
      <c r="Z58" s="12"/>
      <c r="AA58" s="12"/>
      <c r="AB58" s="12"/>
      <c r="AC58" s="12"/>
      <c r="AD58" s="12"/>
      <c r="AE58" s="12"/>
      <c r="AF58" s="12"/>
      <c r="AG58" s="12"/>
      <c r="AH58" s="12"/>
      <c r="AI58" s="12"/>
    </row>
    <row r="59" spans="2:35">
      <c r="B59" s="19" t="s">
        <v>478</v>
      </c>
    </row>
    <row r="60" spans="2:35" outlineLevel="1">
      <c r="B60" s="19"/>
    </row>
    <row r="61" spans="2:35" outlineLevel="1">
      <c r="B61" s="21" t="s">
        <v>458</v>
      </c>
      <c r="D61" s="12">
        <f t="shared" ref="D61:M61" si="33">D4-C4</f>
        <v>0</v>
      </c>
      <c r="E61" s="12">
        <f t="shared" si="33"/>
        <v>0</v>
      </c>
      <c r="F61" s="12">
        <f t="shared" si="33"/>
        <v>0</v>
      </c>
      <c r="G61" s="12">
        <f t="shared" si="33"/>
        <v>0</v>
      </c>
      <c r="H61" s="12">
        <f t="shared" si="33"/>
        <v>650</v>
      </c>
      <c r="I61" s="28">
        <f t="shared" si="33"/>
        <v>0</v>
      </c>
      <c r="J61" s="28">
        <f t="shared" si="33"/>
        <v>0</v>
      </c>
      <c r="K61" s="28">
        <f t="shared" si="33"/>
        <v>-43.214000000000055</v>
      </c>
      <c r="L61" s="28">
        <f t="shared" si="33"/>
        <v>32.205000000000041</v>
      </c>
      <c r="M61" s="28">
        <f t="shared" si="33"/>
        <v>-638.99099999999999</v>
      </c>
      <c r="N61" s="28">
        <f>N4-M4</f>
        <v>0</v>
      </c>
      <c r="O61" s="28"/>
      <c r="P61" s="28"/>
      <c r="Q61" s="28"/>
      <c r="R61" s="28"/>
      <c r="S61" s="28"/>
      <c r="T61" s="28"/>
      <c r="U61" s="28"/>
      <c r="V61" s="28"/>
      <c r="W61" s="28"/>
      <c r="X61" s="28"/>
      <c r="Y61" s="28"/>
      <c r="Z61" s="28"/>
      <c r="AA61" s="28"/>
      <c r="AB61" s="28"/>
      <c r="AC61" s="28"/>
      <c r="AD61" s="28"/>
      <c r="AE61" s="28"/>
      <c r="AF61" s="28"/>
      <c r="AG61" s="28"/>
      <c r="AH61" s="28"/>
      <c r="AI61" s="28"/>
    </row>
    <row r="62" spans="2:35" outlineLevel="1">
      <c r="B62" s="21" t="s">
        <v>459</v>
      </c>
      <c r="D62" s="12">
        <f t="shared" ref="D62:M62" si="34">D5-C5</f>
        <v>0</v>
      </c>
      <c r="E62" s="12">
        <f t="shared" si="34"/>
        <v>0</v>
      </c>
      <c r="F62" s="12">
        <f t="shared" si="34"/>
        <v>0</v>
      </c>
      <c r="G62" s="12">
        <f t="shared" si="34"/>
        <v>0</v>
      </c>
      <c r="H62" s="12">
        <f t="shared" si="34"/>
        <v>650</v>
      </c>
      <c r="I62" s="28">
        <f t="shared" si="34"/>
        <v>0</v>
      </c>
      <c r="J62" s="28">
        <f t="shared" si="34"/>
        <v>-201.97499999999991</v>
      </c>
      <c r="K62" s="28">
        <f t="shared" si="34"/>
        <v>100.45499999999993</v>
      </c>
      <c r="L62" s="28">
        <f t="shared" si="34"/>
        <v>28.403999999999996</v>
      </c>
      <c r="M62" s="28">
        <f t="shared" si="34"/>
        <v>30.15199999999993</v>
      </c>
      <c r="N62" s="28">
        <f>N5-M5</f>
        <v>-187.60299999999995</v>
      </c>
      <c r="O62" s="28">
        <f>-N5</f>
        <v>-419.43299999999999</v>
      </c>
      <c r="P62" s="28"/>
      <c r="Q62" s="28"/>
      <c r="R62" s="28"/>
      <c r="S62" s="28"/>
      <c r="T62" s="28"/>
      <c r="U62" s="28"/>
      <c r="V62" s="28"/>
      <c r="W62" s="28"/>
      <c r="X62" s="28"/>
      <c r="Y62" s="28"/>
      <c r="Z62" s="28"/>
      <c r="AA62" s="28"/>
      <c r="AB62" s="28"/>
      <c r="AC62" s="28"/>
      <c r="AD62" s="28"/>
      <c r="AE62" s="28"/>
      <c r="AF62" s="28"/>
      <c r="AG62" s="28"/>
      <c r="AH62" s="28"/>
      <c r="AI62" s="28"/>
    </row>
    <row r="63" spans="2:35" outlineLevel="1">
      <c r="B63" s="21" t="s">
        <v>460</v>
      </c>
      <c r="D63" s="12">
        <f t="shared" ref="D63:M63" si="35">D6-C6</f>
        <v>0</v>
      </c>
      <c r="E63" s="12">
        <f t="shared" si="35"/>
        <v>0</v>
      </c>
      <c r="F63" s="12">
        <f t="shared" si="35"/>
        <v>0</v>
      </c>
      <c r="G63" s="12">
        <f t="shared" si="35"/>
        <v>0</v>
      </c>
      <c r="H63" s="12">
        <f t="shared" si="35"/>
        <v>0</v>
      </c>
      <c r="I63" s="28">
        <f t="shared" si="35"/>
        <v>0</v>
      </c>
      <c r="J63" s="28">
        <f t="shared" si="35"/>
        <v>0</v>
      </c>
      <c r="K63" s="28">
        <f t="shared" si="35"/>
        <v>0</v>
      </c>
      <c r="L63" s="28">
        <f t="shared" si="35"/>
        <v>1153.8050000000001</v>
      </c>
      <c r="M63" s="28">
        <f t="shared" si="35"/>
        <v>27.720000000000027</v>
      </c>
      <c r="N63" s="28">
        <f>N6-M6</f>
        <v>28.687999999999874</v>
      </c>
      <c r="O63" s="28">
        <f>O119</f>
        <v>30</v>
      </c>
      <c r="P63" s="28">
        <f>-O6</f>
        <v>-234.21700000000001</v>
      </c>
      <c r="Q63" s="28"/>
      <c r="R63" s="28"/>
      <c r="S63" s="28"/>
      <c r="T63" s="28"/>
      <c r="U63" s="28"/>
      <c r="V63" s="28"/>
      <c r="W63" s="28"/>
      <c r="X63" s="28"/>
      <c r="Y63" s="28"/>
      <c r="Z63" s="28"/>
      <c r="AA63" s="28"/>
      <c r="AB63" s="28"/>
      <c r="AC63" s="28"/>
      <c r="AD63" s="28"/>
      <c r="AE63" s="28"/>
      <c r="AF63" s="28"/>
      <c r="AG63" s="28"/>
      <c r="AH63" s="28"/>
      <c r="AI63" s="28"/>
    </row>
    <row r="64" spans="2:35" outlineLevel="1">
      <c r="B64" s="21" t="s">
        <v>461</v>
      </c>
      <c r="D64" s="12">
        <f t="shared" ref="D64:M64" si="36">D7-C7</f>
        <v>0</v>
      </c>
      <c r="E64" s="12">
        <f t="shared" si="36"/>
        <v>0</v>
      </c>
      <c r="F64" s="12">
        <f t="shared" si="36"/>
        <v>0</v>
      </c>
      <c r="G64" s="12">
        <f t="shared" si="36"/>
        <v>0</v>
      </c>
      <c r="H64" s="12">
        <f t="shared" si="36"/>
        <v>0</v>
      </c>
      <c r="I64" s="28">
        <f t="shared" si="36"/>
        <v>0</v>
      </c>
      <c r="J64" s="28">
        <f t="shared" si="36"/>
        <v>0</v>
      </c>
      <c r="K64" s="28">
        <f t="shared" si="36"/>
        <v>0</v>
      </c>
      <c r="L64" s="28">
        <f>L7-K7</f>
        <v>1107.884</v>
      </c>
      <c r="M64" s="28">
        <f t="shared" si="36"/>
        <v>24.408999999999878</v>
      </c>
      <c r="N64" s="28">
        <f>N7-M7</f>
        <v>25.399000000000115</v>
      </c>
      <c r="O64" s="28">
        <f>O125</f>
        <v>27.495184999999996</v>
      </c>
      <c r="P64" s="28">
        <f>P125</f>
        <v>26.434771249999997</v>
      </c>
      <c r="Q64" s="28">
        <f>Q125</f>
        <v>11.471250000000001</v>
      </c>
      <c r="R64" s="28">
        <f>-Q7</f>
        <v>-283</v>
      </c>
      <c r="S64" s="28"/>
      <c r="T64" s="28"/>
      <c r="U64" s="28"/>
      <c r="V64" s="28"/>
      <c r="W64" s="28"/>
      <c r="X64" s="28"/>
      <c r="Y64" s="28"/>
      <c r="Z64" s="28"/>
      <c r="AA64" s="28"/>
      <c r="AB64" s="28"/>
      <c r="AC64" s="28"/>
      <c r="AD64" s="28"/>
      <c r="AE64" s="28"/>
      <c r="AF64" s="28"/>
      <c r="AG64" s="28"/>
      <c r="AH64" s="28"/>
      <c r="AI64" s="28"/>
    </row>
    <row r="65" spans="2:35" outlineLevel="1">
      <c r="B65" s="21" t="s">
        <v>462</v>
      </c>
      <c r="D65" s="12">
        <f t="shared" ref="D65:N65" si="37">D8-C8</f>
        <v>345</v>
      </c>
      <c r="E65" s="12">
        <f t="shared" si="37"/>
        <v>0</v>
      </c>
      <c r="F65" s="12">
        <f t="shared" si="37"/>
        <v>-345</v>
      </c>
      <c r="G65" s="12">
        <f t="shared" si="37"/>
        <v>0</v>
      </c>
      <c r="H65" s="12">
        <f t="shared" si="37"/>
        <v>0</v>
      </c>
      <c r="I65" s="28">
        <f t="shared" si="37"/>
        <v>0</v>
      </c>
      <c r="J65" s="28">
        <f t="shared" si="37"/>
        <v>0</v>
      </c>
      <c r="K65" s="28">
        <f t="shared" si="37"/>
        <v>0</v>
      </c>
      <c r="L65" s="28">
        <f>L8-K8</f>
        <v>0</v>
      </c>
      <c r="M65" s="28">
        <f t="shared" si="37"/>
        <v>0</v>
      </c>
      <c r="N65" s="28">
        <f t="shared" si="37"/>
        <v>0</v>
      </c>
      <c r="O65" s="28"/>
      <c r="P65" s="28"/>
      <c r="Q65" s="28"/>
      <c r="R65" s="28"/>
      <c r="S65" s="28"/>
      <c r="T65" s="28"/>
      <c r="U65" s="28"/>
      <c r="V65" s="28"/>
      <c r="W65" s="28"/>
      <c r="X65" s="28"/>
      <c r="Y65" s="28"/>
      <c r="Z65" s="28"/>
      <c r="AA65" s="28"/>
      <c r="AB65" s="28"/>
      <c r="AC65" s="28"/>
      <c r="AD65" s="28"/>
      <c r="AE65" s="28"/>
      <c r="AF65" s="28"/>
      <c r="AG65" s="28"/>
      <c r="AH65" s="28"/>
      <c r="AI65" s="28"/>
    </row>
    <row r="66" spans="2:35" outlineLevel="1">
      <c r="B66" s="21" t="s">
        <v>463</v>
      </c>
      <c r="D66" s="12">
        <f t="shared" ref="D66:N66" si="38">D9-C9</f>
        <v>0</v>
      </c>
      <c r="E66" s="12">
        <f t="shared" si="38"/>
        <v>-250</v>
      </c>
      <c r="F66" s="12">
        <f t="shared" si="38"/>
        <v>0</v>
      </c>
      <c r="G66" s="12">
        <f t="shared" si="38"/>
        <v>0</v>
      </c>
      <c r="H66" s="12">
        <f t="shared" si="38"/>
        <v>0</v>
      </c>
      <c r="I66" s="28">
        <f t="shared" si="38"/>
        <v>0</v>
      </c>
      <c r="J66" s="28">
        <f t="shared" si="38"/>
        <v>0</v>
      </c>
      <c r="K66" s="28">
        <f t="shared" si="38"/>
        <v>0</v>
      </c>
      <c r="L66" s="28">
        <f t="shared" si="38"/>
        <v>0</v>
      </c>
      <c r="M66" s="28">
        <f t="shared" si="38"/>
        <v>0</v>
      </c>
      <c r="N66" s="28">
        <f t="shared" si="38"/>
        <v>0</v>
      </c>
      <c r="O66" s="28"/>
      <c r="P66" s="28"/>
      <c r="Q66" s="28"/>
      <c r="R66" s="28"/>
      <c r="S66" s="28"/>
      <c r="T66" s="28"/>
      <c r="U66" s="28"/>
      <c r="V66" s="28"/>
      <c r="W66" s="28"/>
      <c r="X66" s="28"/>
      <c r="Y66" s="28"/>
      <c r="Z66" s="28"/>
      <c r="AA66" s="28"/>
      <c r="AB66" s="28"/>
      <c r="AC66" s="28"/>
      <c r="AD66" s="28"/>
      <c r="AE66" s="28"/>
      <c r="AF66" s="28"/>
      <c r="AG66" s="28"/>
      <c r="AH66" s="28"/>
      <c r="AI66" s="28"/>
    </row>
    <row r="67" spans="2:35" outlineLevel="1">
      <c r="B67" s="21" t="s">
        <v>464</v>
      </c>
      <c r="D67" s="12"/>
      <c r="E67" s="12"/>
      <c r="F67" s="12"/>
      <c r="G67" s="12"/>
      <c r="H67" s="12"/>
      <c r="I67" s="28">
        <f t="shared" ref="I67:N68" si="39">I10-H10</f>
        <v>0</v>
      </c>
      <c r="J67" s="28">
        <f t="shared" si="39"/>
        <v>0</v>
      </c>
      <c r="K67" s="28">
        <f t="shared" si="39"/>
        <v>0</v>
      </c>
      <c r="L67" s="28">
        <f t="shared" si="39"/>
        <v>0</v>
      </c>
      <c r="M67" s="28">
        <f t="shared" si="39"/>
        <v>749.07799999999997</v>
      </c>
      <c r="N67" s="28">
        <f t="shared" si="39"/>
        <v>0.31600000000003092</v>
      </c>
      <c r="O67" s="28"/>
      <c r="P67" s="28"/>
      <c r="Q67" s="28">
        <f>-P10</f>
        <v>0</v>
      </c>
      <c r="R67" s="28"/>
      <c r="S67" s="28"/>
      <c r="T67" s="28"/>
      <c r="U67" s="28"/>
      <c r="V67" s="28"/>
      <c r="W67" s="28"/>
      <c r="X67" s="28"/>
      <c r="Y67" s="28"/>
      <c r="Z67" s="28"/>
      <c r="AA67" s="28"/>
      <c r="AB67" s="28"/>
      <c r="AC67" s="28"/>
      <c r="AD67" s="28"/>
      <c r="AE67" s="28"/>
      <c r="AF67" s="28"/>
      <c r="AG67" s="28"/>
      <c r="AH67" s="28"/>
      <c r="AI67" s="28"/>
    </row>
    <row r="68" spans="2:35" outlineLevel="1">
      <c r="B68" s="21" t="s">
        <v>465</v>
      </c>
      <c r="D68" s="12"/>
      <c r="E68" s="12"/>
      <c r="F68" s="12"/>
      <c r="G68" s="12"/>
      <c r="H68" s="12"/>
      <c r="I68" s="28">
        <f t="shared" si="39"/>
        <v>0</v>
      </c>
      <c r="J68" s="28">
        <f t="shared" si="39"/>
        <v>0</v>
      </c>
      <c r="K68" s="28">
        <f t="shared" si="39"/>
        <v>0</v>
      </c>
      <c r="L68" s="28">
        <f t="shared" si="39"/>
        <v>0</v>
      </c>
      <c r="M68" s="28">
        <f t="shared" si="39"/>
        <v>698.86400000000003</v>
      </c>
      <c r="N68" s="28">
        <f t="shared" si="39"/>
        <v>0.23099999999999454</v>
      </c>
      <c r="O68" s="28"/>
      <c r="P68" s="28"/>
      <c r="Q68" s="28"/>
      <c r="R68" s="28"/>
      <c r="S68" s="28">
        <f>-R11</f>
        <v>0</v>
      </c>
      <c r="T68" s="28"/>
      <c r="U68" s="28"/>
      <c r="V68" s="28"/>
      <c r="W68" s="28"/>
      <c r="X68" s="28"/>
      <c r="Y68" s="28"/>
      <c r="Z68" s="28"/>
      <c r="AA68" s="28"/>
      <c r="AB68" s="28"/>
      <c r="AC68" s="28"/>
      <c r="AD68" s="28"/>
      <c r="AE68" s="28"/>
      <c r="AF68" s="28"/>
      <c r="AG68" s="28"/>
      <c r="AH68" s="28"/>
      <c r="AI68" s="28"/>
    </row>
    <row r="69" spans="2:35" s="689" customFormat="1" outlineLevel="1">
      <c r="B69" s="21" t="s">
        <v>1028</v>
      </c>
      <c r="D69" s="692"/>
      <c r="E69" s="692"/>
      <c r="F69" s="692"/>
      <c r="G69" s="692"/>
      <c r="H69" s="692"/>
      <c r="I69" s="28"/>
      <c r="J69" s="28"/>
      <c r="K69" s="28"/>
      <c r="L69" s="28"/>
      <c r="M69" s="28"/>
      <c r="N69" s="28"/>
      <c r="O69" s="28"/>
      <c r="P69" s="28"/>
      <c r="Q69" s="28"/>
      <c r="R69" s="28"/>
      <c r="S69" s="28">
        <f t="shared" ref="S69:T72" si="40">S12-R12</f>
        <v>749</v>
      </c>
      <c r="T69" s="28">
        <f t="shared" si="40"/>
        <v>-749</v>
      </c>
      <c r="U69" s="28">
        <f t="shared" ref="U69:AF69" si="41">U12-T12</f>
        <v>0</v>
      </c>
      <c r="V69" s="28">
        <f t="shared" si="41"/>
        <v>0</v>
      </c>
      <c r="W69" s="28">
        <f t="shared" si="41"/>
        <v>0</v>
      </c>
      <c r="X69" s="28">
        <f t="shared" si="41"/>
        <v>0</v>
      </c>
      <c r="Y69" s="28">
        <f t="shared" si="41"/>
        <v>0</v>
      </c>
      <c r="Z69" s="28">
        <f t="shared" si="41"/>
        <v>0</v>
      </c>
      <c r="AA69" s="28">
        <f t="shared" si="41"/>
        <v>0</v>
      </c>
      <c r="AB69" s="28">
        <f t="shared" si="41"/>
        <v>0</v>
      </c>
      <c r="AC69" s="28">
        <f t="shared" si="41"/>
        <v>0</v>
      </c>
      <c r="AD69" s="28">
        <f t="shared" si="41"/>
        <v>0</v>
      </c>
      <c r="AE69" s="28">
        <f t="shared" si="41"/>
        <v>0</v>
      </c>
      <c r="AF69" s="28">
        <f t="shared" si="41"/>
        <v>0</v>
      </c>
      <c r="AG69" s="28"/>
      <c r="AH69" s="28"/>
      <c r="AI69" s="28"/>
    </row>
    <row r="70" spans="2:35" s="689" customFormat="1" outlineLevel="1">
      <c r="B70" s="999" t="s">
        <v>1111</v>
      </c>
      <c r="D70" s="692"/>
      <c r="E70" s="692"/>
      <c r="F70" s="692"/>
      <c r="G70" s="692"/>
      <c r="H70" s="692"/>
      <c r="I70" s="28"/>
      <c r="J70" s="28"/>
      <c r="K70" s="28"/>
      <c r="L70" s="28"/>
      <c r="M70" s="28"/>
      <c r="N70" s="28"/>
      <c r="O70" s="28"/>
      <c r="P70" s="28"/>
      <c r="Q70" s="28"/>
      <c r="R70" s="28"/>
      <c r="S70" s="28">
        <f t="shared" si="40"/>
        <v>999</v>
      </c>
      <c r="T70" s="28">
        <f t="shared" si="40"/>
        <v>-999</v>
      </c>
      <c r="U70" s="28">
        <f t="shared" ref="U70" si="42">U13-T13</f>
        <v>0</v>
      </c>
      <c r="V70" s="28">
        <f t="shared" ref="V70" si="43">V13-U13</f>
        <v>0</v>
      </c>
      <c r="W70" s="28">
        <f t="shared" ref="W70" si="44">W13-V13</f>
        <v>0</v>
      </c>
      <c r="X70" s="28">
        <f t="shared" ref="X70" si="45">X13-W13</f>
        <v>0</v>
      </c>
      <c r="Y70" s="28">
        <f t="shared" ref="Y70" si="46">Y13-X13</f>
        <v>0</v>
      </c>
      <c r="Z70" s="28">
        <f t="shared" ref="Z70" si="47">Z13-Y13</f>
        <v>0</v>
      </c>
      <c r="AA70" s="28">
        <f t="shared" ref="AA70" si="48">AA13-Z13</f>
        <v>0</v>
      </c>
      <c r="AB70" s="28">
        <f t="shared" ref="AB70" si="49">AB13-AA13</f>
        <v>0</v>
      </c>
      <c r="AC70" s="28">
        <f t="shared" ref="AC70" si="50">AC13-AB13</f>
        <v>0</v>
      </c>
      <c r="AD70" s="28">
        <f t="shared" ref="AD70" si="51">AD13-AC13</f>
        <v>0</v>
      </c>
      <c r="AE70" s="28">
        <f t="shared" ref="AE70" si="52">AE13-AD13</f>
        <v>0</v>
      </c>
      <c r="AF70" s="28">
        <f t="shared" ref="AF70" si="53">AF13-AE13</f>
        <v>0</v>
      </c>
      <c r="AG70" s="28"/>
      <c r="AH70" s="28"/>
      <c r="AI70" s="28"/>
    </row>
    <row r="71" spans="2:35" s="689" customFormat="1" outlineLevel="1">
      <c r="B71" s="21" t="s">
        <v>1027</v>
      </c>
      <c r="D71" s="692"/>
      <c r="E71" s="692"/>
      <c r="F71" s="692"/>
      <c r="G71" s="692"/>
      <c r="H71" s="692"/>
      <c r="I71" s="28"/>
      <c r="J71" s="28"/>
      <c r="K71" s="28"/>
      <c r="L71" s="28"/>
      <c r="M71" s="28"/>
      <c r="N71" s="28"/>
      <c r="O71" s="28"/>
      <c r="P71" s="28"/>
      <c r="Q71" s="28"/>
      <c r="R71" s="28"/>
      <c r="S71" s="28">
        <f t="shared" si="40"/>
        <v>748</v>
      </c>
      <c r="T71" s="28">
        <f t="shared" si="40"/>
        <v>0</v>
      </c>
      <c r="U71" s="28">
        <f t="shared" ref="U71:AF71" si="54">U14-T14</f>
        <v>-748</v>
      </c>
      <c r="V71" s="28">
        <f t="shared" si="54"/>
        <v>0</v>
      </c>
      <c r="W71" s="28">
        <f t="shared" si="54"/>
        <v>0</v>
      </c>
      <c r="X71" s="28">
        <f t="shared" si="54"/>
        <v>0</v>
      </c>
      <c r="Y71" s="28">
        <f t="shared" si="54"/>
        <v>0</v>
      </c>
      <c r="Z71" s="28">
        <f t="shared" si="54"/>
        <v>0</v>
      </c>
      <c r="AA71" s="28">
        <f t="shared" si="54"/>
        <v>0</v>
      </c>
      <c r="AB71" s="28">
        <f t="shared" si="54"/>
        <v>0</v>
      </c>
      <c r="AC71" s="28">
        <f t="shared" si="54"/>
        <v>0</v>
      </c>
      <c r="AD71" s="28">
        <f t="shared" si="54"/>
        <v>0</v>
      </c>
      <c r="AE71" s="28">
        <f t="shared" si="54"/>
        <v>0</v>
      </c>
      <c r="AF71" s="28">
        <f t="shared" si="54"/>
        <v>0</v>
      </c>
      <c r="AG71" s="28"/>
      <c r="AH71" s="28"/>
      <c r="AI71" s="28"/>
    </row>
    <row r="72" spans="2:35" outlineLevel="1">
      <c r="B72" s="21" t="s">
        <v>733</v>
      </c>
      <c r="D72" s="12"/>
      <c r="E72" s="12"/>
      <c r="F72" s="12"/>
      <c r="G72" s="12"/>
      <c r="H72" s="12"/>
      <c r="I72" s="28"/>
      <c r="J72" s="28"/>
      <c r="K72" s="28"/>
      <c r="L72" s="28"/>
      <c r="M72" s="28"/>
      <c r="N72" s="28"/>
      <c r="O72" s="28"/>
      <c r="P72" s="28">
        <f>P15-O15</f>
        <v>499</v>
      </c>
      <c r="Q72" s="28">
        <f>Q15-P15</f>
        <v>-1</v>
      </c>
      <c r="R72" s="28">
        <f>R15-Q15</f>
        <v>1</v>
      </c>
      <c r="S72" s="28">
        <f t="shared" si="40"/>
        <v>0</v>
      </c>
      <c r="T72" s="28">
        <f t="shared" si="40"/>
        <v>0</v>
      </c>
      <c r="U72" s="28">
        <f>U15-T15</f>
        <v>-499</v>
      </c>
      <c r="V72" s="28">
        <f>V15-U15</f>
        <v>0</v>
      </c>
      <c r="W72" s="28">
        <f t="shared" ref="W72:AF72" si="55">W15-V15</f>
        <v>0</v>
      </c>
      <c r="X72" s="28">
        <f t="shared" si="55"/>
        <v>0</v>
      </c>
      <c r="Y72" s="28">
        <f t="shared" si="55"/>
        <v>0</v>
      </c>
      <c r="Z72" s="28">
        <f t="shared" si="55"/>
        <v>0</v>
      </c>
      <c r="AA72" s="28">
        <f t="shared" si="55"/>
        <v>0</v>
      </c>
      <c r="AB72" s="28">
        <f t="shared" si="55"/>
        <v>0</v>
      </c>
      <c r="AC72" s="28">
        <f t="shared" si="55"/>
        <v>0</v>
      </c>
      <c r="AD72" s="28">
        <f t="shared" si="55"/>
        <v>0</v>
      </c>
      <c r="AE72" s="28">
        <f t="shared" si="55"/>
        <v>0</v>
      </c>
      <c r="AF72" s="28">
        <f t="shared" si="55"/>
        <v>0</v>
      </c>
      <c r="AG72" s="28"/>
      <c r="AH72" s="28"/>
      <c r="AI72" s="28"/>
    </row>
    <row r="73" spans="2:35" s="689" customFormat="1" outlineLevel="1">
      <c r="B73" s="21" t="s">
        <v>1026</v>
      </c>
      <c r="D73" s="692"/>
      <c r="E73" s="692"/>
      <c r="F73" s="692"/>
      <c r="G73" s="692"/>
      <c r="H73" s="692"/>
      <c r="I73" s="28"/>
      <c r="J73" s="28"/>
      <c r="K73" s="28"/>
      <c r="L73" s="28"/>
      <c r="M73" s="28"/>
      <c r="N73" s="28"/>
      <c r="O73" s="28"/>
      <c r="P73" s="28"/>
      <c r="Q73" s="28"/>
      <c r="R73" s="28"/>
      <c r="S73" s="28">
        <f t="shared" ref="S73:S83" si="56">S16-R16</f>
        <v>499</v>
      </c>
      <c r="T73" s="28">
        <f t="shared" ref="T73:AF73" si="57">T16-S16</f>
        <v>0</v>
      </c>
      <c r="U73" s="28">
        <f t="shared" si="57"/>
        <v>-499</v>
      </c>
      <c r="V73" s="28">
        <f t="shared" si="57"/>
        <v>0</v>
      </c>
      <c r="W73" s="28">
        <f t="shared" si="57"/>
        <v>0</v>
      </c>
      <c r="X73" s="28">
        <f t="shared" si="57"/>
        <v>0</v>
      </c>
      <c r="Y73" s="28">
        <f t="shared" si="57"/>
        <v>0</v>
      </c>
      <c r="Z73" s="28">
        <f t="shared" si="57"/>
        <v>0</v>
      </c>
      <c r="AA73" s="28">
        <f t="shared" si="57"/>
        <v>0</v>
      </c>
      <c r="AB73" s="28">
        <f t="shared" si="57"/>
        <v>0</v>
      </c>
      <c r="AC73" s="28">
        <f t="shared" si="57"/>
        <v>0</v>
      </c>
      <c r="AD73" s="28">
        <f t="shared" si="57"/>
        <v>0</v>
      </c>
      <c r="AE73" s="28">
        <f t="shared" si="57"/>
        <v>0</v>
      </c>
      <c r="AF73" s="28">
        <f t="shared" si="57"/>
        <v>0</v>
      </c>
      <c r="AG73" s="28"/>
      <c r="AH73" s="28"/>
      <c r="AI73" s="28"/>
    </row>
    <row r="74" spans="2:35" s="689" customFormat="1" outlineLevel="1">
      <c r="B74" s="21" t="s">
        <v>1029</v>
      </c>
      <c r="D74" s="692"/>
      <c r="E74" s="692"/>
      <c r="F74" s="692"/>
      <c r="G74" s="692"/>
      <c r="H74" s="692"/>
      <c r="I74" s="28"/>
      <c r="J74" s="28"/>
      <c r="K74" s="28"/>
      <c r="L74" s="28"/>
      <c r="M74" s="28"/>
      <c r="N74" s="28"/>
      <c r="O74" s="28"/>
      <c r="P74" s="28"/>
      <c r="Q74" s="28"/>
      <c r="R74" s="28"/>
      <c r="S74" s="28">
        <f t="shared" si="56"/>
        <v>997</v>
      </c>
      <c r="T74" s="28">
        <f t="shared" ref="T74:AF74" si="58">T17-S17</f>
        <v>0</v>
      </c>
      <c r="U74" s="28">
        <f t="shared" si="58"/>
        <v>-997</v>
      </c>
      <c r="V74" s="28">
        <f t="shared" si="58"/>
        <v>0</v>
      </c>
      <c r="W74" s="28">
        <f t="shared" si="58"/>
        <v>0</v>
      </c>
      <c r="X74" s="28">
        <f t="shared" si="58"/>
        <v>0</v>
      </c>
      <c r="Y74" s="28">
        <f t="shared" si="58"/>
        <v>0</v>
      </c>
      <c r="Z74" s="28">
        <f t="shared" si="58"/>
        <v>0</v>
      </c>
      <c r="AA74" s="28">
        <f t="shared" si="58"/>
        <v>0</v>
      </c>
      <c r="AB74" s="28">
        <f t="shared" si="58"/>
        <v>0</v>
      </c>
      <c r="AC74" s="28">
        <f t="shared" si="58"/>
        <v>0</v>
      </c>
      <c r="AD74" s="28">
        <f t="shared" si="58"/>
        <v>0</v>
      </c>
      <c r="AE74" s="28">
        <f t="shared" si="58"/>
        <v>0</v>
      </c>
      <c r="AF74" s="28">
        <f t="shared" si="58"/>
        <v>0</v>
      </c>
      <c r="AG74" s="28"/>
      <c r="AH74" s="28"/>
      <c r="AI74" s="28"/>
    </row>
    <row r="75" spans="2:35" outlineLevel="1">
      <c r="B75" s="21" t="s">
        <v>804</v>
      </c>
      <c r="D75" s="12"/>
      <c r="E75" s="12"/>
      <c r="F75" s="12"/>
      <c r="G75" s="12"/>
      <c r="H75" s="12"/>
      <c r="I75" s="28"/>
      <c r="J75" s="28"/>
      <c r="K75" s="28"/>
      <c r="L75" s="28"/>
      <c r="M75" s="28"/>
      <c r="N75" s="28"/>
      <c r="O75" s="28"/>
      <c r="P75" s="28">
        <f>P18-O18</f>
        <v>499</v>
      </c>
      <c r="Q75" s="28">
        <f>Q18-P18</f>
        <v>-2</v>
      </c>
      <c r="R75" s="28">
        <f>R18-Q18</f>
        <v>1</v>
      </c>
      <c r="S75" s="28">
        <f t="shared" si="56"/>
        <v>1</v>
      </c>
      <c r="T75" s="28">
        <f>T18-S18</f>
        <v>1</v>
      </c>
      <c r="U75" s="28">
        <f>U18-T18</f>
        <v>0</v>
      </c>
      <c r="V75" s="28">
        <f>V18-U18</f>
        <v>-500</v>
      </c>
      <c r="W75" s="28">
        <f t="shared" ref="W75:AF75" si="59">W18-V18</f>
        <v>0</v>
      </c>
      <c r="X75" s="28">
        <f t="shared" si="59"/>
        <v>0</v>
      </c>
      <c r="Y75" s="28">
        <f t="shared" si="59"/>
        <v>0</v>
      </c>
      <c r="Z75" s="28">
        <f t="shared" si="59"/>
        <v>0</v>
      </c>
      <c r="AA75" s="28">
        <f t="shared" si="59"/>
        <v>0</v>
      </c>
      <c r="AB75" s="28">
        <f t="shared" si="59"/>
        <v>0</v>
      </c>
      <c r="AC75" s="28">
        <f t="shared" si="59"/>
        <v>0</v>
      </c>
      <c r="AD75" s="28">
        <f t="shared" si="59"/>
        <v>0</v>
      </c>
      <c r="AE75" s="28">
        <f t="shared" si="59"/>
        <v>0</v>
      </c>
      <c r="AF75" s="28">
        <f t="shared" si="59"/>
        <v>0</v>
      </c>
      <c r="AG75" s="28"/>
      <c r="AH75" s="28"/>
      <c r="AI75" s="28"/>
    </row>
    <row r="76" spans="2:35" s="689" customFormat="1" outlineLevel="1">
      <c r="B76" s="999" t="s">
        <v>1118</v>
      </c>
      <c r="D76" s="692"/>
      <c r="E76" s="692"/>
      <c r="F76" s="692"/>
      <c r="G76" s="692"/>
      <c r="H76" s="692"/>
      <c r="I76" s="28"/>
      <c r="J76" s="28"/>
      <c r="K76" s="28"/>
      <c r="L76" s="28"/>
      <c r="M76" s="28"/>
      <c r="N76" s="28"/>
      <c r="O76" s="28"/>
      <c r="P76" s="28"/>
      <c r="Q76" s="28"/>
      <c r="R76" s="28"/>
      <c r="S76" s="28">
        <f t="shared" si="56"/>
        <v>998</v>
      </c>
      <c r="T76" s="28">
        <f t="shared" ref="T76:AF76" si="60">T19-S19</f>
        <v>0</v>
      </c>
      <c r="U76" s="28">
        <f t="shared" si="60"/>
        <v>0</v>
      </c>
      <c r="V76" s="28">
        <f t="shared" si="60"/>
        <v>-998</v>
      </c>
      <c r="W76" s="28">
        <f t="shared" si="60"/>
        <v>0</v>
      </c>
      <c r="X76" s="28">
        <f t="shared" si="60"/>
        <v>0</v>
      </c>
      <c r="Y76" s="28">
        <f t="shared" si="60"/>
        <v>0</v>
      </c>
      <c r="Z76" s="28">
        <f t="shared" si="60"/>
        <v>0</v>
      </c>
      <c r="AA76" s="28">
        <f t="shared" si="60"/>
        <v>0</v>
      </c>
      <c r="AB76" s="28">
        <f t="shared" si="60"/>
        <v>0</v>
      </c>
      <c r="AC76" s="28">
        <f t="shared" si="60"/>
        <v>0</v>
      </c>
      <c r="AD76" s="28">
        <f t="shared" si="60"/>
        <v>0</v>
      </c>
      <c r="AE76" s="28">
        <f t="shared" si="60"/>
        <v>0</v>
      </c>
      <c r="AF76" s="28">
        <f t="shared" si="60"/>
        <v>0</v>
      </c>
      <c r="AG76" s="28"/>
      <c r="AH76" s="28"/>
      <c r="AI76" s="28"/>
    </row>
    <row r="77" spans="2:35" outlineLevel="1">
      <c r="B77" s="21" t="s">
        <v>466</v>
      </c>
      <c r="D77" s="12"/>
      <c r="E77" s="12"/>
      <c r="F77" s="12"/>
      <c r="G77" s="12"/>
      <c r="H77" s="12"/>
      <c r="I77" s="28">
        <f t="shared" ref="I77:N78" si="61">I20-H20</f>
        <v>0</v>
      </c>
      <c r="J77" s="28">
        <f t="shared" si="61"/>
        <v>0</v>
      </c>
      <c r="K77" s="28">
        <f t="shared" si="61"/>
        <v>0</v>
      </c>
      <c r="L77" s="28">
        <f t="shared" si="61"/>
        <v>0</v>
      </c>
      <c r="M77" s="28">
        <f t="shared" si="61"/>
        <v>992.06600000000003</v>
      </c>
      <c r="N77" s="28">
        <f t="shared" si="61"/>
        <v>0.8569999999999709</v>
      </c>
      <c r="O77" s="28"/>
      <c r="P77" s="28">
        <f t="shared" ref="P77:R83" si="62">P20-O20</f>
        <v>1.2190000000000509</v>
      </c>
      <c r="Q77" s="28">
        <f t="shared" si="62"/>
        <v>-3</v>
      </c>
      <c r="R77" s="28">
        <f t="shared" si="62"/>
        <v>2</v>
      </c>
      <c r="S77" s="28">
        <f t="shared" si="56"/>
        <v>1</v>
      </c>
      <c r="T77" s="28">
        <f t="shared" ref="T77:V83" si="63">T20-S20</f>
        <v>0</v>
      </c>
      <c r="U77" s="28">
        <f t="shared" si="63"/>
        <v>0</v>
      </c>
      <c r="V77" s="28">
        <f t="shared" si="63"/>
        <v>0</v>
      </c>
      <c r="W77" s="28">
        <f t="shared" ref="W77:AF77" si="64">W20-V20</f>
        <v>-995</v>
      </c>
      <c r="X77" s="28">
        <f t="shared" si="64"/>
        <v>0</v>
      </c>
      <c r="Y77" s="28">
        <f t="shared" si="64"/>
        <v>0</v>
      </c>
      <c r="Z77" s="28">
        <f t="shared" si="64"/>
        <v>0</v>
      </c>
      <c r="AA77" s="28">
        <f t="shared" si="64"/>
        <v>0</v>
      </c>
      <c r="AB77" s="28">
        <f t="shared" si="64"/>
        <v>0</v>
      </c>
      <c r="AC77" s="28">
        <f t="shared" si="64"/>
        <v>0</v>
      </c>
      <c r="AD77" s="28">
        <f t="shared" si="64"/>
        <v>0</v>
      </c>
      <c r="AE77" s="28">
        <f t="shared" si="64"/>
        <v>0</v>
      </c>
      <c r="AF77" s="28">
        <f t="shared" si="64"/>
        <v>0</v>
      </c>
      <c r="AG77" s="28"/>
      <c r="AH77" s="28"/>
      <c r="AI77" s="28"/>
    </row>
    <row r="78" spans="2:35" outlineLevel="1">
      <c r="B78" s="21" t="s">
        <v>467</v>
      </c>
      <c r="D78" s="12"/>
      <c r="E78" s="12"/>
      <c r="F78" s="12"/>
      <c r="G78" s="12"/>
      <c r="H78" s="12"/>
      <c r="I78" s="28">
        <f t="shared" si="61"/>
        <v>0</v>
      </c>
      <c r="J78" s="28">
        <f t="shared" si="61"/>
        <v>0</v>
      </c>
      <c r="K78" s="28">
        <f t="shared" si="61"/>
        <v>0</v>
      </c>
      <c r="L78" s="28">
        <f t="shared" si="61"/>
        <v>0</v>
      </c>
      <c r="M78" s="28">
        <f t="shared" si="61"/>
        <v>1247.1379999999999</v>
      </c>
      <c r="N78" s="28">
        <f t="shared" si="61"/>
        <v>0.29000000000019099</v>
      </c>
      <c r="O78" s="28"/>
      <c r="P78" s="28">
        <f t="shared" si="62"/>
        <v>0.2840000000001055</v>
      </c>
      <c r="Q78" s="28">
        <f t="shared" si="62"/>
        <v>-4</v>
      </c>
      <c r="R78" s="28">
        <f t="shared" si="62"/>
        <v>1</v>
      </c>
      <c r="S78" s="28">
        <f t="shared" si="56"/>
        <v>1</v>
      </c>
      <c r="T78" s="28">
        <f t="shared" si="63"/>
        <v>0</v>
      </c>
      <c r="U78" s="28">
        <f t="shared" si="63"/>
        <v>0</v>
      </c>
      <c r="V78" s="28">
        <f t="shared" si="63"/>
        <v>0</v>
      </c>
      <c r="W78" s="28">
        <f t="shared" ref="W78:AF78" si="65">W21-V21</f>
        <v>-1246</v>
      </c>
      <c r="X78" s="28">
        <f t="shared" si="65"/>
        <v>0</v>
      </c>
      <c r="Y78" s="28">
        <f t="shared" si="65"/>
        <v>0</v>
      </c>
      <c r="Z78" s="28">
        <f t="shared" si="65"/>
        <v>0</v>
      </c>
      <c r="AA78" s="28">
        <f t="shared" si="65"/>
        <v>0</v>
      </c>
      <c r="AB78" s="28">
        <f t="shared" si="65"/>
        <v>0</v>
      </c>
      <c r="AC78" s="28">
        <f t="shared" si="65"/>
        <v>0</v>
      </c>
      <c r="AD78" s="28">
        <f t="shared" si="65"/>
        <v>0</v>
      </c>
      <c r="AE78" s="28">
        <f t="shared" si="65"/>
        <v>0</v>
      </c>
      <c r="AF78" s="28">
        <f t="shared" si="65"/>
        <v>0</v>
      </c>
      <c r="AG78" s="28"/>
      <c r="AH78" s="28"/>
      <c r="AI78" s="28"/>
    </row>
    <row r="79" spans="2:35" outlineLevel="1">
      <c r="B79" s="21" t="s">
        <v>734</v>
      </c>
      <c r="D79" s="12"/>
      <c r="E79" s="12"/>
      <c r="F79" s="12"/>
      <c r="G79" s="12"/>
      <c r="H79" s="12"/>
      <c r="I79" s="28"/>
      <c r="J79" s="28"/>
      <c r="K79" s="28"/>
      <c r="L79" s="28"/>
      <c r="M79" s="28"/>
      <c r="N79" s="28"/>
      <c r="O79" s="28"/>
      <c r="P79" s="28">
        <f t="shared" si="62"/>
        <v>1747</v>
      </c>
      <c r="Q79" s="28">
        <f t="shared" si="62"/>
        <v>-7</v>
      </c>
      <c r="R79" s="28">
        <f t="shared" si="62"/>
        <v>1</v>
      </c>
      <c r="S79" s="28">
        <f t="shared" si="56"/>
        <v>1</v>
      </c>
      <c r="T79" s="28">
        <f t="shared" si="63"/>
        <v>0</v>
      </c>
      <c r="U79" s="28">
        <f t="shared" si="63"/>
        <v>0</v>
      </c>
      <c r="V79" s="28">
        <f t="shared" si="63"/>
        <v>0</v>
      </c>
      <c r="W79" s="28">
        <f t="shared" ref="W79:AF79" si="66">W22-V22</f>
        <v>0</v>
      </c>
      <c r="X79" s="28">
        <f t="shared" si="66"/>
        <v>0</v>
      </c>
      <c r="Y79" s="28">
        <f t="shared" si="66"/>
        <v>0</v>
      </c>
      <c r="Z79" s="28">
        <f t="shared" si="66"/>
        <v>-1742</v>
      </c>
      <c r="AA79" s="28">
        <f t="shared" si="66"/>
        <v>0</v>
      </c>
      <c r="AB79" s="28">
        <f t="shared" si="66"/>
        <v>0</v>
      </c>
      <c r="AC79" s="28">
        <f t="shared" si="66"/>
        <v>0</v>
      </c>
      <c r="AD79" s="28">
        <f t="shared" si="66"/>
        <v>0</v>
      </c>
      <c r="AE79" s="28">
        <f t="shared" si="66"/>
        <v>0</v>
      </c>
      <c r="AF79" s="28">
        <f t="shared" si="66"/>
        <v>0</v>
      </c>
      <c r="AG79" s="28"/>
      <c r="AH79" s="28"/>
      <c r="AI79" s="28"/>
    </row>
    <row r="80" spans="2:35" outlineLevel="1">
      <c r="B80" s="21" t="s">
        <v>805</v>
      </c>
      <c r="D80" s="12"/>
      <c r="E80" s="12"/>
      <c r="F80" s="12"/>
      <c r="G80" s="12"/>
      <c r="H80" s="12"/>
      <c r="I80" s="28"/>
      <c r="J80" s="28"/>
      <c r="K80" s="28"/>
      <c r="L80" s="28"/>
      <c r="M80" s="28"/>
      <c r="N80" s="28"/>
      <c r="O80" s="28"/>
      <c r="P80" s="28">
        <f t="shared" si="62"/>
        <v>1748</v>
      </c>
      <c r="Q80" s="28">
        <f t="shared" si="62"/>
        <v>-6</v>
      </c>
      <c r="R80" s="28">
        <f t="shared" si="62"/>
        <v>1</v>
      </c>
      <c r="S80" s="28">
        <f t="shared" si="56"/>
        <v>1</v>
      </c>
      <c r="T80" s="28">
        <f t="shared" si="63"/>
        <v>6</v>
      </c>
      <c r="U80" s="28">
        <f t="shared" si="63"/>
        <v>0</v>
      </c>
      <c r="V80" s="28">
        <f t="shared" si="63"/>
        <v>0</v>
      </c>
      <c r="W80" s="28">
        <f t="shared" ref="W80:AF80" si="67">W23-V23</f>
        <v>0</v>
      </c>
      <c r="X80" s="28">
        <f t="shared" si="67"/>
        <v>0</v>
      </c>
      <c r="Y80" s="28">
        <f t="shared" si="67"/>
        <v>0</v>
      </c>
      <c r="Z80" s="28">
        <f t="shared" si="67"/>
        <v>0</v>
      </c>
      <c r="AA80" s="28">
        <f t="shared" si="67"/>
        <v>-1750</v>
      </c>
      <c r="AB80" s="28">
        <f t="shared" si="67"/>
        <v>0</v>
      </c>
      <c r="AC80" s="28">
        <f t="shared" si="67"/>
        <v>0</v>
      </c>
      <c r="AD80" s="28">
        <f t="shared" si="67"/>
        <v>0</v>
      </c>
      <c r="AE80" s="28">
        <f t="shared" si="67"/>
        <v>0</v>
      </c>
      <c r="AF80" s="28">
        <f t="shared" si="67"/>
        <v>0</v>
      </c>
      <c r="AG80" s="28"/>
      <c r="AH80" s="28"/>
      <c r="AI80" s="28"/>
    </row>
    <row r="81" spans="2:35" outlineLevel="1">
      <c r="B81" s="21" t="s">
        <v>468</v>
      </c>
      <c r="D81" s="12"/>
      <c r="E81" s="12"/>
      <c r="F81" s="12"/>
      <c r="G81" s="12"/>
      <c r="H81" s="12"/>
      <c r="I81" s="28">
        <f t="shared" ref="I81:N81" si="68">I24-H24</f>
        <v>0</v>
      </c>
      <c r="J81" s="28">
        <f t="shared" si="68"/>
        <v>0</v>
      </c>
      <c r="K81" s="28">
        <f t="shared" si="68"/>
        <v>0</v>
      </c>
      <c r="L81" s="28">
        <f t="shared" si="68"/>
        <v>0</v>
      </c>
      <c r="M81" s="28">
        <f t="shared" si="68"/>
        <v>997.73400000000004</v>
      </c>
      <c r="N81" s="28">
        <f t="shared" si="68"/>
        <v>7.5999999999908141E-2</v>
      </c>
      <c r="O81" s="28"/>
      <c r="P81" s="28">
        <f t="shared" si="62"/>
        <v>0.11500000000000909</v>
      </c>
      <c r="Q81" s="28">
        <f t="shared" si="62"/>
        <v>-3</v>
      </c>
      <c r="R81" s="28">
        <f t="shared" si="62"/>
        <v>0</v>
      </c>
      <c r="S81" s="28">
        <f t="shared" si="56"/>
        <v>0</v>
      </c>
      <c r="T81" s="28">
        <f t="shared" si="63"/>
        <v>0</v>
      </c>
      <c r="U81" s="28">
        <f t="shared" si="63"/>
        <v>0</v>
      </c>
      <c r="V81" s="28">
        <f t="shared" si="63"/>
        <v>0</v>
      </c>
      <c r="W81" s="28">
        <f t="shared" ref="W81:AF81" si="69">W24-V24</f>
        <v>0</v>
      </c>
      <c r="X81" s="28">
        <f t="shared" si="69"/>
        <v>0</v>
      </c>
      <c r="Y81" s="28">
        <f t="shared" si="69"/>
        <v>0</v>
      </c>
      <c r="Z81" s="28">
        <f>Z24-Y24</f>
        <v>0</v>
      </c>
      <c r="AA81" s="28">
        <f t="shared" si="69"/>
        <v>0</v>
      </c>
      <c r="AB81" s="28">
        <f t="shared" si="69"/>
        <v>0</v>
      </c>
      <c r="AC81" s="28">
        <f t="shared" si="69"/>
        <v>0</v>
      </c>
      <c r="AD81" s="28">
        <f t="shared" si="69"/>
        <v>0</v>
      </c>
      <c r="AE81" s="28">
        <f t="shared" si="69"/>
        <v>0</v>
      </c>
      <c r="AF81" s="28">
        <f t="shared" si="69"/>
        <v>0</v>
      </c>
      <c r="AG81" s="28"/>
      <c r="AH81" s="28"/>
      <c r="AI81" s="28"/>
    </row>
    <row r="82" spans="2:35" outlineLevel="1">
      <c r="B82" s="21" t="s">
        <v>735</v>
      </c>
      <c r="D82" s="12"/>
      <c r="E82" s="12"/>
      <c r="F82" s="12"/>
      <c r="G82" s="12"/>
      <c r="H82" s="12"/>
      <c r="I82" s="28"/>
      <c r="J82" s="28"/>
      <c r="K82" s="28"/>
      <c r="L82" s="28"/>
      <c r="M82" s="28"/>
      <c r="N82" s="28"/>
      <c r="O82" s="28"/>
      <c r="P82" s="28">
        <f t="shared" si="62"/>
        <v>1747</v>
      </c>
      <c r="Q82" s="28">
        <f t="shared" si="62"/>
        <v>-15</v>
      </c>
      <c r="R82" s="28">
        <f t="shared" si="62"/>
        <v>0</v>
      </c>
      <c r="S82" s="28">
        <f t="shared" si="56"/>
        <v>1</v>
      </c>
      <c r="T82" s="28">
        <f t="shared" si="63"/>
        <v>0</v>
      </c>
      <c r="U82" s="28">
        <f t="shared" si="63"/>
        <v>0</v>
      </c>
      <c r="V82" s="28">
        <f t="shared" si="63"/>
        <v>0</v>
      </c>
      <c r="W82" s="28">
        <f t="shared" ref="W82:AF82" si="70">W25-V25</f>
        <v>0</v>
      </c>
      <c r="X82" s="28">
        <f t="shared" si="70"/>
        <v>0</v>
      </c>
      <c r="Y82" s="28">
        <f t="shared" si="70"/>
        <v>0</v>
      </c>
      <c r="Z82" s="28">
        <f>Z25-Y25</f>
        <v>0</v>
      </c>
      <c r="AA82" s="28">
        <f t="shared" si="70"/>
        <v>0</v>
      </c>
      <c r="AB82" s="28">
        <f t="shared" si="70"/>
        <v>0</v>
      </c>
      <c r="AC82" s="28">
        <f t="shared" si="70"/>
        <v>0</v>
      </c>
      <c r="AD82" s="28">
        <f t="shared" si="70"/>
        <v>0</v>
      </c>
      <c r="AE82" s="28">
        <f t="shared" si="70"/>
        <v>0</v>
      </c>
      <c r="AF82" s="28">
        <f t="shared" si="70"/>
        <v>0</v>
      </c>
      <c r="AG82" s="28"/>
      <c r="AH82" s="28"/>
      <c r="AI82" s="28"/>
    </row>
    <row r="83" spans="2:35" outlineLevel="1">
      <c r="B83" s="21" t="s">
        <v>806</v>
      </c>
      <c r="D83" s="12"/>
      <c r="E83" s="12"/>
      <c r="F83" s="12"/>
      <c r="G83" s="12"/>
      <c r="H83" s="12"/>
      <c r="I83" s="28"/>
      <c r="J83" s="28"/>
      <c r="K83" s="28"/>
      <c r="L83" s="28"/>
      <c r="M83" s="28"/>
      <c r="N83" s="28"/>
      <c r="O83" s="28"/>
      <c r="P83" s="28">
        <f t="shared" si="62"/>
        <v>1740</v>
      </c>
      <c r="Q83" s="28">
        <f t="shared" si="62"/>
        <v>-12</v>
      </c>
      <c r="R83" s="28">
        <f t="shared" si="62"/>
        <v>1</v>
      </c>
      <c r="S83" s="28">
        <f t="shared" si="56"/>
        <v>1</v>
      </c>
      <c r="T83" s="28">
        <f t="shared" si="63"/>
        <v>20</v>
      </c>
      <c r="U83" s="28">
        <f t="shared" si="63"/>
        <v>0</v>
      </c>
      <c r="V83" s="28">
        <f t="shared" si="63"/>
        <v>0</v>
      </c>
      <c r="W83" s="28">
        <f>W26-V26</f>
        <v>0</v>
      </c>
      <c r="X83" s="28">
        <f>X26-W26</f>
        <v>0</v>
      </c>
      <c r="Y83" s="28">
        <f>Y26-X26</f>
        <v>0</v>
      </c>
      <c r="Z83" s="28">
        <f>Z26-Y26</f>
        <v>0</v>
      </c>
      <c r="AA83" s="28">
        <f t="shared" ref="AA83:AF83" si="71">AA26-Z26</f>
        <v>0</v>
      </c>
      <c r="AB83" s="28">
        <f t="shared" si="71"/>
        <v>0</v>
      </c>
      <c r="AC83" s="28">
        <f t="shared" si="71"/>
        <v>0</v>
      </c>
      <c r="AD83" s="28">
        <f t="shared" si="71"/>
        <v>0</v>
      </c>
      <c r="AE83" s="28">
        <f t="shared" si="71"/>
        <v>0</v>
      </c>
      <c r="AF83" s="28">
        <f t="shared" si="71"/>
        <v>0</v>
      </c>
      <c r="AG83" s="28"/>
      <c r="AH83" s="28"/>
      <c r="AI83" s="28"/>
    </row>
    <row r="84" spans="2:35" outlineLevel="1">
      <c r="B84" s="21" t="s">
        <v>836</v>
      </c>
      <c r="D84" s="12"/>
      <c r="E84" s="12"/>
      <c r="F84" s="12"/>
      <c r="G84" s="12"/>
      <c r="H84" s="12"/>
      <c r="I84" s="28"/>
      <c r="J84" s="28"/>
      <c r="K84" s="28"/>
      <c r="L84" s="28"/>
      <c r="M84" s="28"/>
      <c r="N84" s="28"/>
      <c r="O84" s="28"/>
      <c r="P84" s="28">
        <f>P27-O27</f>
        <v>0</v>
      </c>
      <c r="Q84" s="28">
        <f t="shared" ref="Q84:AF84" si="72">Q27-P27</f>
        <v>997</v>
      </c>
      <c r="R84" s="28">
        <f t="shared" si="72"/>
        <v>1</v>
      </c>
      <c r="S84" s="28">
        <f t="shared" si="72"/>
        <v>1</v>
      </c>
      <c r="T84" s="28">
        <f t="shared" si="72"/>
        <v>-999</v>
      </c>
      <c r="U84" s="28">
        <f t="shared" si="72"/>
        <v>0</v>
      </c>
      <c r="V84" s="28">
        <f t="shared" si="72"/>
        <v>0</v>
      </c>
      <c r="W84" s="28">
        <f t="shared" si="72"/>
        <v>0</v>
      </c>
      <c r="X84" s="28">
        <f t="shared" si="72"/>
        <v>0</v>
      </c>
      <c r="Y84" s="28">
        <f t="shared" si="72"/>
        <v>0</v>
      </c>
      <c r="Z84" s="28">
        <f t="shared" si="72"/>
        <v>0</v>
      </c>
      <c r="AA84" s="28">
        <f t="shared" si="72"/>
        <v>0</v>
      </c>
      <c r="AB84" s="28">
        <f t="shared" si="72"/>
        <v>0</v>
      </c>
      <c r="AC84" s="28">
        <f t="shared" si="72"/>
        <v>0</v>
      </c>
      <c r="AD84" s="28">
        <f t="shared" si="72"/>
        <v>0</v>
      </c>
      <c r="AE84" s="28">
        <f t="shared" si="72"/>
        <v>0</v>
      </c>
      <c r="AF84" s="28">
        <f t="shared" si="72"/>
        <v>0</v>
      </c>
      <c r="AG84" s="28"/>
      <c r="AH84" s="28"/>
      <c r="AI84" s="28"/>
    </row>
    <row r="85" spans="2:35" outlineLevel="1">
      <c r="B85" s="21" t="s">
        <v>837</v>
      </c>
      <c r="D85" s="12"/>
      <c r="E85" s="12"/>
      <c r="F85" s="12"/>
      <c r="G85" s="12"/>
      <c r="H85" s="12"/>
      <c r="I85" s="28"/>
      <c r="J85" s="28"/>
      <c r="K85" s="28"/>
      <c r="L85" s="28"/>
      <c r="M85" s="28"/>
      <c r="N85" s="28"/>
      <c r="O85" s="28"/>
      <c r="P85" s="28">
        <f>P28-O28</f>
        <v>0</v>
      </c>
      <c r="Q85" s="28">
        <f t="shared" ref="Q85:AF85" si="73">Q28-P28</f>
        <v>1989</v>
      </c>
      <c r="R85" s="28">
        <f t="shared" si="73"/>
        <v>2</v>
      </c>
      <c r="S85" s="28">
        <f t="shared" si="73"/>
        <v>3</v>
      </c>
      <c r="T85" s="28">
        <f t="shared" si="73"/>
        <v>6</v>
      </c>
      <c r="U85" s="28">
        <f t="shared" si="73"/>
        <v>0</v>
      </c>
      <c r="V85" s="28">
        <f t="shared" si="73"/>
        <v>-2000</v>
      </c>
      <c r="W85" s="28">
        <f t="shared" si="73"/>
        <v>0</v>
      </c>
      <c r="X85" s="28">
        <f t="shared" si="73"/>
        <v>0</v>
      </c>
      <c r="Y85" s="28">
        <f t="shared" si="73"/>
        <v>0</v>
      </c>
      <c r="Z85" s="28">
        <f t="shared" si="73"/>
        <v>0</v>
      </c>
      <c r="AA85" s="28">
        <f t="shared" si="73"/>
        <v>0</v>
      </c>
      <c r="AB85" s="28">
        <f t="shared" si="73"/>
        <v>0</v>
      </c>
      <c r="AC85" s="28">
        <f t="shared" si="73"/>
        <v>0</v>
      </c>
      <c r="AD85" s="28">
        <f t="shared" si="73"/>
        <v>0</v>
      </c>
      <c r="AE85" s="28">
        <f t="shared" si="73"/>
        <v>0</v>
      </c>
      <c r="AF85" s="28">
        <f t="shared" si="73"/>
        <v>0</v>
      </c>
      <c r="AG85" s="28"/>
      <c r="AH85" s="28"/>
      <c r="AI85" s="28"/>
    </row>
    <row r="86" spans="2:35" outlineLevel="1">
      <c r="B86" s="21" t="s">
        <v>838</v>
      </c>
      <c r="D86" s="12"/>
      <c r="E86" s="12"/>
      <c r="F86" s="12"/>
      <c r="G86" s="12"/>
      <c r="H86" s="12"/>
      <c r="I86" s="28"/>
      <c r="J86" s="28"/>
      <c r="K86" s="28"/>
      <c r="L86" s="28"/>
      <c r="M86" s="28"/>
      <c r="N86" s="28"/>
      <c r="O86" s="28"/>
      <c r="P86" s="28">
        <f>P29-O29</f>
        <v>0</v>
      </c>
      <c r="Q86" s="28">
        <f t="shared" ref="Q86:AF87" si="74">Q29-P29</f>
        <v>995</v>
      </c>
      <c r="R86" s="28">
        <f t="shared" si="74"/>
        <v>0</v>
      </c>
      <c r="S86" s="28">
        <f t="shared" si="74"/>
        <v>1</v>
      </c>
      <c r="T86" s="28">
        <f t="shared" si="74"/>
        <v>4</v>
      </c>
      <c r="U86" s="28">
        <f t="shared" si="74"/>
        <v>0</v>
      </c>
      <c r="V86" s="28">
        <f t="shared" si="74"/>
        <v>0</v>
      </c>
      <c r="W86" s="28">
        <f t="shared" si="74"/>
        <v>0</v>
      </c>
      <c r="X86" s="28">
        <f t="shared" si="74"/>
        <v>-1000</v>
      </c>
      <c r="Y86" s="28">
        <f t="shared" si="74"/>
        <v>0</v>
      </c>
      <c r="Z86" s="28">
        <f t="shared" si="74"/>
        <v>0</v>
      </c>
      <c r="AA86" s="28">
        <f t="shared" si="74"/>
        <v>0</v>
      </c>
      <c r="AB86" s="28">
        <f t="shared" si="74"/>
        <v>0</v>
      </c>
      <c r="AC86" s="28">
        <f t="shared" si="74"/>
        <v>0</v>
      </c>
      <c r="AD86" s="28">
        <f t="shared" si="74"/>
        <v>0</v>
      </c>
      <c r="AE86" s="28">
        <f t="shared" si="74"/>
        <v>0</v>
      </c>
      <c r="AF86" s="28">
        <f t="shared" si="74"/>
        <v>0</v>
      </c>
      <c r="AG86" s="28"/>
      <c r="AH86" s="28"/>
      <c r="AI86" s="28"/>
    </row>
    <row r="87" spans="2:35" s="689" customFormat="1" outlineLevel="1">
      <c r="B87" s="999" t="s">
        <v>1113</v>
      </c>
      <c r="D87" s="692"/>
      <c r="E87" s="692"/>
      <c r="F87" s="692"/>
      <c r="G87" s="692"/>
      <c r="H87" s="692"/>
      <c r="I87" s="28"/>
      <c r="J87" s="28"/>
      <c r="K87" s="28"/>
      <c r="L87" s="28"/>
      <c r="M87" s="28"/>
      <c r="N87" s="28"/>
      <c r="O87" s="28"/>
      <c r="P87" s="28"/>
      <c r="Q87" s="28"/>
      <c r="R87" s="28"/>
      <c r="S87" s="28">
        <f t="shared" si="74"/>
        <v>2497</v>
      </c>
      <c r="T87" s="28">
        <f t="shared" ref="T87" si="75">T30-S30</f>
        <v>0</v>
      </c>
      <c r="U87" s="28">
        <f t="shared" ref="U87" si="76">U30-T30</f>
        <v>0</v>
      </c>
      <c r="V87" s="28">
        <f t="shared" ref="V87" si="77">V30-U30</f>
        <v>0</v>
      </c>
      <c r="W87" s="28">
        <f t="shared" ref="W87" si="78">W30-V30</f>
        <v>0</v>
      </c>
      <c r="X87" s="28">
        <f t="shared" ref="X87" si="79">X30-W30</f>
        <v>-2497</v>
      </c>
      <c r="Y87" s="28">
        <f t="shared" ref="Y87" si="80">Y30-X30</f>
        <v>0</v>
      </c>
      <c r="Z87" s="28">
        <f t="shared" ref="Z87" si="81">Z30-Y30</f>
        <v>0</v>
      </c>
      <c r="AA87" s="28">
        <f t="shared" ref="AA87" si="82">AA30-Z30</f>
        <v>0</v>
      </c>
      <c r="AB87" s="28">
        <f t="shared" ref="AB87" si="83">AB30-AA30</f>
        <v>0</v>
      </c>
      <c r="AC87" s="28">
        <f t="shared" ref="AC87" si="84">AC30-AB30</f>
        <v>0</v>
      </c>
      <c r="AD87" s="28">
        <f t="shared" ref="AD87" si="85">AD30-AC30</f>
        <v>0</v>
      </c>
      <c r="AE87" s="28">
        <f t="shared" ref="AE87" si="86">AE30-AD30</f>
        <v>0</v>
      </c>
      <c r="AF87" s="28">
        <f t="shared" ref="AF87" si="87">AF30-AE30</f>
        <v>0</v>
      </c>
      <c r="AG87" s="28"/>
      <c r="AH87" s="28"/>
      <c r="AI87" s="28"/>
    </row>
    <row r="88" spans="2:35" outlineLevel="1">
      <c r="B88" s="21" t="s">
        <v>839</v>
      </c>
      <c r="D88" s="12"/>
      <c r="E88" s="12"/>
      <c r="F88" s="12"/>
      <c r="G88" s="12"/>
      <c r="H88" s="12"/>
      <c r="I88" s="28"/>
      <c r="J88" s="28"/>
      <c r="K88" s="28"/>
      <c r="L88" s="28"/>
      <c r="M88" s="28"/>
      <c r="N88" s="28"/>
      <c r="O88" s="28"/>
      <c r="P88" s="28">
        <f>P31-O31</f>
        <v>0</v>
      </c>
      <c r="Q88" s="28">
        <f t="shared" ref="Q88:AF88" si="88">Q31-P31</f>
        <v>2724</v>
      </c>
      <c r="R88" s="28">
        <f t="shared" si="88"/>
        <v>2</v>
      </c>
      <c r="S88" s="28">
        <f t="shared" si="88"/>
        <v>3</v>
      </c>
      <c r="T88" s="28">
        <f t="shared" si="88"/>
        <v>21</v>
      </c>
      <c r="U88" s="28">
        <f t="shared" si="88"/>
        <v>0</v>
      </c>
      <c r="V88" s="28">
        <f t="shared" si="88"/>
        <v>0</v>
      </c>
      <c r="W88" s="28">
        <f t="shared" si="88"/>
        <v>0</v>
      </c>
      <c r="X88" s="28">
        <f t="shared" si="88"/>
        <v>0</v>
      </c>
      <c r="Y88" s="28">
        <f t="shared" si="88"/>
        <v>0</v>
      </c>
      <c r="Z88" s="28">
        <f t="shared" si="88"/>
        <v>0</v>
      </c>
      <c r="AA88" s="28">
        <f t="shared" si="88"/>
        <v>0</v>
      </c>
      <c r="AB88" s="28">
        <f t="shared" si="88"/>
        <v>-2750</v>
      </c>
      <c r="AC88" s="28">
        <f t="shared" si="88"/>
        <v>0</v>
      </c>
      <c r="AD88" s="28">
        <f t="shared" si="88"/>
        <v>0</v>
      </c>
      <c r="AE88" s="28">
        <f t="shared" si="88"/>
        <v>0</v>
      </c>
      <c r="AF88" s="28">
        <f t="shared" si="88"/>
        <v>0</v>
      </c>
      <c r="AG88" s="28"/>
      <c r="AH88" s="28"/>
      <c r="AI88" s="28"/>
    </row>
    <row r="89" spans="2:35" outlineLevel="1">
      <c r="B89" s="21" t="s">
        <v>841</v>
      </c>
      <c r="D89" s="12"/>
      <c r="E89" s="12"/>
      <c r="F89" s="12"/>
      <c r="G89" s="12"/>
      <c r="H89" s="12"/>
      <c r="I89" s="28"/>
      <c r="J89" s="28"/>
      <c r="K89" s="28"/>
      <c r="L89" s="28"/>
      <c r="M89" s="28"/>
      <c r="N89" s="28"/>
      <c r="O89" s="28"/>
      <c r="P89" s="28">
        <f>P32-O32</f>
        <v>0</v>
      </c>
      <c r="Q89" s="28">
        <f t="shared" ref="Q89:AF89" si="89">Q32-P32</f>
        <v>988</v>
      </c>
      <c r="R89" s="28">
        <f t="shared" si="89"/>
        <v>1</v>
      </c>
      <c r="S89" s="28">
        <f t="shared" si="89"/>
        <v>1</v>
      </c>
      <c r="T89" s="28">
        <f t="shared" si="89"/>
        <v>10</v>
      </c>
      <c r="U89" s="28">
        <f t="shared" si="89"/>
        <v>0</v>
      </c>
      <c r="V89" s="28">
        <f t="shared" si="89"/>
        <v>0</v>
      </c>
      <c r="W89" s="28">
        <f t="shared" si="89"/>
        <v>0</v>
      </c>
      <c r="X89" s="28">
        <f t="shared" si="89"/>
        <v>0</v>
      </c>
      <c r="Y89" s="28">
        <f t="shared" si="89"/>
        <v>0</v>
      </c>
      <c r="Z89" s="28">
        <f t="shared" si="89"/>
        <v>0</v>
      </c>
      <c r="AA89" s="28">
        <f t="shared" si="89"/>
        <v>0</v>
      </c>
      <c r="AB89" s="28">
        <f t="shared" si="89"/>
        <v>0</v>
      </c>
      <c r="AC89" s="28">
        <f t="shared" si="89"/>
        <v>0</v>
      </c>
      <c r="AD89" s="28">
        <f t="shared" si="89"/>
        <v>0</v>
      </c>
      <c r="AE89" s="28">
        <f t="shared" si="89"/>
        <v>0</v>
      </c>
      <c r="AF89" s="28">
        <f t="shared" si="89"/>
        <v>0</v>
      </c>
      <c r="AG89" s="28"/>
      <c r="AH89" s="28"/>
      <c r="AI89" s="28"/>
    </row>
    <row r="90" spans="2:35" outlineLevel="1">
      <c r="B90" s="21" t="s">
        <v>840</v>
      </c>
      <c r="D90" s="12"/>
      <c r="E90" s="12"/>
      <c r="F90" s="12"/>
      <c r="G90" s="12"/>
      <c r="H90" s="12"/>
      <c r="I90" s="28"/>
      <c r="J90" s="28"/>
      <c r="K90" s="28"/>
      <c r="L90" s="28"/>
      <c r="M90" s="28"/>
      <c r="N90" s="28"/>
      <c r="O90" s="28"/>
      <c r="P90" s="28">
        <f>P33-O33</f>
        <v>0</v>
      </c>
      <c r="Q90" s="28">
        <f t="shared" ref="Q90:AF90" si="90">Q33-P33</f>
        <v>2212</v>
      </c>
      <c r="R90" s="28">
        <f t="shared" si="90"/>
        <v>2</v>
      </c>
      <c r="S90" s="28">
        <f t="shared" si="90"/>
        <v>1</v>
      </c>
      <c r="T90" s="28">
        <f t="shared" si="90"/>
        <v>35</v>
      </c>
      <c r="U90" s="28">
        <f t="shared" si="90"/>
        <v>0</v>
      </c>
      <c r="V90" s="28">
        <f t="shared" si="90"/>
        <v>0</v>
      </c>
      <c r="W90" s="28">
        <f t="shared" si="90"/>
        <v>0</v>
      </c>
      <c r="X90" s="28">
        <f t="shared" si="90"/>
        <v>0</v>
      </c>
      <c r="Y90" s="28">
        <f t="shared" si="90"/>
        <v>0</v>
      </c>
      <c r="Z90" s="28">
        <f t="shared" si="90"/>
        <v>0</v>
      </c>
      <c r="AA90" s="28">
        <f t="shared" si="90"/>
        <v>0</v>
      </c>
      <c r="AB90" s="28">
        <f t="shared" si="90"/>
        <v>0</v>
      </c>
      <c r="AC90" s="28">
        <f t="shared" si="90"/>
        <v>0</v>
      </c>
      <c r="AD90" s="28">
        <f t="shared" si="90"/>
        <v>0</v>
      </c>
      <c r="AE90" s="28">
        <f t="shared" si="90"/>
        <v>0</v>
      </c>
      <c r="AF90" s="28">
        <f t="shared" si="90"/>
        <v>0</v>
      </c>
      <c r="AG90" s="28"/>
      <c r="AH90" s="28"/>
      <c r="AI90" s="28"/>
    </row>
    <row r="91" spans="2:35" s="689" customFormat="1" outlineLevel="1">
      <c r="B91" s="21" t="s">
        <v>926</v>
      </c>
      <c r="D91" s="692"/>
      <c r="E91" s="692"/>
      <c r="F91" s="692"/>
      <c r="G91" s="692"/>
      <c r="H91" s="692"/>
      <c r="I91" s="28"/>
      <c r="J91" s="28"/>
      <c r="K91" s="28"/>
      <c r="L91" s="28"/>
      <c r="M91" s="28"/>
      <c r="N91" s="28"/>
      <c r="O91" s="28"/>
      <c r="P91" s="28"/>
      <c r="Q91" s="28"/>
      <c r="R91" s="28">
        <f t="shared" ref="R91:AF91" si="91">R34-Q34</f>
        <v>497</v>
      </c>
      <c r="S91" s="28">
        <f t="shared" si="91"/>
        <v>0</v>
      </c>
      <c r="T91" s="28">
        <f t="shared" si="91"/>
        <v>0</v>
      </c>
      <c r="U91" s="28">
        <f t="shared" si="91"/>
        <v>0</v>
      </c>
      <c r="V91" s="28">
        <f t="shared" si="91"/>
        <v>0</v>
      </c>
      <c r="W91" s="28">
        <f t="shared" si="91"/>
        <v>0</v>
      </c>
      <c r="X91" s="28">
        <f t="shared" si="91"/>
        <v>-497</v>
      </c>
      <c r="Y91" s="28">
        <f t="shared" si="91"/>
        <v>0</v>
      </c>
      <c r="Z91" s="28">
        <f t="shared" si="91"/>
        <v>0</v>
      </c>
      <c r="AA91" s="28">
        <f t="shared" si="91"/>
        <v>0</v>
      </c>
      <c r="AB91" s="28">
        <f t="shared" si="91"/>
        <v>0</v>
      </c>
      <c r="AC91" s="28">
        <f t="shared" si="91"/>
        <v>0</v>
      </c>
      <c r="AD91" s="28">
        <f t="shared" si="91"/>
        <v>0</v>
      </c>
      <c r="AE91" s="28">
        <f t="shared" si="91"/>
        <v>0</v>
      </c>
      <c r="AF91" s="28">
        <f t="shared" si="91"/>
        <v>0</v>
      </c>
      <c r="AG91" s="28"/>
      <c r="AH91" s="28"/>
      <c r="AI91" s="28"/>
    </row>
    <row r="92" spans="2:35" s="689" customFormat="1" outlineLevel="1">
      <c r="B92" s="21" t="s">
        <v>927</v>
      </c>
      <c r="D92" s="692"/>
      <c r="E92" s="692"/>
      <c r="F92" s="692"/>
      <c r="G92" s="692"/>
      <c r="H92" s="692"/>
      <c r="I92" s="28"/>
      <c r="J92" s="28"/>
      <c r="K92" s="28"/>
      <c r="L92" s="28"/>
      <c r="M92" s="28"/>
      <c r="N92" s="28"/>
      <c r="O92" s="28"/>
      <c r="P92" s="28"/>
      <c r="Q92" s="28"/>
      <c r="R92" s="28">
        <f t="shared" ref="R92:AF92" si="92">R35-Q35</f>
        <v>744</v>
      </c>
      <c r="S92" s="28">
        <f t="shared" si="92"/>
        <v>1</v>
      </c>
      <c r="T92" s="28">
        <f t="shared" si="92"/>
        <v>0</v>
      </c>
      <c r="U92" s="28">
        <f t="shared" si="92"/>
        <v>0</v>
      </c>
      <c r="V92" s="28">
        <f t="shared" si="92"/>
        <v>0</v>
      </c>
      <c r="W92" s="28">
        <f t="shared" si="92"/>
        <v>0</v>
      </c>
      <c r="X92" s="28">
        <f t="shared" si="92"/>
        <v>0</v>
      </c>
      <c r="Y92" s="28">
        <f t="shared" si="92"/>
        <v>-745</v>
      </c>
      <c r="Z92" s="28">
        <f t="shared" si="92"/>
        <v>0</v>
      </c>
      <c r="AA92" s="28">
        <f t="shared" si="92"/>
        <v>0</v>
      </c>
      <c r="AB92" s="28">
        <f t="shared" si="92"/>
        <v>0</v>
      </c>
      <c r="AC92" s="28">
        <f t="shared" si="92"/>
        <v>0</v>
      </c>
      <c r="AD92" s="28">
        <f t="shared" si="92"/>
        <v>0</v>
      </c>
      <c r="AE92" s="28">
        <f t="shared" si="92"/>
        <v>0</v>
      </c>
      <c r="AF92" s="28">
        <f t="shared" si="92"/>
        <v>0</v>
      </c>
      <c r="AG92" s="28"/>
      <c r="AH92" s="28"/>
      <c r="AI92" s="28"/>
    </row>
    <row r="93" spans="2:35" s="689" customFormat="1" outlineLevel="1">
      <c r="B93" s="21" t="s">
        <v>928</v>
      </c>
      <c r="D93" s="692"/>
      <c r="E93" s="692"/>
      <c r="F93" s="692"/>
      <c r="G93" s="692"/>
      <c r="H93" s="692"/>
      <c r="I93" s="28"/>
      <c r="J93" s="28"/>
      <c r="K93" s="28"/>
      <c r="L93" s="28"/>
      <c r="M93" s="28"/>
      <c r="N93" s="28"/>
      <c r="O93" s="28"/>
      <c r="P93" s="28"/>
      <c r="Q93" s="28"/>
      <c r="R93" s="28">
        <f t="shared" ref="R93:AF93" si="93">R36-Q36</f>
        <v>1243</v>
      </c>
      <c r="S93" s="28">
        <f t="shared" si="93"/>
        <v>1</v>
      </c>
      <c r="T93" s="28">
        <f t="shared" si="93"/>
        <v>0</v>
      </c>
      <c r="U93" s="28">
        <f t="shared" si="93"/>
        <v>0</v>
      </c>
      <c r="V93" s="28">
        <f t="shared" si="93"/>
        <v>0</v>
      </c>
      <c r="W93" s="28">
        <f t="shared" si="93"/>
        <v>0</v>
      </c>
      <c r="X93" s="28">
        <f t="shared" si="93"/>
        <v>0</v>
      </c>
      <c r="Y93" s="28">
        <f t="shared" si="93"/>
        <v>0</v>
      </c>
      <c r="Z93" s="28">
        <f t="shared" si="93"/>
        <v>0</v>
      </c>
      <c r="AA93" s="28">
        <f t="shared" si="93"/>
        <v>0</v>
      </c>
      <c r="AB93" s="28">
        <f t="shared" si="93"/>
        <v>0</v>
      </c>
      <c r="AC93" s="28">
        <f t="shared" si="93"/>
        <v>-1244</v>
      </c>
      <c r="AD93" s="28">
        <f t="shared" si="93"/>
        <v>0</v>
      </c>
      <c r="AE93" s="28">
        <f t="shared" si="93"/>
        <v>0</v>
      </c>
      <c r="AF93" s="28">
        <f t="shared" si="93"/>
        <v>0</v>
      </c>
      <c r="AG93" s="28"/>
      <c r="AH93" s="28"/>
      <c r="AI93" s="28"/>
    </row>
    <row r="94" spans="2:35" s="689" customFormat="1" outlineLevel="1">
      <c r="B94" s="21" t="s">
        <v>929</v>
      </c>
      <c r="D94" s="692"/>
      <c r="E94" s="692"/>
      <c r="F94" s="692"/>
      <c r="G94" s="692"/>
      <c r="H94" s="692"/>
      <c r="I94" s="28"/>
      <c r="J94" s="28"/>
      <c r="K94" s="28"/>
      <c r="L94" s="28"/>
      <c r="M94" s="28"/>
      <c r="N94" s="28"/>
      <c r="O94" s="28"/>
      <c r="P94" s="28"/>
      <c r="Q94" s="28"/>
      <c r="R94" s="28">
        <f t="shared" ref="R94:AF94" si="94">R37-Q37</f>
        <v>739</v>
      </c>
      <c r="S94" s="28">
        <f t="shared" si="94"/>
        <v>1</v>
      </c>
      <c r="T94" s="28">
        <f t="shared" si="94"/>
        <v>0</v>
      </c>
      <c r="U94" s="28">
        <f t="shared" si="94"/>
        <v>0</v>
      </c>
      <c r="V94" s="28">
        <f t="shared" si="94"/>
        <v>0</v>
      </c>
      <c r="W94" s="28">
        <f t="shared" si="94"/>
        <v>0</v>
      </c>
      <c r="X94" s="28">
        <f t="shared" si="94"/>
        <v>0</v>
      </c>
      <c r="Y94" s="28">
        <f t="shared" si="94"/>
        <v>0</v>
      </c>
      <c r="Z94" s="28">
        <f t="shared" si="94"/>
        <v>0</v>
      </c>
      <c r="AA94" s="28">
        <f t="shared" si="94"/>
        <v>0</v>
      </c>
      <c r="AB94" s="28">
        <f t="shared" si="94"/>
        <v>0</v>
      </c>
      <c r="AC94" s="28">
        <f t="shared" si="94"/>
        <v>0</v>
      </c>
      <c r="AD94" s="28">
        <f t="shared" si="94"/>
        <v>0</v>
      </c>
      <c r="AE94" s="28">
        <f t="shared" si="94"/>
        <v>0</v>
      </c>
      <c r="AF94" s="28">
        <f t="shared" si="94"/>
        <v>0</v>
      </c>
      <c r="AG94" s="28"/>
      <c r="AH94" s="28"/>
      <c r="AI94" s="28"/>
    </row>
    <row r="95" spans="2:35" s="689" customFormat="1" outlineLevel="1">
      <c r="B95" s="21" t="s">
        <v>930</v>
      </c>
      <c r="D95" s="692"/>
      <c r="E95" s="692"/>
      <c r="F95" s="692"/>
      <c r="G95" s="692"/>
      <c r="H95" s="692"/>
      <c r="I95" s="28"/>
      <c r="J95" s="28"/>
      <c r="K95" s="28"/>
      <c r="L95" s="28"/>
      <c r="M95" s="28"/>
      <c r="N95" s="28"/>
      <c r="O95" s="28"/>
      <c r="P95" s="28"/>
      <c r="Q95" s="28"/>
      <c r="R95" s="28">
        <f t="shared" ref="R95:AF95" si="95">R38-Q38</f>
        <v>1723</v>
      </c>
      <c r="S95" s="28">
        <f t="shared" si="95"/>
        <v>0</v>
      </c>
      <c r="T95" s="28">
        <f t="shared" si="95"/>
        <v>0</v>
      </c>
      <c r="U95" s="28">
        <f t="shared" si="95"/>
        <v>0</v>
      </c>
      <c r="V95" s="28">
        <f t="shared" si="95"/>
        <v>0</v>
      </c>
      <c r="W95" s="28">
        <f t="shared" si="95"/>
        <v>0</v>
      </c>
      <c r="X95" s="28">
        <f t="shared" si="95"/>
        <v>0</v>
      </c>
      <c r="Y95" s="28">
        <f t="shared" si="95"/>
        <v>0</v>
      </c>
      <c r="Z95" s="28">
        <f t="shared" si="95"/>
        <v>0</v>
      </c>
      <c r="AA95" s="28">
        <f t="shared" si="95"/>
        <v>0</v>
      </c>
      <c r="AB95" s="28">
        <f t="shared" si="95"/>
        <v>0</v>
      </c>
      <c r="AC95" s="28">
        <f t="shared" si="95"/>
        <v>0</v>
      </c>
      <c r="AD95" s="28">
        <f t="shared" si="95"/>
        <v>0</v>
      </c>
      <c r="AE95" s="28">
        <f t="shared" si="95"/>
        <v>0</v>
      </c>
      <c r="AF95" s="28">
        <f t="shared" si="95"/>
        <v>0</v>
      </c>
      <c r="AG95" s="28"/>
      <c r="AH95" s="28"/>
      <c r="AI95" s="28"/>
    </row>
    <row r="96" spans="2:35" s="689" customFormat="1" outlineLevel="1">
      <c r="B96" s="994" t="s">
        <v>1103</v>
      </c>
      <c r="D96" s="692"/>
      <c r="E96" s="692"/>
      <c r="F96" s="692"/>
      <c r="G96" s="692"/>
      <c r="H96" s="692"/>
      <c r="I96" s="28"/>
      <c r="J96" s="28"/>
      <c r="K96" s="28"/>
      <c r="L96" s="28"/>
      <c r="M96" s="28"/>
      <c r="N96" s="28"/>
      <c r="O96" s="28"/>
      <c r="P96" s="28"/>
      <c r="Q96" s="28"/>
      <c r="R96" s="28"/>
      <c r="S96" s="28">
        <f>S39-R39</f>
        <v>0</v>
      </c>
      <c r="T96" s="28">
        <f t="shared" ref="T96" si="96">T39-S39</f>
        <v>0</v>
      </c>
      <c r="U96" s="28">
        <f t="shared" ref="U96" si="97">U39-T39</f>
        <v>0</v>
      </c>
      <c r="V96" s="28">
        <f t="shared" ref="V96" si="98">V39-U39</f>
        <v>0</v>
      </c>
      <c r="W96" s="28">
        <f t="shared" ref="W96" si="99">W39-V39</f>
        <v>0</v>
      </c>
      <c r="X96" s="28">
        <f t="shared" ref="X96" si="100">X39-W39</f>
        <v>0</v>
      </c>
      <c r="Y96" s="28">
        <f t="shared" ref="Y96" si="101">Y39-X39</f>
        <v>0</v>
      </c>
      <c r="Z96" s="28">
        <f t="shared" ref="Z96" si="102">Z39-Y39</f>
        <v>0</v>
      </c>
      <c r="AA96" s="28">
        <f t="shared" ref="AA96" si="103">AA39-Z39</f>
        <v>0</v>
      </c>
      <c r="AB96" s="28">
        <f t="shared" ref="AB96" si="104">AB39-AA39</f>
        <v>0</v>
      </c>
      <c r="AC96" s="28">
        <f t="shared" ref="AC96" si="105">AC39-AB39</f>
        <v>0</v>
      </c>
      <c r="AD96" s="28">
        <f t="shared" ref="AD96" si="106">AD39-AC39</f>
        <v>0</v>
      </c>
      <c r="AE96" s="28">
        <f>AE39-AD39</f>
        <v>0</v>
      </c>
      <c r="AF96" s="28">
        <f>AF39-AE39</f>
        <v>0</v>
      </c>
      <c r="AG96" s="28"/>
      <c r="AH96" s="28"/>
      <c r="AI96" s="28"/>
    </row>
    <row r="97" spans="2:35" outlineLevel="1">
      <c r="B97" s="21" t="s">
        <v>469</v>
      </c>
      <c r="D97" s="12">
        <f t="shared" ref="D97:N97" si="107">D42-C42</f>
        <v>-1.4140000000000157</v>
      </c>
      <c r="E97" s="12">
        <f t="shared" si="107"/>
        <v>-4.9999999999954525E-3</v>
      </c>
      <c r="F97" s="12">
        <f t="shared" si="107"/>
        <v>-4.6999999999989051E-2</v>
      </c>
      <c r="G97" s="12">
        <f t="shared" si="107"/>
        <v>300.44099999999997</v>
      </c>
      <c r="H97" s="12">
        <f t="shared" si="107"/>
        <v>-190.26199999999994</v>
      </c>
      <c r="I97" s="28">
        <f t="shared" si="107"/>
        <v>-100.20399999999995</v>
      </c>
      <c r="J97" s="28">
        <f t="shared" si="107"/>
        <v>13.002999999999975</v>
      </c>
      <c r="K97" s="28">
        <f t="shared" si="107"/>
        <v>14.088999999999825</v>
      </c>
      <c r="L97" s="28">
        <f t="shared" si="107"/>
        <v>-7.7270000000004728</v>
      </c>
      <c r="M97" s="28">
        <f t="shared" si="107"/>
        <v>119.55300000000057</v>
      </c>
      <c r="N97" s="28">
        <f t="shared" si="107"/>
        <v>78.789000000001579</v>
      </c>
      <c r="O97" s="28"/>
      <c r="P97" s="28"/>
      <c r="Q97" s="28"/>
      <c r="R97" s="28"/>
      <c r="S97" s="28"/>
      <c r="T97" s="28"/>
      <c r="U97" s="28"/>
      <c r="V97" s="28"/>
      <c r="W97" s="28"/>
      <c r="X97" s="28"/>
      <c r="Y97" s="28"/>
      <c r="Z97" s="28"/>
      <c r="AA97" s="28"/>
      <c r="AB97" s="28"/>
      <c r="AC97" s="28"/>
      <c r="AD97" s="28"/>
      <c r="AE97" s="28"/>
      <c r="AF97" s="28"/>
      <c r="AG97" s="28"/>
      <c r="AH97" s="28"/>
      <c r="AI97" s="28"/>
    </row>
    <row r="98" spans="2:35" outlineLevel="1">
      <c r="B98" s="21" t="s">
        <v>470</v>
      </c>
      <c r="D98" s="12">
        <f t="shared" ref="D98:N98" si="108">D43-C43</f>
        <v>0</v>
      </c>
      <c r="E98" s="12">
        <f t="shared" si="108"/>
        <v>0</v>
      </c>
      <c r="F98" s="12">
        <f t="shared" si="108"/>
        <v>0</v>
      </c>
      <c r="G98" s="12">
        <f t="shared" si="108"/>
        <v>0</v>
      </c>
      <c r="H98" s="12">
        <f t="shared" si="108"/>
        <v>0</v>
      </c>
      <c r="I98" s="28">
        <f t="shared" si="108"/>
        <v>1.5</v>
      </c>
      <c r="J98" s="28">
        <f t="shared" si="108"/>
        <v>2.2000000000000002</v>
      </c>
      <c r="K98" s="28">
        <f t="shared" si="108"/>
        <v>0.5</v>
      </c>
      <c r="L98" s="28">
        <f t="shared" si="108"/>
        <v>0.79999999999999982</v>
      </c>
      <c r="M98" s="28">
        <f t="shared" si="108"/>
        <v>-5</v>
      </c>
      <c r="N98" s="28">
        <f t="shared" si="108"/>
        <v>750</v>
      </c>
      <c r="O98" s="208">
        <v>-750</v>
      </c>
      <c r="P98" s="28"/>
      <c r="Q98" s="28"/>
      <c r="R98" s="28"/>
      <c r="S98" s="28"/>
      <c r="T98" s="28"/>
      <c r="U98" s="28"/>
      <c r="V98" s="28"/>
      <c r="W98" s="28"/>
      <c r="X98" s="28"/>
      <c r="Y98" s="28"/>
      <c r="Z98" s="28"/>
      <c r="AA98" s="28"/>
      <c r="AB98" s="28"/>
      <c r="AC98" s="28"/>
      <c r="AD98" s="28"/>
      <c r="AE98" s="28"/>
      <c r="AF98" s="28"/>
      <c r="AG98" s="28"/>
      <c r="AH98" s="28"/>
      <c r="AI98" s="28"/>
    </row>
    <row r="99" spans="2:35" outlineLevel="1">
      <c r="B99" s="1" t="s">
        <v>479</v>
      </c>
      <c r="D99" s="156">
        <f t="shared" ref="D99:U99" si="109">SUM(D61:D98)</f>
        <v>343.58600000000001</v>
      </c>
      <c r="E99" s="156">
        <f t="shared" si="109"/>
        <v>-250.005</v>
      </c>
      <c r="F99" s="156">
        <f t="shared" si="109"/>
        <v>-345.04699999999997</v>
      </c>
      <c r="G99" s="156">
        <f t="shared" si="109"/>
        <v>300.44099999999997</v>
      </c>
      <c r="H99" s="156">
        <f t="shared" si="109"/>
        <v>1109.7380000000001</v>
      </c>
      <c r="I99" s="156">
        <f t="shared" si="109"/>
        <v>-98.703999999999951</v>
      </c>
      <c r="J99" s="156">
        <f t="shared" si="109"/>
        <v>-186.77199999999993</v>
      </c>
      <c r="K99" s="156">
        <f t="shared" si="109"/>
        <v>71.8299999999997</v>
      </c>
      <c r="L99" s="156">
        <f t="shared" si="109"/>
        <v>2315.3710000000001</v>
      </c>
      <c r="M99" s="156">
        <f t="shared" si="109"/>
        <v>4242.7230000000009</v>
      </c>
      <c r="N99" s="156">
        <f t="shared" si="109"/>
        <v>697.04300000000171</v>
      </c>
      <c r="O99" s="156">
        <f t="shared" si="109"/>
        <v>-1111.937815</v>
      </c>
      <c r="P99" s="156">
        <f>SUM(P61:P98)</f>
        <v>7773.8357712500001</v>
      </c>
      <c r="Q99" s="156">
        <f t="shared" si="109"/>
        <v>9863.4712500000005</v>
      </c>
      <c r="R99" s="156">
        <f>SUM(R61:R98)</f>
        <v>4679</v>
      </c>
      <c r="S99" s="156">
        <f>SUM(S61:S98)</f>
        <v>7507</v>
      </c>
      <c r="T99" s="156">
        <f t="shared" si="109"/>
        <v>-2644</v>
      </c>
      <c r="U99" s="156">
        <f t="shared" si="109"/>
        <v>-2743</v>
      </c>
      <c r="V99" s="156">
        <f>SUM(V61:V98)</f>
        <v>-3498</v>
      </c>
      <c r="W99" s="156">
        <f t="shared" ref="W99:AF99" si="110">SUM(W61:W98)</f>
        <v>-2241</v>
      </c>
      <c r="X99" s="156">
        <f t="shared" si="110"/>
        <v>-3994</v>
      </c>
      <c r="Y99" s="156">
        <f t="shared" si="110"/>
        <v>-745</v>
      </c>
      <c r="Z99" s="156">
        <f>SUM(Z61:Z98)</f>
        <v>-1742</v>
      </c>
      <c r="AA99" s="156">
        <f t="shared" si="110"/>
        <v>-1750</v>
      </c>
      <c r="AB99" s="156">
        <f t="shared" si="110"/>
        <v>-2750</v>
      </c>
      <c r="AC99" s="156">
        <f t="shared" si="110"/>
        <v>-1244</v>
      </c>
      <c r="AD99" s="156">
        <f t="shared" si="110"/>
        <v>0</v>
      </c>
      <c r="AE99" s="156">
        <f t="shared" si="110"/>
        <v>0</v>
      </c>
      <c r="AF99" s="156">
        <f t="shared" si="110"/>
        <v>0</v>
      </c>
      <c r="AG99" s="156"/>
      <c r="AH99" s="156"/>
      <c r="AI99" s="156"/>
    </row>
    <row r="100" spans="2:35" outlineLevel="1">
      <c r="B100" s="1" t="s">
        <v>472</v>
      </c>
      <c r="D100" s="87">
        <f>CF!D36+CF!D37+CF!D38+CF!D39</f>
        <v>335.22300000000001</v>
      </c>
      <c r="E100" s="87">
        <f>CF!E36+CF!E37+CF!E38+CF!E39</f>
        <v>-1.7150000000000001</v>
      </c>
      <c r="F100" s="87">
        <f>CF!F36+CF!F37+CF!F38+CF!F39</f>
        <v>-0.13700000000000001</v>
      </c>
      <c r="G100" s="87">
        <f>CF!G36+CF!G37+CF!G38+CF!G39</f>
        <v>298.613</v>
      </c>
      <c r="H100" s="87">
        <f>CF!H36+CF!H37+CF!H38+CF!H39</f>
        <v>1074.703</v>
      </c>
      <c r="I100" s="87">
        <f>CF!I36+CF!I37+CF!I38+CF!I39</f>
        <v>-99.459000000000003</v>
      </c>
      <c r="J100" s="87">
        <f>CF!J36+CF!J37+CF!J38+CF!J39</f>
        <v>-4.3259999999999996</v>
      </c>
      <c r="K100" s="87">
        <f>CF!K36+CF!K37+CF!K38+CF!K39</f>
        <v>-311.10300000000001</v>
      </c>
      <c r="L100" s="87">
        <f>CF!L36+CF!L37+CF!L38+CF!L39</f>
        <v>2456.7139999999999</v>
      </c>
      <c r="M100" s="87">
        <f>CF!M36+CF!M37+CF!M38+CF!M39</f>
        <v>4009.1530000000002</v>
      </c>
      <c r="N100" s="87">
        <f>+CF!N36+CF!N37+CF!N38+CF!N39+CF!N11</f>
        <v>305.40800000000036</v>
      </c>
      <c r="O100" s="87">
        <f>+CF!O36+CF!O37+CF!O38+CF!O39+CF!O11</f>
        <v>-4439.8909999999996</v>
      </c>
      <c r="P100" s="87">
        <f>+CF!P36+CF!P37+CF!P38+CF!P39+CF!P11</f>
        <v>3153</v>
      </c>
      <c r="Q100" s="87">
        <f>+CF!Q36+CF!Q37+CF!Q38+CF!Q39+CF!Q11</f>
        <v>8905</v>
      </c>
      <c r="R100" s="87">
        <f>+CF!R36+CF!R37+CF!R38+CF!R39+CF!R11</f>
        <v>3312</v>
      </c>
      <c r="S100" s="87">
        <f>+CF!S36+CF!S37+CF!S38+CF!S39+CF!S11</f>
        <v>7174</v>
      </c>
      <c r="T100" s="126">
        <f>+CF!T36+CF!T37+CF!T38+CF!T39+CF!T11</f>
        <v>-2644</v>
      </c>
      <c r="U100" s="126">
        <f>+CF!U36+CF!U37+CF!U38+CF!U39+CF!U11</f>
        <v>-2743</v>
      </c>
      <c r="V100" s="126">
        <f>+CF!V36+CF!V37+CF!V38+CF!V39+CF!V11</f>
        <v>-3498</v>
      </c>
      <c r="W100" s="126">
        <f>+CF!W36+CF!W37+CF!W38+CF!W39+CF!W11</f>
        <v>-2241</v>
      </c>
      <c r="X100" s="126">
        <f>+CF!X36+CF!X37+CF!X38+CF!X39+CF!X11</f>
        <v>-3994</v>
      </c>
      <c r="Y100" s="126">
        <f>+CF!Y36+CF!Y37+CF!Y38+CF!Y39+CF!Y11</f>
        <v>-745</v>
      </c>
      <c r="Z100" s="126">
        <f>+CF!Z36+CF!Z37+CF!Z38+CF!Z39+CF!Z11</f>
        <v>-1742</v>
      </c>
      <c r="AA100" s="126">
        <f>+CF!AA36+CF!AA37+CF!AA38+CF!AA39+CF!AA11</f>
        <v>-1750</v>
      </c>
      <c r="AB100" s="126">
        <f>+CF!AB36+CF!AB37+CF!AB38+CF!AB39+CF!AB11</f>
        <v>-2750</v>
      </c>
      <c r="AC100" s="126">
        <f>+CF!AC36+CF!AC37+CF!AC38+CF!AC39+CF!AC11</f>
        <v>-1244</v>
      </c>
      <c r="AD100" s="126">
        <f>+CF!AD36+CF!AD37+CF!AD38+CF!AD39+CF!AD11</f>
        <v>0</v>
      </c>
      <c r="AE100" s="126">
        <f>+CF!AE36+CF!AE37+CF!AE38+CF!AE39+CF!AE11</f>
        <v>0</v>
      </c>
      <c r="AF100" s="126">
        <f>+CF!AF36+CF!AF37+CF!AF38+CF!AF39+CF!AF11</f>
        <v>0</v>
      </c>
      <c r="AG100" s="126"/>
      <c r="AH100" s="126"/>
      <c r="AI100" s="87"/>
    </row>
    <row r="101" spans="2:35" outlineLevel="1">
      <c r="B101" s="21" t="s">
        <v>415</v>
      </c>
      <c r="D101" s="12">
        <f t="shared" ref="D101:U101" si="111">D99-D100</f>
        <v>8.3629999999999995</v>
      </c>
      <c r="E101" s="12">
        <f t="shared" si="111"/>
        <v>-248.29</v>
      </c>
      <c r="F101" s="12">
        <f t="shared" si="111"/>
        <v>-344.90999999999997</v>
      </c>
      <c r="G101" s="12">
        <f t="shared" si="111"/>
        <v>1.8279999999999745</v>
      </c>
      <c r="H101" s="12">
        <f t="shared" si="111"/>
        <v>35.035000000000082</v>
      </c>
      <c r="I101" s="28">
        <f t="shared" si="111"/>
        <v>0.7550000000000523</v>
      </c>
      <c r="J101" s="28">
        <f t="shared" si="111"/>
        <v>-182.44599999999994</v>
      </c>
      <c r="K101" s="28">
        <f t="shared" si="111"/>
        <v>382.93299999999971</v>
      </c>
      <c r="L101" s="28">
        <f t="shared" si="111"/>
        <v>-141.34299999999985</v>
      </c>
      <c r="M101" s="28">
        <f t="shared" si="111"/>
        <v>233.57000000000062</v>
      </c>
      <c r="N101" s="28">
        <f t="shared" si="111"/>
        <v>391.63500000000136</v>
      </c>
      <c r="O101" s="28">
        <f t="shared" si="111"/>
        <v>3327.9531849999994</v>
      </c>
      <c r="P101" s="28">
        <f t="shared" si="111"/>
        <v>4620.8357712500001</v>
      </c>
      <c r="Q101" s="28">
        <f t="shared" si="111"/>
        <v>958.47125000000051</v>
      </c>
      <c r="R101" s="28">
        <f t="shared" si="111"/>
        <v>1367</v>
      </c>
      <c r="S101" s="28">
        <f>S99-S100</f>
        <v>333</v>
      </c>
      <c r="T101" s="28">
        <f t="shared" si="111"/>
        <v>0</v>
      </c>
      <c r="U101" s="28">
        <f t="shared" si="111"/>
        <v>0</v>
      </c>
      <c r="V101" s="28">
        <f>V99-V100</f>
        <v>0</v>
      </c>
      <c r="W101" s="28">
        <f t="shared" ref="W101:AE101" si="112">W99-W100</f>
        <v>0</v>
      </c>
      <c r="X101" s="28">
        <f t="shared" si="112"/>
        <v>0</v>
      </c>
      <c r="Y101" s="28">
        <f t="shared" si="112"/>
        <v>0</v>
      </c>
      <c r="Z101" s="28">
        <f t="shared" si="112"/>
        <v>0</v>
      </c>
      <c r="AA101" s="28">
        <f t="shared" si="112"/>
        <v>0</v>
      </c>
      <c r="AB101" s="28">
        <f t="shared" si="112"/>
        <v>0</v>
      </c>
      <c r="AC101" s="28">
        <f t="shared" si="112"/>
        <v>0</v>
      </c>
      <c r="AD101" s="28">
        <f t="shared" si="112"/>
        <v>0</v>
      </c>
      <c r="AE101" s="28">
        <f t="shared" si="112"/>
        <v>0</v>
      </c>
      <c r="AF101" s="28">
        <f>AF99-AF100</f>
        <v>0</v>
      </c>
      <c r="AG101" s="28"/>
      <c r="AH101" s="28"/>
      <c r="AI101" s="28"/>
    </row>
    <row r="102" spans="2:35">
      <c r="M102" s="12"/>
    </row>
    <row r="103" spans="2:35" collapsed="1">
      <c r="B103" s="9" t="s">
        <v>480</v>
      </c>
      <c r="M103" s="12"/>
    </row>
    <row r="104" spans="2:35" hidden="1" outlineLevel="1">
      <c r="M104" s="127"/>
    </row>
    <row r="105" spans="2:35" hidden="1" outlineLevel="1">
      <c r="B105" s="21" t="str">
        <f>B4</f>
        <v xml:space="preserve">0.5% convertible senior notes due 2011 (2011 convertible senior notes) </v>
      </c>
    </row>
    <row r="106" spans="2:35" hidden="1" outlineLevel="1">
      <c r="B106" s="22" t="s">
        <v>481</v>
      </c>
      <c r="H106" s="128">
        <f>H4</f>
        <v>650</v>
      </c>
      <c r="I106" s="128">
        <f>I4</f>
        <v>650</v>
      </c>
      <c r="J106" s="128">
        <f>J4</f>
        <v>650</v>
      </c>
      <c r="K106" s="128">
        <f>K4</f>
        <v>606.78599999999994</v>
      </c>
      <c r="L106" s="128">
        <f>L4</f>
        <v>638.99099999999999</v>
      </c>
    </row>
    <row r="107" spans="2:35" hidden="1" outlineLevel="1">
      <c r="B107" s="22" t="s">
        <v>482</v>
      </c>
      <c r="H107" s="128"/>
      <c r="I107" s="128"/>
      <c r="J107" s="128"/>
      <c r="K107" s="128"/>
      <c r="L107" s="128">
        <f>+K108-L108</f>
        <v>32.204999999999998</v>
      </c>
    </row>
    <row r="108" spans="2:35" hidden="1" outlineLevel="1">
      <c r="B108" s="22" t="s">
        <v>483</v>
      </c>
      <c r="H108" s="128"/>
      <c r="I108" s="128"/>
      <c r="J108" s="128"/>
      <c r="K108" s="128">
        <v>43.201000000000001</v>
      </c>
      <c r="L108" s="128">
        <v>10.996</v>
      </c>
    </row>
    <row r="109" spans="2:35" hidden="1" outlineLevel="1">
      <c r="B109" s="22" t="s">
        <v>484</v>
      </c>
      <c r="H109" s="128"/>
      <c r="I109" s="128">
        <f>+H106*5.7%</f>
        <v>37.050000000000004</v>
      </c>
      <c r="J109" s="128">
        <f>+I106*5.7%</f>
        <v>37.050000000000004</v>
      </c>
      <c r="K109" s="128">
        <f>+J106*5.7%</f>
        <v>37.050000000000004</v>
      </c>
      <c r="L109" s="128">
        <f>+K106*5.7%</f>
        <v>34.586801999999999</v>
      </c>
    </row>
    <row r="110" spans="2:35" hidden="1" outlineLevel="1"/>
    <row r="111" spans="2:35" hidden="1" outlineLevel="1">
      <c r="B111" s="21" t="str">
        <f>B5</f>
        <v xml:space="preserve">0.625% convertible senior notes due 2013 (2013 convertible senior notes) </v>
      </c>
    </row>
    <row r="112" spans="2:35" hidden="1" outlineLevel="1">
      <c r="B112" s="22" t="s">
        <v>481</v>
      </c>
      <c r="H112" s="128">
        <f t="shared" ref="H112:N112" si="113">H5</f>
        <v>650</v>
      </c>
      <c r="I112" s="128">
        <f t="shared" si="113"/>
        <v>650</v>
      </c>
      <c r="J112" s="128">
        <f t="shared" si="113"/>
        <v>448.02500000000009</v>
      </c>
      <c r="K112" s="128">
        <f t="shared" si="113"/>
        <v>548.48</v>
      </c>
      <c r="L112" s="128">
        <f t="shared" si="113"/>
        <v>576.88400000000001</v>
      </c>
      <c r="M112" s="12">
        <f t="shared" si="113"/>
        <v>607.03599999999994</v>
      </c>
      <c r="N112" s="12">
        <f t="shared" si="113"/>
        <v>419.43299999999999</v>
      </c>
    </row>
    <row r="113" spans="2:17" hidden="1" outlineLevel="1">
      <c r="B113" s="22" t="s">
        <v>482</v>
      </c>
      <c r="H113" s="128"/>
      <c r="I113" s="128"/>
      <c r="J113" s="128"/>
      <c r="K113" s="128"/>
      <c r="L113" s="128">
        <v>28</v>
      </c>
      <c r="M113" s="12">
        <v>30</v>
      </c>
      <c r="N113" s="12">
        <v>31</v>
      </c>
    </row>
    <row r="114" spans="2:17" hidden="1" outlineLevel="1">
      <c r="B114" s="22" t="s">
        <v>483</v>
      </c>
      <c r="H114" s="128"/>
      <c r="I114" s="128"/>
      <c r="J114" s="128"/>
      <c r="K114" s="128">
        <v>101.387</v>
      </c>
      <c r="L114" s="128">
        <v>72.983000000000004</v>
      </c>
      <c r="M114" s="12">
        <f>+L114-M113</f>
        <v>42.983000000000004</v>
      </c>
      <c r="N114" s="12">
        <f>+M114-N113</f>
        <v>11.983000000000004</v>
      </c>
    </row>
    <row r="115" spans="2:17" hidden="1" outlineLevel="1">
      <c r="B115" s="22" t="s">
        <v>485</v>
      </c>
      <c r="H115" s="128"/>
      <c r="I115" s="128">
        <f t="shared" ref="I115:N115" si="114">+H112*5.8%</f>
        <v>37.699999999999996</v>
      </c>
      <c r="J115" s="128">
        <f t="shared" si="114"/>
        <v>37.699999999999996</v>
      </c>
      <c r="K115" s="128">
        <f t="shared" si="114"/>
        <v>25.985450000000004</v>
      </c>
      <c r="L115" s="128">
        <f t="shared" si="114"/>
        <v>31.81184</v>
      </c>
      <c r="M115" s="12">
        <f t="shared" si="114"/>
        <v>33.459271999999999</v>
      </c>
      <c r="N115" s="12">
        <f t="shared" si="114"/>
        <v>35.208087999999996</v>
      </c>
    </row>
    <row r="116" spans="2:17" hidden="1" outlineLevel="1"/>
    <row r="117" spans="2:17" hidden="1" outlineLevel="1">
      <c r="B117" s="21" t="str">
        <f>B6</f>
        <v xml:space="preserve">1.0% convertible senior notes due 2014 (2014 convertible senior notes) </v>
      </c>
    </row>
    <row r="118" spans="2:17" hidden="1" outlineLevel="1">
      <c r="B118" s="22" t="s">
        <v>481</v>
      </c>
      <c r="L118" s="12">
        <v>1153.8050000000001</v>
      </c>
      <c r="M118" s="12">
        <f>M6</f>
        <v>1181.5250000000001</v>
      </c>
      <c r="N118" s="12">
        <f>N6</f>
        <v>1210.213</v>
      </c>
      <c r="O118" s="12">
        <f>O6</f>
        <v>234.21700000000001</v>
      </c>
    </row>
    <row r="119" spans="2:17" hidden="1" outlineLevel="1">
      <c r="B119" s="22" t="s">
        <v>482</v>
      </c>
      <c r="L119" s="12"/>
      <c r="M119" s="12">
        <v>29</v>
      </c>
      <c r="N119" s="12">
        <v>30</v>
      </c>
      <c r="O119" s="12">
        <v>30</v>
      </c>
    </row>
    <row r="120" spans="2:17" hidden="1" outlineLevel="1">
      <c r="B120" s="22" t="s">
        <v>483</v>
      </c>
      <c r="L120" s="12">
        <v>96.194999999999993</v>
      </c>
      <c r="M120" s="12">
        <f>+L120-M119</f>
        <v>67.194999999999993</v>
      </c>
      <c r="N120" s="12">
        <f>+M120-N119</f>
        <v>37.194999999999993</v>
      </c>
      <c r="O120" s="12">
        <f>+N120-O119</f>
        <v>7.1949999999999932</v>
      </c>
    </row>
    <row r="121" spans="2:17" hidden="1" outlineLevel="1">
      <c r="B121" s="22" t="s">
        <v>486</v>
      </c>
      <c r="L121" s="12">
        <f>+K118*3.5%</f>
        <v>0</v>
      </c>
      <c r="M121" s="12">
        <f>+L118*3.5%</f>
        <v>40.383175000000008</v>
      </c>
      <c r="N121" s="12">
        <f>+M118*3.5%</f>
        <v>41.353375000000007</v>
      </c>
      <c r="O121" s="12">
        <f>+N118*3.5%</f>
        <v>42.357455000000002</v>
      </c>
    </row>
    <row r="122" spans="2:17" hidden="1" outlineLevel="1"/>
    <row r="123" spans="2:17" hidden="1" outlineLevel="1">
      <c r="B123" s="21" t="str">
        <f>B7</f>
        <v xml:space="preserve">1.625% convertible senior notes due 2016 (2016 convertible senior notes) </v>
      </c>
    </row>
    <row r="124" spans="2:17" hidden="1" outlineLevel="1">
      <c r="B124" s="22" t="s">
        <v>481</v>
      </c>
      <c r="L124" s="12">
        <v>1107.884</v>
      </c>
      <c r="M124" s="12">
        <f>M7</f>
        <v>1132.2929999999999</v>
      </c>
      <c r="N124" s="12">
        <f>N7</f>
        <v>1157.692</v>
      </c>
      <c r="O124" s="12">
        <f>O7</f>
        <v>1113.0429999999999</v>
      </c>
      <c r="P124" s="12">
        <f>P7</f>
        <v>483</v>
      </c>
      <c r="Q124" s="12">
        <f>Q7</f>
        <v>283</v>
      </c>
    </row>
    <row r="125" spans="2:17" hidden="1" outlineLevel="1">
      <c r="B125" s="22" t="s">
        <v>482</v>
      </c>
      <c r="L125" s="12"/>
      <c r="M125" s="12">
        <f>+M127-M174</f>
        <v>26.312244999999997</v>
      </c>
      <c r="N125" s="12">
        <f>+N127-N174</f>
        <v>26.891958750000001</v>
      </c>
      <c r="O125" s="12">
        <f>+O127-O174</f>
        <v>27.495184999999996</v>
      </c>
      <c r="P125" s="12">
        <f>+P127-P174</f>
        <v>26.434771249999997</v>
      </c>
      <c r="Q125" s="12">
        <f>+Q127-Q174</f>
        <v>11.471250000000001</v>
      </c>
    </row>
    <row r="126" spans="2:17" hidden="1" outlineLevel="1">
      <c r="B126" s="22" t="s">
        <v>483</v>
      </c>
      <c r="L126" s="12">
        <v>142.11600000000001</v>
      </c>
      <c r="M126" s="12">
        <f>+L126-M125</f>
        <v>115.80375500000002</v>
      </c>
      <c r="N126" s="12">
        <f>+M126-N125</f>
        <v>88.911796250000023</v>
      </c>
      <c r="O126" s="12">
        <f>+N126-O125</f>
        <v>61.416611250000031</v>
      </c>
      <c r="P126" s="12">
        <f>+O126-P125</f>
        <v>34.981840000000034</v>
      </c>
      <c r="Q126" s="12">
        <f>+P126-Q125</f>
        <v>23.510590000000033</v>
      </c>
    </row>
    <row r="127" spans="2:17" hidden="1" outlineLevel="1">
      <c r="B127" s="22" t="s">
        <v>487</v>
      </c>
      <c r="L127" s="12">
        <f t="shared" ref="L127:Q127" si="115">+K124*4%</f>
        <v>0</v>
      </c>
      <c r="M127" s="12">
        <f t="shared" si="115"/>
        <v>44.315359999999998</v>
      </c>
      <c r="N127" s="12">
        <f t="shared" si="115"/>
        <v>45.291719999999998</v>
      </c>
      <c r="O127" s="12">
        <f t="shared" si="115"/>
        <v>46.307679999999998</v>
      </c>
      <c r="P127" s="12">
        <f t="shared" si="115"/>
        <v>44.521719999999995</v>
      </c>
      <c r="Q127" s="12">
        <f t="shared" si="115"/>
        <v>19.32</v>
      </c>
    </row>
    <row r="128" spans="2:17" collapsed="1"/>
    <row r="129" spans="2:35" collapsed="1">
      <c r="B129" s="19" t="s">
        <v>488</v>
      </c>
    </row>
    <row r="130" spans="2:35" outlineLevel="1">
      <c r="B130" s="20"/>
    </row>
    <row r="131" spans="2:35" outlineLevel="1">
      <c r="B131" s="21" t="s">
        <v>458</v>
      </c>
      <c r="C131" s="138">
        <v>5.0000000000000001E-3</v>
      </c>
      <c r="D131" s="138">
        <v>5.0000000000000001E-3</v>
      </c>
      <c r="E131" s="138">
        <v>5.0000000000000001E-3</v>
      </c>
      <c r="F131" s="138">
        <v>5.0000000000000001E-3</v>
      </c>
      <c r="G131" s="138">
        <v>5.0000000000000001E-3</v>
      </c>
      <c r="H131" s="138">
        <v>5.0000000000000001E-3</v>
      </c>
      <c r="I131" s="138">
        <v>5.0000000000000001E-3</v>
      </c>
      <c r="J131" s="138">
        <v>5.0000000000000001E-3</v>
      </c>
      <c r="K131" s="138">
        <v>5.0000000000000001E-3</v>
      </c>
      <c r="L131" s="138">
        <v>5.0000000000000001E-3</v>
      </c>
      <c r="M131" s="138">
        <f t="shared" ref="M131:N136" si="116">L131</f>
        <v>5.0000000000000001E-3</v>
      </c>
      <c r="N131" s="138">
        <f t="shared" si="116"/>
        <v>5.0000000000000001E-3</v>
      </c>
      <c r="O131" s="138">
        <f t="shared" ref="O131:V136" si="117">N131</f>
        <v>5.0000000000000001E-3</v>
      </c>
      <c r="P131" s="138">
        <f t="shared" si="117"/>
        <v>5.0000000000000001E-3</v>
      </c>
      <c r="Q131" s="138">
        <f t="shared" si="117"/>
        <v>5.0000000000000001E-3</v>
      </c>
      <c r="R131" s="138">
        <f t="shared" si="117"/>
        <v>5.0000000000000001E-3</v>
      </c>
      <c r="S131" s="138">
        <f t="shared" si="117"/>
        <v>5.0000000000000001E-3</v>
      </c>
      <c r="T131" s="138">
        <f t="shared" si="117"/>
        <v>5.0000000000000001E-3</v>
      </c>
      <c r="U131" s="138">
        <f t="shared" si="117"/>
        <v>5.0000000000000001E-3</v>
      </c>
      <c r="V131" s="138">
        <f t="shared" si="117"/>
        <v>5.0000000000000001E-3</v>
      </c>
      <c r="W131" s="138">
        <f t="shared" ref="W131:W139" si="118">V131</f>
        <v>5.0000000000000001E-3</v>
      </c>
      <c r="X131" s="138">
        <f t="shared" ref="X131:X139" si="119">W131</f>
        <v>5.0000000000000001E-3</v>
      </c>
      <c r="Y131" s="138">
        <f t="shared" ref="Y131:Y139" si="120">X131</f>
        <v>5.0000000000000001E-3</v>
      </c>
      <c r="Z131" s="138">
        <f t="shared" ref="Z131:Z139" si="121">Y131</f>
        <v>5.0000000000000001E-3</v>
      </c>
      <c r="AA131" s="138">
        <f t="shared" ref="AA131:AA139" si="122">Z131</f>
        <v>5.0000000000000001E-3</v>
      </c>
      <c r="AB131" s="138">
        <f t="shared" ref="AB131:AB139" si="123">AA131</f>
        <v>5.0000000000000001E-3</v>
      </c>
      <c r="AC131" s="138">
        <f t="shared" ref="AC131:AC139" si="124">AB131</f>
        <v>5.0000000000000001E-3</v>
      </c>
      <c r="AD131" s="138">
        <f t="shared" ref="AD131:AD139" si="125">AC131</f>
        <v>5.0000000000000001E-3</v>
      </c>
      <c r="AE131" s="138">
        <f t="shared" ref="AE131:AE139" si="126">AD131</f>
        <v>5.0000000000000001E-3</v>
      </c>
      <c r="AF131" s="138">
        <f t="shared" ref="AF131:AF139" si="127">AE131</f>
        <v>5.0000000000000001E-3</v>
      </c>
      <c r="AG131" s="138"/>
      <c r="AH131" s="129"/>
      <c r="AI131" s="129"/>
    </row>
    <row r="132" spans="2:35" outlineLevel="1">
      <c r="B132" s="21" t="s">
        <v>459</v>
      </c>
      <c r="C132" s="138">
        <v>6.2500000000000003E-3</v>
      </c>
      <c r="D132" s="138">
        <v>6.2500000000000003E-3</v>
      </c>
      <c r="E132" s="138">
        <v>6.2500000000000003E-3</v>
      </c>
      <c r="F132" s="138">
        <v>6.2500000000000003E-3</v>
      </c>
      <c r="G132" s="138">
        <v>6.2500000000000003E-3</v>
      </c>
      <c r="H132" s="138">
        <v>6.2500000000000003E-3</v>
      </c>
      <c r="I132" s="138">
        <v>6.2500000000000003E-3</v>
      </c>
      <c r="J132" s="138">
        <v>6.2500000000000003E-3</v>
      </c>
      <c r="K132" s="138">
        <v>6.2500000000000003E-3</v>
      </c>
      <c r="L132" s="138">
        <v>6.2500000000000003E-3</v>
      </c>
      <c r="M132" s="138">
        <f t="shared" si="116"/>
        <v>6.2500000000000003E-3</v>
      </c>
      <c r="N132" s="138">
        <f t="shared" si="116"/>
        <v>6.2500000000000003E-3</v>
      </c>
      <c r="O132" s="138">
        <f t="shared" si="117"/>
        <v>6.2500000000000003E-3</v>
      </c>
      <c r="P132" s="138">
        <f t="shared" si="117"/>
        <v>6.2500000000000003E-3</v>
      </c>
      <c r="Q132" s="138">
        <f t="shared" si="117"/>
        <v>6.2500000000000003E-3</v>
      </c>
      <c r="R132" s="138">
        <f t="shared" si="117"/>
        <v>6.2500000000000003E-3</v>
      </c>
      <c r="S132" s="138">
        <f t="shared" si="117"/>
        <v>6.2500000000000003E-3</v>
      </c>
      <c r="T132" s="138">
        <f t="shared" si="117"/>
        <v>6.2500000000000003E-3</v>
      </c>
      <c r="U132" s="138">
        <f t="shared" si="117"/>
        <v>6.2500000000000003E-3</v>
      </c>
      <c r="V132" s="138">
        <f t="shared" si="117"/>
        <v>6.2500000000000003E-3</v>
      </c>
      <c r="W132" s="138">
        <f t="shared" si="118"/>
        <v>6.2500000000000003E-3</v>
      </c>
      <c r="X132" s="138">
        <f t="shared" si="119"/>
        <v>6.2500000000000003E-3</v>
      </c>
      <c r="Y132" s="138">
        <f t="shared" si="120"/>
        <v>6.2500000000000003E-3</v>
      </c>
      <c r="Z132" s="138">
        <f t="shared" si="121"/>
        <v>6.2500000000000003E-3</v>
      </c>
      <c r="AA132" s="138">
        <f t="shared" si="122"/>
        <v>6.2500000000000003E-3</v>
      </c>
      <c r="AB132" s="138">
        <f t="shared" si="123"/>
        <v>6.2500000000000003E-3</v>
      </c>
      <c r="AC132" s="138">
        <f t="shared" si="124"/>
        <v>6.2500000000000003E-3</v>
      </c>
      <c r="AD132" s="138">
        <f t="shared" si="125"/>
        <v>6.2500000000000003E-3</v>
      </c>
      <c r="AE132" s="138">
        <f t="shared" si="126"/>
        <v>6.2500000000000003E-3</v>
      </c>
      <c r="AF132" s="138">
        <f t="shared" si="127"/>
        <v>6.2500000000000003E-3</v>
      </c>
      <c r="AG132" s="138"/>
      <c r="AH132" s="129"/>
      <c r="AI132" s="129"/>
    </row>
    <row r="133" spans="2:35" outlineLevel="1">
      <c r="B133" s="21" t="s">
        <v>460</v>
      </c>
      <c r="C133" s="138">
        <v>0.01</v>
      </c>
      <c r="D133" s="138">
        <v>0.01</v>
      </c>
      <c r="E133" s="138">
        <v>0.01</v>
      </c>
      <c r="F133" s="138">
        <v>0.01</v>
      </c>
      <c r="G133" s="138">
        <v>0.01</v>
      </c>
      <c r="H133" s="138">
        <v>0.01</v>
      </c>
      <c r="I133" s="138">
        <v>0.01</v>
      </c>
      <c r="J133" s="138">
        <v>0.01</v>
      </c>
      <c r="K133" s="138">
        <v>0.01</v>
      </c>
      <c r="L133" s="138">
        <v>0.01</v>
      </c>
      <c r="M133" s="138">
        <f t="shared" si="116"/>
        <v>0.01</v>
      </c>
      <c r="N133" s="138">
        <f t="shared" si="116"/>
        <v>0.01</v>
      </c>
      <c r="O133" s="138">
        <f t="shared" si="117"/>
        <v>0.01</v>
      </c>
      <c r="P133" s="138">
        <f t="shared" si="117"/>
        <v>0.01</v>
      </c>
      <c r="Q133" s="138">
        <f t="shared" si="117"/>
        <v>0.01</v>
      </c>
      <c r="R133" s="138">
        <f t="shared" si="117"/>
        <v>0.01</v>
      </c>
      <c r="S133" s="138">
        <f t="shared" si="117"/>
        <v>0.01</v>
      </c>
      <c r="T133" s="138">
        <f t="shared" si="117"/>
        <v>0.01</v>
      </c>
      <c r="U133" s="138">
        <f t="shared" si="117"/>
        <v>0.01</v>
      </c>
      <c r="V133" s="138">
        <f t="shared" si="117"/>
        <v>0.01</v>
      </c>
      <c r="W133" s="138">
        <f t="shared" si="118"/>
        <v>0.01</v>
      </c>
      <c r="X133" s="138">
        <f t="shared" si="119"/>
        <v>0.01</v>
      </c>
      <c r="Y133" s="138">
        <f t="shared" si="120"/>
        <v>0.01</v>
      </c>
      <c r="Z133" s="138">
        <f t="shared" si="121"/>
        <v>0.01</v>
      </c>
      <c r="AA133" s="138">
        <f t="shared" si="122"/>
        <v>0.01</v>
      </c>
      <c r="AB133" s="138">
        <f t="shared" si="123"/>
        <v>0.01</v>
      </c>
      <c r="AC133" s="138">
        <f t="shared" si="124"/>
        <v>0.01</v>
      </c>
      <c r="AD133" s="138">
        <f t="shared" si="125"/>
        <v>0.01</v>
      </c>
      <c r="AE133" s="138">
        <f t="shared" si="126"/>
        <v>0.01</v>
      </c>
      <c r="AF133" s="138">
        <f t="shared" si="127"/>
        <v>0.01</v>
      </c>
      <c r="AG133" s="138"/>
      <c r="AH133" s="129"/>
      <c r="AI133" s="129"/>
    </row>
    <row r="134" spans="2:35" outlineLevel="1">
      <c r="B134" s="21" t="s">
        <v>461</v>
      </c>
      <c r="C134" s="138">
        <v>1.6250000000000001E-2</v>
      </c>
      <c r="D134" s="138">
        <v>1.6250000000000001E-2</v>
      </c>
      <c r="E134" s="138">
        <v>1.6250000000000001E-2</v>
      </c>
      <c r="F134" s="138">
        <v>1.6250000000000001E-2</v>
      </c>
      <c r="G134" s="138">
        <v>1.6250000000000001E-2</v>
      </c>
      <c r="H134" s="138">
        <v>1.6250000000000001E-2</v>
      </c>
      <c r="I134" s="138">
        <v>1.6250000000000001E-2</v>
      </c>
      <c r="J134" s="138">
        <v>1.6250000000000001E-2</v>
      </c>
      <c r="K134" s="138">
        <v>1.6250000000000001E-2</v>
      </c>
      <c r="L134" s="138">
        <v>1.6250000000000001E-2</v>
      </c>
      <c r="M134" s="138">
        <f t="shared" si="116"/>
        <v>1.6250000000000001E-2</v>
      </c>
      <c r="N134" s="138">
        <f t="shared" si="116"/>
        <v>1.6250000000000001E-2</v>
      </c>
      <c r="O134" s="138">
        <f t="shared" si="117"/>
        <v>1.6250000000000001E-2</v>
      </c>
      <c r="P134" s="138">
        <f t="shared" si="117"/>
        <v>1.6250000000000001E-2</v>
      </c>
      <c r="Q134" s="138">
        <f t="shared" si="117"/>
        <v>1.6250000000000001E-2</v>
      </c>
      <c r="R134" s="138">
        <f t="shared" si="117"/>
        <v>1.6250000000000001E-2</v>
      </c>
      <c r="S134" s="138">
        <f t="shared" si="117"/>
        <v>1.6250000000000001E-2</v>
      </c>
      <c r="T134" s="138">
        <f t="shared" si="117"/>
        <v>1.6250000000000001E-2</v>
      </c>
      <c r="U134" s="138">
        <f t="shared" si="117"/>
        <v>1.6250000000000001E-2</v>
      </c>
      <c r="V134" s="138">
        <f t="shared" si="117"/>
        <v>1.6250000000000001E-2</v>
      </c>
      <c r="W134" s="138">
        <f t="shared" si="118"/>
        <v>1.6250000000000001E-2</v>
      </c>
      <c r="X134" s="138">
        <f t="shared" si="119"/>
        <v>1.6250000000000001E-2</v>
      </c>
      <c r="Y134" s="138">
        <f t="shared" si="120"/>
        <v>1.6250000000000001E-2</v>
      </c>
      <c r="Z134" s="138">
        <f t="shared" si="121"/>
        <v>1.6250000000000001E-2</v>
      </c>
      <c r="AA134" s="138">
        <f t="shared" si="122"/>
        <v>1.6250000000000001E-2</v>
      </c>
      <c r="AB134" s="138">
        <f t="shared" si="123"/>
        <v>1.6250000000000001E-2</v>
      </c>
      <c r="AC134" s="138">
        <f t="shared" si="124"/>
        <v>1.6250000000000001E-2</v>
      </c>
      <c r="AD134" s="138">
        <f t="shared" si="125"/>
        <v>1.6250000000000001E-2</v>
      </c>
      <c r="AE134" s="138">
        <f t="shared" si="126"/>
        <v>1.6250000000000001E-2</v>
      </c>
      <c r="AF134" s="138">
        <f t="shared" si="127"/>
        <v>1.6250000000000001E-2</v>
      </c>
      <c r="AG134" s="138"/>
      <c r="AH134" s="129"/>
      <c r="AI134" s="129"/>
    </row>
    <row r="135" spans="2:35" outlineLevel="1">
      <c r="B135" s="21" t="s">
        <v>462</v>
      </c>
      <c r="C135" s="138">
        <v>0.02</v>
      </c>
      <c r="D135" s="138">
        <v>0.02</v>
      </c>
      <c r="E135" s="138">
        <v>0.02</v>
      </c>
      <c r="F135" s="138">
        <v>0.02</v>
      </c>
      <c r="G135" s="138">
        <v>0.02</v>
      </c>
      <c r="H135" s="138">
        <v>0.02</v>
      </c>
      <c r="I135" s="138">
        <v>0.02</v>
      </c>
      <c r="J135" s="138">
        <v>0.02</v>
      </c>
      <c r="K135" s="138">
        <v>0.02</v>
      </c>
      <c r="L135" s="138">
        <v>0.02</v>
      </c>
      <c r="M135" s="138">
        <f t="shared" si="116"/>
        <v>0.02</v>
      </c>
      <c r="N135" s="138">
        <f t="shared" si="116"/>
        <v>0.02</v>
      </c>
      <c r="O135" s="138">
        <f t="shared" si="117"/>
        <v>0.02</v>
      </c>
      <c r="P135" s="138">
        <f t="shared" si="117"/>
        <v>0.02</v>
      </c>
      <c r="Q135" s="138">
        <f t="shared" si="117"/>
        <v>0.02</v>
      </c>
      <c r="R135" s="138">
        <f t="shared" si="117"/>
        <v>0.02</v>
      </c>
      <c r="S135" s="138">
        <f t="shared" si="117"/>
        <v>0.02</v>
      </c>
      <c r="T135" s="138">
        <f t="shared" si="117"/>
        <v>0.02</v>
      </c>
      <c r="U135" s="138">
        <f t="shared" si="117"/>
        <v>0.02</v>
      </c>
      <c r="V135" s="138">
        <f t="shared" si="117"/>
        <v>0.02</v>
      </c>
      <c r="W135" s="138">
        <f t="shared" si="118"/>
        <v>0.02</v>
      </c>
      <c r="X135" s="138">
        <f t="shared" si="119"/>
        <v>0.02</v>
      </c>
      <c r="Y135" s="138">
        <f t="shared" si="120"/>
        <v>0.02</v>
      </c>
      <c r="Z135" s="138">
        <f t="shared" si="121"/>
        <v>0.02</v>
      </c>
      <c r="AA135" s="138">
        <f t="shared" si="122"/>
        <v>0.02</v>
      </c>
      <c r="AB135" s="138">
        <f t="shared" si="123"/>
        <v>0.02</v>
      </c>
      <c r="AC135" s="138">
        <f t="shared" si="124"/>
        <v>0.02</v>
      </c>
      <c r="AD135" s="138">
        <f t="shared" si="125"/>
        <v>0.02</v>
      </c>
      <c r="AE135" s="138">
        <f t="shared" si="126"/>
        <v>0.02</v>
      </c>
      <c r="AF135" s="138">
        <f t="shared" si="127"/>
        <v>0.02</v>
      </c>
      <c r="AG135" s="138"/>
      <c r="AH135" s="129"/>
      <c r="AI135" s="129"/>
    </row>
    <row r="136" spans="2:35" outlineLevel="1">
      <c r="B136" s="21" t="s">
        <v>463</v>
      </c>
      <c r="C136" s="138">
        <v>0.05</v>
      </c>
      <c r="D136" s="138">
        <v>0.05</v>
      </c>
      <c r="E136" s="138">
        <v>0.05</v>
      </c>
      <c r="F136" s="138">
        <v>0.05</v>
      </c>
      <c r="G136" s="138">
        <v>0.05</v>
      </c>
      <c r="H136" s="138">
        <v>0.05</v>
      </c>
      <c r="I136" s="138">
        <v>0.05</v>
      </c>
      <c r="J136" s="138">
        <v>0.05</v>
      </c>
      <c r="K136" s="138">
        <v>0.05</v>
      </c>
      <c r="L136" s="138">
        <v>0.05</v>
      </c>
      <c r="M136" s="138">
        <f t="shared" si="116"/>
        <v>0.05</v>
      </c>
      <c r="N136" s="138">
        <f t="shared" si="116"/>
        <v>0.05</v>
      </c>
      <c r="O136" s="138">
        <f t="shared" si="117"/>
        <v>0.05</v>
      </c>
      <c r="P136" s="138">
        <f t="shared" si="117"/>
        <v>0.05</v>
      </c>
      <c r="Q136" s="138">
        <f t="shared" si="117"/>
        <v>0.05</v>
      </c>
      <c r="R136" s="138">
        <f t="shared" si="117"/>
        <v>0.05</v>
      </c>
      <c r="S136" s="138">
        <f t="shared" si="117"/>
        <v>0.05</v>
      </c>
      <c r="T136" s="138">
        <f t="shared" si="117"/>
        <v>0.05</v>
      </c>
      <c r="U136" s="138">
        <f t="shared" si="117"/>
        <v>0.05</v>
      </c>
      <c r="V136" s="138">
        <f t="shared" si="117"/>
        <v>0.05</v>
      </c>
      <c r="W136" s="138">
        <f t="shared" si="118"/>
        <v>0.05</v>
      </c>
      <c r="X136" s="138">
        <f t="shared" si="119"/>
        <v>0.05</v>
      </c>
      <c r="Y136" s="138">
        <f t="shared" si="120"/>
        <v>0.05</v>
      </c>
      <c r="Z136" s="138">
        <f t="shared" si="121"/>
        <v>0.05</v>
      </c>
      <c r="AA136" s="138">
        <f t="shared" si="122"/>
        <v>0.05</v>
      </c>
      <c r="AB136" s="138">
        <f t="shared" si="123"/>
        <v>0.05</v>
      </c>
      <c r="AC136" s="138">
        <f t="shared" si="124"/>
        <v>0.05</v>
      </c>
      <c r="AD136" s="138">
        <f t="shared" si="125"/>
        <v>0.05</v>
      </c>
      <c r="AE136" s="138">
        <f t="shared" si="126"/>
        <v>0.05</v>
      </c>
      <c r="AF136" s="138">
        <f t="shared" si="127"/>
        <v>0.05</v>
      </c>
      <c r="AG136" s="138"/>
      <c r="AH136" s="129"/>
      <c r="AI136" s="129"/>
    </row>
    <row r="137" spans="2:35" outlineLevel="1">
      <c r="B137" s="21" t="s">
        <v>489</v>
      </c>
      <c r="C137" s="138"/>
      <c r="D137" s="138"/>
      <c r="E137" s="138"/>
      <c r="F137" s="138"/>
      <c r="G137" s="138"/>
      <c r="H137" s="138"/>
      <c r="I137" s="138"/>
      <c r="J137" s="138"/>
      <c r="K137" s="138"/>
      <c r="L137" s="138"/>
      <c r="M137" s="138">
        <v>4.4999999999999998E-2</v>
      </c>
      <c r="N137" s="138">
        <f t="shared" ref="N137:V137" si="128">M137</f>
        <v>4.4999999999999998E-2</v>
      </c>
      <c r="O137" s="138">
        <f t="shared" si="128"/>
        <v>4.4999999999999998E-2</v>
      </c>
      <c r="P137" s="138">
        <f t="shared" si="128"/>
        <v>4.4999999999999998E-2</v>
      </c>
      <c r="Q137" s="138">
        <f t="shared" si="128"/>
        <v>4.4999999999999998E-2</v>
      </c>
      <c r="R137" s="138">
        <f t="shared" si="128"/>
        <v>4.4999999999999998E-2</v>
      </c>
      <c r="S137" s="138">
        <f t="shared" si="128"/>
        <v>4.4999999999999998E-2</v>
      </c>
      <c r="T137" s="138">
        <f t="shared" si="128"/>
        <v>4.4999999999999998E-2</v>
      </c>
      <c r="U137" s="138">
        <f t="shared" si="128"/>
        <v>4.4999999999999998E-2</v>
      </c>
      <c r="V137" s="138">
        <f t="shared" si="128"/>
        <v>4.4999999999999998E-2</v>
      </c>
      <c r="W137" s="138">
        <f t="shared" si="118"/>
        <v>4.4999999999999998E-2</v>
      </c>
      <c r="X137" s="138">
        <f t="shared" si="119"/>
        <v>4.4999999999999998E-2</v>
      </c>
      <c r="Y137" s="138">
        <f t="shared" si="120"/>
        <v>4.4999999999999998E-2</v>
      </c>
      <c r="Z137" s="138">
        <f t="shared" si="121"/>
        <v>4.4999999999999998E-2</v>
      </c>
      <c r="AA137" s="138">
        <f t="shared" si="122"/>
        <v>4.4999999999999998E-2</v>
      </c>
      <c r="AB137" s="138">
        <f t="shared" si="123"/>
        <v>4.4999999999999998E-2</v>
      </c>
      <c r="AC137" s="138">
        <f t="shared" si="124"/>
        <v>4.4999999999999998E-2</v>
      </c>
      <c r="AD137" s="138">
        <f t="shared" si="125"/>
        <v>4.4999999999999998E-2</v>
      </c>
      <c r="AE137" s="138">
        <f t="shared" si="126"/>
        <v>4.4999999999999998E-2</v>
      </c>
      <c r="AF137" s="138">
        <f t="shared" si="127"/>
        <v>4.4999999999999998E-2</v>
      </c>
      <c r="AG137" s="138"/>
      <c r="AH137" s="129"/>
      <c r="AI137" s="129"/>
    </row>
    <row r="138" spans="2:35" outlineLevel="1">
      <c r="B138" s="21" t="s">
        <v>464</v>
      </c>
      <c r="C138" s="138"/>
      <c r="D138" s="138"/>
      <c r="E138" s="138"/>
      <c r="F138" s="138"/>
      <c r="G138" s="138"/>
      <c r="H138" s="138"/>
      <c r="I138" s="138"/>
      <c r="J138" s="138"/>
      <c r="K138" s="138"/>
      <c r="L138" s="138"/>
      <c r="M138" s="138">
        <v>2.4E-2</v>
      </c>
      <c r="N138" s="138">
        <f t="shared" ref="N138:V138" si="129">M138</f>
        <v>2.4E-2</v>
      </c>
      <c r="O138" s="138">
        <f t="shared" si="129"/>
        <v>2.4E-2</v>
      </c>
      <c r="P138" s="138">
        <f t="shared" si="129"/>
        <v>2.4E-2</v>
      </c>
      <c r="Q138" s="138">
        <f t="shared" si="129"/>
        <v>2.4E-2</v>
      </c>
      <c r="R138" s="138">
        <f t="shared" si="129"/>
        <v>2.4E-2</v>
      </c>
      <c r="S138" s="138">
        <f t="shared" si="129"/>
        <v>2.4E-2</v>
      </c>
      <c r="T138" s="138">
        <f t="shared" si="129"/>
        <v>2.4E-2</v>
      </c>
      <c r="U138" s="138">
        <f t="shared" si="129"/>
        <v>2.4E-2</v>
      </c>
      <c r="V138" s="138">
        <f t="shared" si="129"/>
        <v>2.4E-2</v>
      </c>
      <c r="W138" s="138">
        <f t="shared" si="118"/>
        <v>2.4E-2</v>
      </c>
      <c r="X138" s="138">
        <f t="shared" si="119"/>
        <v>2.4E-2</v>
      </c>
      <c r="Y138" s="138">
        <f t="shared" si="120"/>
        <v>2.4E-2</v>
      </c>
      <c r="Z138" s="138">
        <f t="shared" si="121"/>
        <v>2.4E-2</v>
      </c>
      <c r="AA138" s="138">
        <f t="shared" si="122"/>
        <v>2.4E-2</v>
      </c>
      <c r="AB138" s="138">
        <f t="shared" si="123"/>
        <v>2.4E-2</v>
      </c>
      <c r="AC138" s="138">
        <f t="shared" si="124"/>
        <v>2.4E-2</v>
      </c>
      <c r="AD138" s="138">
        <f t="shared" si="125"/>
        <v>2.4E-2</v>
      </c>
      <c r="AE138" s="138">
        <f t="shared" si="126"/>
        <v>2.4E-2</v>
      </c>
      <c r="AF138" s="138">
        <f t="shared" si="127"/>
        <v>2.4E-2</v>
      </c>
      <c r="AG138" s="138"/>
      <c r="AH138" s="129"/>
      <c r="AI138" s="129"/>
    </row>
    <row r="139" spans="2:35" outlineLevel="1">
      <c r="B139" s="21" t="s">
        <v>465</v>
      </c>
      <c r="C139" s="138"/>
      <c r="D139" s="138"/>
      <c r="E139" s="138"/>
      <c r="F139" s="138"/>
      <c r="G139" s="138"/>
      <c r="H139" s="138"/>
      <c r="I139" s="138"/>
      <c r="J139" s="138"/>
      <c r="K139" s="138"/>
      <c r="L139" s="138"/>
      <c r="M139" s="138">
        <v>3.0499999999999999E-2</v>
      </c>
      <c r="N139" s="138">
        <f t="shared" ref="N139:V139" si="130">M139</f>
        <v>3.0499999999999999E-2</v>
      </c>
      <c r="O139" s="138">
        <f t="shared" si="130"/>
        <v>3.0499999999999999E-2</v>
      </c>
      <c r="P139" s="138">
        <f t="shared" si="130"/>
        <v>3.0499999999999999E-2</v>
      </c>
      <c r="Q139" s="138">
        <f t="shared" si="130"/>
        <v>3.0499999999999999E-2</v>
      </c>
      <c r="R139" s="138">
        <f t="shared" si="130"/>
        <v>3.0499999999999999E-2</v>
      </c>
      <c r="S139" s="138">
        <f t="shared" si="130"/>
        <v>3.0499999999999999E-2</v>
      </c>
      <c r="T139" s="138">
        <f t="shared" si="130"/>
        <v>3.0499999999999999E-2</v>
      </c>
      <c r="U139" s="138">
        <f t="shared" si="130"/>
        <v>3.0499999999999999E-2</v>
      </c>
      <c r="V139" s="138">
        <f t="shared" si="130"/>
        <v>3.0499999999999999E-2</v>
      </c>
      <c r="W139" s="138">
        <f t="shared" si="118"/>
        <v>3.0499999999999999E-2</v>
      </c>
      <c r="X139" s="138">
        <f t="shared" si="119"/>
        <v>3.0499999999999999E-2</v>
      </c>
      <c r="Y139" s="138">
        <f t="shared" si="120"/>
        <v>3.0499999999999999E-2</v>
      </c>
      <c r="Z139" s="138">
        <f t="shared" si="121"/>
        <v>3.0499999999999999E-2</v>
      </c>
      <c r="AA139" s="138">
        <f t="shared" si="122"/>
        <v>3.0499999999999999E-2</v>
      </c>
      <c r="AB139" s="138">
        <f t="shared" si="123"/>
        <v>3.0499999999999999E-2</v>
      </c>
      <c r="AC139" s="138">
        <f t="shared" si="124"/>
        <v>3.0499999999999999E-2</v>
      </c>
      <c r="AD139" s="138">
        <f t="shared" si="125"/>
        <v>3.0499999999999999E-2</v>
      </c>
      <c r="AE139" s="138">
        <f t="shared" si="126"/>
        <v>3.0499999999999999E-2</v>
      </c>
      <c r="AF139" s="138">
        <f t="shared" si="127"/>
        <v>3.0499999999999999E-2</v>
      </c>
      <c r="AG139" s="138"/>
      <c r="AH139" s="129"/>
      <c r="AI139" s="129"/>
    </row>
    <row r="140" spans="2:35" s="689" customFormat="1" outlineLevel="1">
      <c r="B140" s="21" t="s">
        <v>1028</v>
      </c>
      <c r="C140" s="138"/>
      <c r="D140" s="138"/>
      <c r="E140" s="138"/>
      <c r="F140" s="138"/>
      <c r="G140" s="138"/>
      <c r="H140" s="138"/>
      <c r="I140" s="138"/>
      <c r="J140" s="138"/>
      <c r="K140" s="138"/>
      <c r="L140" s="138"/>
      <c r="M140" s="138"/>
      <c r="N140" s="138"/>
      <c r="O140" s="138"/>
      <c r="P140" s="138"/>
      <c r="Q140" s="138"/>
      <c r="R140" s="138"/>
      <c r="S140" s="138">
        <v>1.32E-2</v>
      </c>
      <c r="T140" s="138">
        <v>1.32E-2</v>
      </c>
      <c r="U140" s="138"/>
      <c r="V140" s="138"/>
      <c r="W140" s="138"/>
      <c r="X140" s="138"/>
      <c r="Y140" s="138"/>
      <c r="Z140" s="138"/>
      <c r="AA140" s="138"/>
      <c r="AB140" s="138"/>
      <c r="AC140" s="138"/>
      <c r="AD140" s="138"/>
      <c r="AE140" s="138"/>
      <c r="AF140" s="138"/>
      <c r="AG140" s="138"/>
      <c r="AH140" s="129"/>
      <c r="AI140" s="129"/>
    </row>
    <row r="141" spans="2:35" s="689" customFormat="1" outlineLevel="1">
      <c r="B141" s="999" t="s">
        <v>1111</v>
      </c>
      <c r="C141" s="138"/>
      <c r="D141" s="138"/>
      <c r="E141" s="138"/>
      <c r="F141" s="138"/>
      <c r="G141" s="138"/>
      <c r="H141" s="138"/>
      <c r="I141" s="138"/>
      <c r="J141" s="138"/>
      <c r="K141" s="138"/>
      <c r="L141" s="138"/>
      <c r="M141" s="138"/>
      <c r="N141" s="138"/>
      <c r="O141" s="138"/>
      <c r="P141" s="138"/>
      <c r="Q141" s="138"/>
      <c r="R141" s="138"/>
      <c r="S141" s="647">
        <v>1.4999999999999999E-2</v>
      </c>
      <c r="T141" s="138"/>
      <c r="U141" s="138"/>
      <c r="V141" s="138"/>
      <c r="W141" s="138"/>
      <c r="X141" s="138"/>
      <c r="Y141" s="138"/>
      <c r="Z141" s="138"/>
      <c r="AA141" s="138"/>
      <c r="AB141" s="138"/>
      <c r="AC141" s="138"/>
      <c r="AD141" s="138"/>
      <c r="AE141" s="138"/>
      <c r="AF141" s="138"/>
      <c r="AG141" s="138"/>
      <c r="AH141" s="129"/>
      <c r="AI141" s="129"/>
    </row>
    <row r="142" spans="2:35" s="689" customFormat="1" outlineLevel="1">
      <c r="B142" s="21" t="s">
        <v>1027</v>
      </c>
      <c r="C142" s="138"/>
      <c r="D142" s="138"/>
      <c r="E142" s="138"/>
      <c r="F142" s="138"/>
      <c r="G142" s="138"/>
      <c r="H142" s="138"/>
      <c r="I142" s="138"/>
      <c r="J142" s="138"/>
      <c r="K142" s="138"/>
      <c r="L142" s="138"/>
      <c r="M142" s="138"/>
      <c r="N142" s="138"/>
      <c r="O142" s="138"/>
      <c r="P142" s="138"/>
      <c r="Q142" s="138"/>
      <c r="R142" s="138"/>
      <c r="S142" s="138">
        <v>1.32E-2</v>
      </c>
      <c r="T142" s="138">
        <v>1.32E-2</v>
      </c>
      <c r="U142" s="138">
        <v>1.32E-2</v>
      </c>
      <c r="V142" s="138"/>
      <c r="W142" s="138"/>
      <c r="X142" s="138"/>
      <c r="Y142" s="138"/>
      <c r="Z142" s="138"/>
      <c r="AA142" s="138"/>
      <c r="AB142" s="138"/>
      <c r="AC142" s="138"/>
      <c r="AD142" s="138"/>
      <c r="AE142" s="138"/>
      <c r="AF142" s="138"/>
      <c r="AG142" s="138"/>
      <c r="AH142" s="129"/>
      <c r="AI142" s="129"/>
    </row>
    <row r="143" spans="2:35" outlineLevel="1">
      <c r="B143" s="21" t="s">
        <v>733</v>
      </c>
      <c r="C143" s="138"/>
      <c r="D143" s="138"/>
      <c r="E143" s="138"/>
      <c r="F143" s="138"/>
      <c r="G143" s="138"/>
      <c r="H143" s="138"/>
      <c r="I143" s="138"/>
      <c r="J143" s="138"/>
      <c r="K143" s="138"/>
      <c r="L143" s="138"/>
      <c r="M143" s="138"/>
      <c r="N143" s="138"/>
      <c r="O143" s="138"/>
      <c r="P143" s="647">
        <v>2.0500000000000001E-2</v>
      </c>
      <c r="Q143" s="647">
        <v>2.0500000000000001E-2</v>
      </c>
      <c r="R143" s="647">
        <v>2.0500000000000001E-2</v>
      </c>
      <c r="S143" s="647">
        <v>2.0500000000000001E-2</v>
      </c>
      <c r="T143" s="647">
        <v>2.0500000000000001E-2</v>
      </c>
      <c r="U143" s="647">
        <v>2.0500000000000001E-2</v>
      </c>
      <c r="V143" s="647">
        <v>2.0500000000000001E-2</v>
      </c>
      <c r="W143" s="647">
        <v>2.0500000000000001E-2</v>
      </c>
      <c r="X143" s="647">
        <v>2.0500000000000001E-2</v>
      </c>
      <c r="Y143" s="647">
        <v>2.0500000000000001E-2</v>
      </c>
      <c r="Z143" s="647">
        <v>2.0500000000000001E-2</v>
      </c>
      <c r="AA143" s="647">
        <v>2.0500000000000001E-2</v>
      </c>
      <c r="AB143" s="647">
        <v>2.0500000000000001E-2</v>
      </c>
      <c r="AC143" s="647">
        <v>2.0500000000000001E-2</v>
      </c>
      <c r="AD143" s="647">
        <v>2.0500000000000001E-2</v>
      </c>
      <c r="AE143" s="647">
        <v>2.0500000000000001E-2</v>
      </c>
      <c r="AF143" s="647">
        <v>2.0500000000000001E-2</v>
      </c>
      <c r="AG143" s="138"/>
      <c r="AH143" s="129"/>
      <c r="AI143" s="129"/>
    </row>
    <row r="144" spans="2:35" s="689" customFormat="1" outlineLevel="1">
      <c r="B144" s="21" t="s">
        <v>1026</v>
      </c>
      <c r="C144" s="138"/>
      <c r="D144" s="138"/>
      <c r="E144" s="138"/>
      <c r="F144" s="138"/>
      <c r="G144" s="138"/>
      <c r="H144" s="138"/>
      <c r="I144" s="138"/>
      <c r="J144" s="138"/>
      <c r="K144" s="138"/>
      <c r="L144" s="138"/>
      <c r="M144" s="138"/>
      <c r="N144" s="138"/>
      <c r="O144" s="138"/>
      <c r="P144" s="647"/>
      <c r="Q144" s="647"/>
      <c r="R144" s="647"/>
      <c r="S144" s="138">
        <v>1.32E-2</v>
      </c>
      <c r="T144" s="138">
        <v>1.32E-2</v>
      </c>
      <c r="U144" s="138">
        <v>1.32E-2</v>
      </c>
      <c r="V144" s="647"/>
      <c r="W144" s="647"/>
      <c r="X144" s="647"/>
      <c r="Y144" s="647"/>
      <c r="Z144" s="647"/>
      <c r="AA144" s="647"/>
      <c r="AB144" s="647"/>
      <c r="AC144" s="647"/>
      <c r="AD144" s="647"/>
      <c r="AE144" s="647"/>
      <c r="AF144" s="647"/>
      <c r="AG144" s="138"/>
      <c r="AH144" s="129"/>
      <c r="AI144" s="129"/>
    </row>
    <row r="145" spans="2:35" s="689" customFormat="1" outlineLevel="1">
      <c r="B145" s="21" t="s">
        <v>1029</v>
      </c>
      <c r="C145" s="138"/>
      <c r="D145" s="138"/>
      <c r="E145" s="138"/>
      <c r="F145" s="138"/>
      <c r="G145" s="138"/>
      <c r="H145" s="138"/>
      <c r="I145" s="138"/>
      <c r="J145" s="138"/>
      <c r="K145" s="138"/>
      <c r="L145" s="138"/>
      <c r="M145" s="138"/>
      <c r="N145" s="138"/>
      <c r="O145" s="138"/>
      <c r="P145" s="647"/>
      <c r="Q145" s="647"/>
      <c r="R145" s="647"/>
      <c r="S145" s="138">
        <v>1.8499999999999999E-2</v>
      </c>
      <c r="T145" s="138">
        <f>S145</f>
        <v>1.8499999999999999E-2</v>
      </c>
      <c r="U145" s="138">
        <f>T145</f>
        <v>1.8499999999999999E-2</v>
      </c>
      <c r="V145" s="647"/>
      <c r="W145" s="647"/>
      <c r="X145" s="647"/>
      <c r="Y145" s="647"/>
      <c r="Z145" s="647"/>
      <c r="AA145" s="647"/>
      <c r="AB145" s="647"/>
      <c r="AC145" s="647"/>
      <c r="AD145" s="647"/>
      <c r="AE145" s="647"/>
      <c r="AF145" s="647"/>
      <c r="AG145" s="138"/>
      <c r="AH145" s="129"/>
      <c r="AI145" s="129"/>
    </row>
    <row r="146" spans="2:35" outlineLevel="1">
      <c r="B146" s="21" t="s">
        <v>804</v>
      </c>
      <c r="C146" s="138"/>
      <c r="D146" s="138"/>
      <c r="E146" s="138"/>
      <c r="F146" s="138"/>
      <c r="G146" s="138"/>
      <c r="H146" s="138"/>
      <c r="I146" s="138"/>
      <c r="J146" s="138"/>
      <c r="K146" s="138"/>
      <c r="L146" s="138"/>
      <c r="M146" s="138"/>
      <c r="N146" s="138"/>
      <c r="O146" s="138"/>
      <c r="P146" s="647">
        <v>2.35E-2</v>
      </c>
      <c r="Q146" s="647">
        <v>2.35E-2</v>
      </c>
      <c r="R146" s="647">
        <v>2.35E-2</v>
      </c>
      <c r="S146" s="647">
        <v>2.35E-2</v>
      </c>
      <c r="T146" s="647">
        <v>2.35E-2</v>
      </c>
      <c r="U146" s="647">
        <v>2.35E-2</v>
      </c>
      <c r="V146" s="647">
        <v>2.35E-2</v>
      </c>
      <c r="W146" s="647">
        <v>2.35E-2</v>
      </c>
      <c r="X146" s="647">
        <v>2.35E-2</v>
      </c>
      <c r="Y146" s="647">
        <v>2.35E-2</v>
      </c>
      <c r="Z146" s="647">
        <v>2.35E-2</v>
      </c>
      <c r="AA146" s="647">
        <v>2.35E-2</v>
      </c>
      <c r="AB146" s="647">
        <v>2.35E-2</v>
      </c>
      <c r="AC146" s="647">
        <v>2.35E-2</v>
      </c>
      <c r="AD146" s="647">
        <v>2.35E-2</v>
      </c>
      <c r="AE146" s="647">
        <v>2.35E-2</v>
      </c>
      <c r="AF146" s="647">
        <v>2.35E-2</v>
      </c>
      <c r="AG146" s="138"/>
      <c r="AH146" s="129"/>
      <c r="AI146" s="129"/>
    </row>
    <row r="147" spans="2:35" s="689" customFormat="1" outlineLevel="1">
      <c r="B147" s="999" t="s">
        <v>1118</v>
      </c>
      <c r="C147" s="138"/>
      <c r="D147" s="138"/>
      <c r="E147" s="138"/>
      <c r="F147" s="138"/>
      <c r="G147" s="138"/>
      <c r="H147" s="138"/>
      <c r="I147" s="138"/>
      <c r="J147" s="138"/>
      <c r="K147" s="138"/>
      <c r="L147" s="138"/>
      <c r="M147" s="138"/>
      <c r="N147" s="138"/>
      <c r="O147" s="138"/>
      <c r="P147" s="647"/>
      <c r="Q147" s="647"/>
      <c r="R147" s="647"/>
      <c r="S147" s="647">
        <v>1.4999999999999999E-2</v>
      </c>
      <c r="T147" s="138">
        <f>S147</f>
        <v>1.4999999999999999E-2</v>
      </c>
      <c r="U147" s="138">
        <f>T147</f>
        <v>1.4999999999999999E-2</v>
      </c>
      <c r="V147" s="647"/>
      <c r="W147" s="647"/>
      <c r="X147" s="647"/>
      <c r="Y147" s="647"/>
      <c r="Z147" s="647"/>
      <c r="AA147" s="647"/>
      <c r="AB147" s="647"/>
      <c r="AC147" s="647"/>
      <c r="AD147" s="647"/>
      <c r="AE147" s="647"/>
      <c r="AF147" s="647"/>
      <c r="AG147" s="138"/>
      <c r="AH147" s="129"/>
      <c r="AI147" s="129"/>
    </row>
    <row r="148" spans="2:35" outlineLevel="1">
      <c r="B148" s="21" t="s">
        <v>467</v>
      </c>
      <c r="C148" s="138"/>
      <c r="D148" s="138"/>
      <c r="E148" s="138"/>
      <c r="F148" s="138"/>
      <c r="G148" s="138"/>
      <c r="H148" s="138"/>
      <c r="I148" s="138"/>
      <c r="J148" s="138"/>
      <c r="K148" s="138"/>
      <c r="L148" s="138"/>
      <c r="M148" s="138">
        <v>4.3999999999999997E-2</v>
      </c>
      <c r="N148" s="138">
        <f t="shared" ref="N148:AF148" si="131">M148</f>
        <v>4.3999999999999997E-2</v>
      </c>
      <c r="O148" s="138">
        <f t="shared" si="131"/>
        <v>4.3999999999999997E-2</v>
      </c>
      <c r="P148" s="138">
        <f t="shared" si="131"/>
        <v>4.3999999999999997E-2</v>
      </c>
      <c r="Q148" s="138">
        <f t="shared" si="131"/>
        <v>4.3999999999999997E-2</v>
      </c>
      <c r="R148" s="138">
        <f t="shared" si="131"/>
        <v>4.3999999999999997E-2</v>
      </c>
      <c r="S148" s="138">
        <f t="shared" si="131"/>
        <v>4.3999999999999997E-2</v>
      </c>
      <c r="T148" s="138">
        <f t="shared" si="131"/>
        <v>4.3999999999999997E-2</v>
      </c>
      <c r="U148" s="138">
        <f t="shared" si="131"/>
        <v>4.3999999999999997E-2</v>
      </c>
      <c r="V148" s="138">
        <f t="shared" si="131"/>
        <v>4.3999999999999997E-2</v>
      </c>
      <c r="W148" s="138">
        <f t="shared" si="131"/>
        <v>4.3999999999999997E-2</v>
      </c>
      <c r="X148" s="138">
        <f t="shared" si="131"/>
        <v>4.3999999999999997E-2</v>
      </c>
      <c r="Y148" s="138">
        <f t="shared" si="131"/>
        <v>4.3999999999999997E-2</v>
      </c>
      <c r="Z148" s="138">
        <f t="shared" si="131"/>
        <v>4.3999999999999997E-2</v>
      </c>
      <c r="AA148" s="138">
        <f t="shared" si="131"/>
        <v>4.3999999999999997E-2</v>
      </c>
      <c r="AB148" s="138">
        <f t="shared" si="131"/>
        <v>4.3999999999999997E-2</v>
      </c>
      <c r="AC148" s="138">
        <f t="shared" si="131"/>
        <v>4.3999999999999997E-2</v>
      </c>
      <c r="AD148" s="138">
        <f t="shared" si="131"/>
        <v>4.3999999999999997E-2</v>
      </c>
      <c r="AE148" s="138">
        <f t="shared" si="131"/>
        <v>4.3999999999999997E-2</v>
      </c>
      <c r="AF148" s="138">
        <f t="shared" si="131"/>
        <v>4.3999999999999997E-2</v>
      </c>
      <c r="AG148" s="138"/>
      <c r="AH148" s="129"/>
      <c r="AI148" s="129"/>
    </row>
    <row r="149" spans="2:35" outlineLevel="1">
      <c r="B149" s="21" t="s">
        <v>734</v>
      </c>
      <c r="C149" s="138"/>
      <c r="D149" s="138"/>
      <c r="E149" s="138"/>
      <c r="F149" s="138"/>
      <c r="G149" s="138"/>
      <c r="H149" s="138"/>
      <c r="I149" s="138"/>
      <c r="J149" s="138"/>
      <c r="K149" s="138"/>
      <c r="L149" s="138"/>
      <c r="M149" s="138"/>
      <c r="N149" s="138"/>
      <c r="O149" s="138"/>
      <c r="P149" s="647">
        <v>3.6999999999999998E-2</v>
      </c>
      <c r="Q149" s="647">
        <v>3.6999999999999998E-2</v>
      </c>
      <c r="R149" s="647">
        <v>3.6999999999999998E-2</v>
      </c>
      <c r="S149" s="647">
        <v>3.6999999999999998E-2</v>
      </c>
      <c r="T149" s="647">
        <v>3.6999999999999998E-2</v>
      </c>
      <c r="U149" s="647">
        <v>3.6999999999999998E-2</v>
      </c>
      <c r="V149" s="647">
        <v>3.6999999999999998E-2</v>
      </c>
      <c r="W149" s="647">
        <v>3.6999999999999998E-2</v>
      </c>
      <c r="X149" s="647">
        <v>3.6999999999999998E-2</v>
      </c>
      <c r="Y149" s="647">
        <v>3.6999999999999998E-2</v>
      </c>
      <c r="Z149" s="647">
        <v>3.6999999999999998E-2</v>
      </c>
      <c r="AA149" s="647">
        <v>3.6999999999999998E-2</v>
      </c>
      <c r="AB149" s="647">
        <v>3.6999999999999998E-2</v>
      </c>
      <c r="AC149" s="647">
        <v>3.6999999999999998E-2</v>
      </c>
      <c r="AD149" s="647">
        <v>3.6999999999999998E-2</v>
      </c>
      <c r="AE149" s="647">
        <v>3.6999999999999998E-2</v>
      </c>
      <c r="AF149" s="647">
        <v>3.6999999999999998E-2</v>
      </c>
      <c r="AG149" s="138"/>
      <c r="AH149" s="129"/>
      <c r="AI149" s="129"/>
    </row>
    <row r="150" spans="2:35" outlineLevel="1">
      <c r="B150" s="21" t="s">
        <v>805</v>
      </c>
      <c r="C150" s="138"/>
      <c r="D150" s="138"/>
      <c r="E150" s="138"/>
      <c r="F150" s="138"/>
      <c r="G150" s="138"/>
      <c r="H150" s="138"/>
      <c r="I150" s="138"/>
      <c r="J150" s="138"/>
      <c r="K150" s="138"/>
      <c r="L150" s="138"/>
      <c r="M150" s="138"/>
      <c r="N150" s="138"/>
      <c r="O150" s="138"/>
      <c r="P150" s="647">
        <v>3.5000000000000003E-2</v>
      </c>
      <c r="Q150" s="647">
        <v>3.5000000000000003E-2</v>
      </c>
      <c r="R150" s="647">
        <v>3.5000000000000003E-2</v>
      </c>
      <c r="S150" s="647">
        <v>3.5000000000000003E-2</v>
      </c>
      <c r="T150" s="647">
        <v>3.5000000000000003E-2</v>
      </c>
      <c r="U150" s="647">
        <v>3.5000000000000003E-2</v>
      </c>
      <c r="V150" s="647">
        <v>3.5000000000000003E-2</v>
      </c>
      <c r="W150" s="647">
        <v>3.5000000000000003E-2</v>
      </c>
      <c r="X150" s="647">
        <v>3.5000000000000003E-2</v>
      </c>
      <c r="Y150" s="647">
        <v>3.5000000000000003E-2</v>
      </c>
      <c r="Z150" s="647">
        <v>3.5000000000000003E-2</v>
      </c>
      <c r="AA150" s="647">
        <v>3.5000000000000003E-2</v>
      </c>
      <c r="AB150" s="647">
        <v>3.5000000000000003E-2</v>
      </c>
      <c r="AC150" s="647">
        <v>3.5000000000000003E-2</v>
      </c>
      <c r="AD150" s="647">
        <v>3.5000000000000003E-2</v>
      </c>
      <c r="AE150" s="647">
        <v>3.5000000000000003E-2</v>
      </c>
      <c r="AF150" s="647">
        <v>3.5000000000000003E-2</v>
      </c>
      <c r="AG150" s="138"/>
      <c r="AH150" s="129"/>
      <c r="AI150" s="129"/>
    </row>
    <row r="151" spans="2:35" outlineLevel="1">
      <c r="B151" s="21" t="s">
        <v>468</v>
      </c>
      <c r="C151" s="138"/>
      <c r="D151" s="138"/>
      <c r="E151" s="138"/>
      <c r="F151" s="138"/>
      <c r="G151" s="138"/>
      <c r="H151" s="138"/>
      <c r="I151" s="138"/>
      <c r="J151" s="138"/>
      <c r="K151" s="138"/>
      <c r="L151" s="138"/>
      <c r="M151" s="138">
        <v>5.6500000000000002E-2</v>
      </c>
      <c r="N151" s="138">
        <f t="shared" ref="N151:AF151" si="132">M151</f>
        <v>5.6500000000000002E-2</v>
      </c>
      <c r="O151" s="138">
        <f t="shared" si="132"/>
        <v>5.6500000000000002E-2</v>
      </c>
      <c r="P151" s="138">
        <f t="shared" si="132"/>
        <v>5.6500000000000002E-2</v>
      </c>
      <c r="Q151" s="138">
        <f t="shared" si="132"/>
        <v>5.6500000000000002E-2</v>
      </c>
      <c r="R151" s="138">
        <f t="shared" si="132"/>
        <v>5.6500000000000002E-2</v>
      </c>
      <c r="S151" s="138">
        <f t="shared" si="132"/>
        <v>5.6500000000000002E-2</v>
      </c>
      <c r="T151" s="138">
        <f t="shared" si="132"/>
        <v>5.6500000000000002E-2</v>
      </c>
      <c r="U151" s="138">
        <f t="shared" si="132"/>
        <v>5.6500000000000002E-2</v>
      </c>
      <c r="V151" s="138">
        <f t="shared" si="132"/>
        <v>5.6500000000000002E-2</v>
      </c>
      <c r="W151" s="138">
        <f t="shared" si="132"/>
        <v>5.6500000000000002E-2</v>
      </c>
      <c r="X151" s="138">
        <f t="shared" si="132"/>
        <v>5.6500000000000002E-2</v>
      </c>
      <c r="Y151" s="138">
        <f t="shared" si="132"/>
        <v>5.6500000000000002E-2</v>
      </c>
      <c r="Z151" s="138">
        <f t="shared" si="132"/>
        <v>5.6500000000000002E-2</v>
      </c>
      <c r="AA151" s="138">
        <f t="shared" si="132"/>
        <v>5.6500000000000002E-2</v>
      </c>
      <c r="AB151" s="138">
        <f t="shared" si="132"/>
        <v>5.6500000000000002E-2</v>
      </c>
      <c r="AC151" s="138">
        <f t="shared" si="132"/>
        <v>5.6500000000000002E-2</v>
      </c>
      <c r="AD151" s="138">
        <f t="shared" si="132"/>
        <v>5.6500000000000002E-2</v>
      </c>
      <c r="AE151" s="138">
        <f t="shared" si="132"/>
        <v>5.6500000000000002E-2</v>
      </c>
      <c r="AF151" s="138">
        <f t="shared" si="132"/>
        <v>5.6500000000000002E-2</v>
      </c>
      <c r="AG151" s="138"/>
      <c r="AH151" s="129"/>
      <c r="AI151" s="129"/>
    </row>
    <row r="152" spans="2:35" outlineLevel="1">
      <c r="B152" s="21" t="s">
        <v>735</v>
      </c>
      <c r="C152" s="138"/>
      <c r="D152" s="138"/>
      <c r="E152" s="138"/>
      <c r="F152" s="138"/>
      <c r="G152" s="138"/>
      <c r="H152" s="138"/>
      <c r="I152" s="138"/>
      <c r="J152" s="138"/>
      <c r="K152" s="138"/>
      <c r="L152" s="138"/>
      <c r="M152" s="138"/>
      <c r="N152" s="138"/>
      <c r="O152" s="138"/>
      <c r="P152" s="647">
        <v>4.8000000000000001E-2</v>
      </c>
      <c r="Q152" s="647">
        <v>4.8000000000000001E-2</v>
      </c>
      <c r="R152" s="647">
        <v>4.8000000000000001E-2</v>
      </c>
      <c r="S152" s="647">
        <v>4.8000000000000001E-2</v>
      </c>
      <c r="T152" s="647">
        <v>4.8000000000000001E-2</v>
      </c>
      <c r="U152" s="647">
        <v>4.8000000000000001E-2</v>
      </c>
      <c r="V152" s="647">
        <v>4.8000000000000001E-2</v>
      </c>
      <c r="W152" s="647">
        <v>4.8000000000000001E-2</v>
      </c>
      <c r="X152" s="647">
        <v>4.8000000000000001E-2</v>
      </c>
      <c r="Y152" s="647">
        <v>4.8000000000000001E-2</v>
      </c>
      <c r="Z152" s="647">
        <v>4.8000000000000001E-2</v>
      </c>
      <c r="AA152" s="647">
        <v>4.8000000000000001E-2</v>
      </c>
      <c r="AB152" s="647">
        <v>4.8000000000000001E-2</v>
      </c>
      <c r="AC152" s="647">
        <v>4.8000000000000001E-2</v>
      </c>
      <c r="AD152" s="647">
        <v>4.8000000000000001E-2</v>
      </c>
      <c r="AE152" s="647">
        <v>4.8000000000000001E-2</v>
      </c>
      <c r="AF152" s="647">
        <v>4.8000000000000001E-2</v>
      </c>
      <c r="AG152" s="138"/>
      <c r="AH152" s="129"/>
      <c r="AI152" s="129"/>
    </row>
    <row r="153" spans="2:35" outlineLevel="1">
      <c r="B153" s="21" t="s">
        <v>806</v>
      </c>
      <c r="C153" s="138"/>
      <c r="D153" s="138"/>
      <c r="E153" s="138"/>
      <c r="F153" s="138"/>
      <c r="G153" s="138"/>
      <c r="H153" s="138"/>
      <c r="I153" s="138"/>
      <c r="J153" s="138"/>
      <c r="K153" s="138"/>
      <c r="L153" s="138"/>
      <c r="M153" s="138"/>
      <c r="N153" s="138"/>
      <c r="O153" s="138"/>
      <c r="P153" s="647">
        <v>4.4999999999999998E-2</v>
      </c>
      <c r="Q153" s="647">
        <v>4.4999999999999998E-2</v>
      </c>
      <c r="R153" s="647">
        <v>4.4999999999999998E-2</v>
      </c>
      <c r="S153" s="647">
        <v>4.4999999999999998E-2</v>
      </c>
      <c r="T153" s="647">
        <v>4.4999999999999998E-2</v>
      </c>
      <c r="U153" s="647">
        <v>4.4999999999999998E-2</v>
      </c>
      <c r="V153" s="647">
        <v>4.4999999999999998E-2</v>
      </c>
      <c r="W153" s="647">
        <v>4.4999999999999998E-2</v>
      </c>
      <c r="X153" s="647">
        <v>4.4999999999999998E-2</v>
      </c>
      <c r="Y153" s="647">
        <v>4.4999999999999998E-2</v>
      </c>
      <c r="Z153" s="647">
        <v>4.4999999999999998E-2</v>
      </c>
      <c r="AA153" s="647">
        <v>4.4999999999999998E-2</v>
      </c>
      <c r="AB153" s="647">
        <v>4.4999999999999998E-2</v>
      </c>
      <c r="AC153" s="647">
        <v>4.4999999999999998E-2</v>
      </c>
      <c r="AD153" s="647">
        <v>4.4999999999999998E-2</v>
      </c>
      <c r="AE153" s="647">
        <v>4.4999999999999998E-2</v>
      </c>
      <c r="AF153" s="647">
        <v>4.4999999999999998E-2</v>
      </c>
      <c r="AG153" s="138"/>
      <c r="AH153" s="129"/>
      <c r="AI153" s="129"/>
    </row>
    <row r="154" spans="2:35" outlineLevel="1">
      <c r="B154" s="21" t="s">
        <v>490</v>
      </c>
      <c r="C154" s="138"/>
      <c r="D154" s="138"/>
      <c r="E154" s="138"/>
      <c r="F154" s="138"/>
      <c r="G154" s="138"/>
      <c r="H154" s="138"/>
      <c r="I154" s="138"/>
      <c r="J154" s="138"/>
      <c r="K154" s="138"/>
      <c r="L154" s="138"/>
      <c r="M154" s="138">
        <v>0.02</v>
      </c>
      <c r="N154" s="138">
        <f t="shared" ref="N154:AF154" si="133">M154</f>
        <v>0.02</v>
      </c>
      <c r="O154" s="138">
        <f t="shared" si="133"/>
        <v>0.02</v>
      </c>
      <c r="P154" s="138">
        <f t="shared" si="133"/>
        <v>0.02</v>
      </c>
      <c r="Q154" s="138">
        <f t="shared" si="133"/>
        <v>0.02</v>
      </c>
      <c r="R154" s="138">
        <f t="shared" si="133"/>
        <v>0.02</v>
      </c>
      <c r="S154" s="138">
        <f t="shared" si="133"/>
        <v>0.02</v>
      </c>
      <c r="T154" s="138">
        <f t="shared" si="133"/>
        <v>0.02</v>
      </c>
      <c r="U154" s="138">
        <f t="shared" si="133"/>
        <v>0.02</v>
      </c>
      <c r="V154" s="138">
        <f t="shared" si="133"/>
        <v>0.02</v>
      </c>
      <c r="W154" s="138">
        <f t="shared" si="133"/>
        <v>0.02</v>
      </c>
      <c r="X154" s="138">
        <f t="shared" si="133"/>
        <v>0.02</v>
      </c>
      <c r="Y154" s="138">
        <f t="shared" si="133"/>
        <v>0.02</v>
      </c>
      <c r="Z154" s="138">
        <f t="shared" si="133"/>
        <v>0.02</v>
      </c>
      <c r="AA154" s="138">
        <f t="shared" si="133"/>
        <v>0.02</v>
      </c>
      <c r="AB154" s="138">
        <f t="shared" si="133"/>
        <v>0.02</v>
      </c>
      <c r="AC154" s="138">
        <f t="shared" si="133"/>
        <v>0.02</v>
      </c>
      <c r="AD154" s="138">
        <f t="shared" si="133"/>
        <v>0.02</v>
      </c>
      <c r="AE154" s="138">
        <f t="shared" si="133"/>
        <v>0.02</v>
      </c>
      <c r="AF154" s="138">
        <f t="shared" si="133"/>
        <v>0.02</v>
      </c>
      <c r="AG154" s="138"/>
      <c r="AH154" s="129"/>
      <c r="AI154" s="129"/>
    </row>
    <row r="155" spans="2:35" outlineLevel="1">
      <c r="B155" s="21" t="s">
        <v>836</v>
      </c>
      <c r="C155" s="138"/>
      <c r="D155" s="138"/>
      <c r="E155" s="138"/>
      <c r="F155" s="138"/>
      <c r="G155" s="138"/>
      <c r="H155" s="138"/>
      <c r="I155" s="138"/>
      <c r="J155" s="138"/>
      <c r="K155" s="138"/>
      <c r="L155" s="138"/>
      <c r="M155" s="138"/>
      <c r="N155" s="138"/>
      <c r="O155" s="138"/>
      <c r="P155" s="138"/>
      <c r="Q155" s="138">
        <v>1.8499999999999999E-2</v>
      </c>
      <c r="R155" s="138">
        <v>1.8499999999999999E-2</v>
      </c>
      <c r="S155" s="138">
        <v>1.8499999999999999E-2</v>
      </c>
      <c r="T155" s="138">
        <v>1.8499999999999999E-2</v>
      </c>
      <c r="U155" s="138">
        <v>1.8499999999999999E-2</v>
      </c>
      <c r="V155" s="138">
        <v>1.8499999999999999E-2</v>
      </c>
      <c r="W155" s="138">
        <v>1.8499999999999999E-2</v>
      </c>
      <c r="X155" s="138">
        <v>1.8499999999999999E-2</v>
      </c>
      <c r="Y155" s="138">
        <v>1.8499999999999999E-2</v>
      </c>
      <c r="Z155" s="138">
        <v>1.8499999999999999E-2</v>
      </c>
      <c r="AA155" s="138">
        <v>1.8499999999999999E-2</v>
      </c>
      <c r="AB155" s="138">
        <v>1.8499999999999999E-2</v>
      </c>
      <c r="AC155" s="138">
        <v>1.8499999999999999E-2</v>
      </c>
      <c r="AD155" s="138">
        <v>1.8499999999999999E-2</v>
      </c>
      <c r="AE155" s="138">
        <v>1.8499999999999999E-2</v>
      </c>
      <c r="AF155" s="138">
        <v>1.8499999999999999E-2</v>
      </c>
      <c r="AG155" s="138"/>
      <c r="AH155" s="129"/>
      <c r="AI155" s="129"/>
    </row>
    <row r="156" spans="2:35" outlineLevel="1">
      <c r="B156" s="21" t="s">
        <v>837</v>
      </c>
      <c r="C156" s="138"/>
      <c r="D156" s="138"/>
      <c r="E156" s="138"/>
      <c r="F156" s="138"/>
      <c r="G156" s="138"/>
      <c r="H156" s="138"/>
      <c r="I156" s="138"/>
      <c r="J156" s="138"/>
      <c r="K156" s="138"/>
      <c r="L156" s="138"/>
      <c r="M156" s="138"/>
      <c r="N156" s="138"/>
      <c r="O156" s="138"/>
      <c r="P156" s="138"/>
      <c r="Q156" s="138">
        <v>2.5499999999999998E-2</v>
      </c>
      <c r="R156" s="138">
        <v>2.5499999999999998E-2</v>
      </c>
      <c r="S156" s="138">
        <v>2.5499999999999998E-2</v>
      </c>
      <c r="T156" s="138">
        <v>2.5499999999999998E-2</v>
      </c>
      <c r="U156" s="138">
        <v>2.5499999999999998E-2</v>
      </c>
      <c r="V156" s="138">
        <v>2.5499999999999998E-2</v>
      </c>
      <c r="W156" s="138">
        <v>2.5499999999999998E-2</v>
      </c>
      <c r="X156" s="138">
        <v>2.5499999999999998E-2</v>
      </c>
      <c r="Y156" s="138">
        <v>2.5499999999999998E-2</v>
      </c>
      <c r="Z156" s="138">
        <v>2.5499999999999998E-2</v>
      </c>
      <c r="AA156" s="138">
        <v>2.5499999999999998E-2</v>
      </c>
      <c r="AB156" s="138">
        <v>2.5499999999999998E-2</v>
      </c>
      <c r="AC156" s="138">
        <v>2.5499999999999998E-2</v>
      </c>
      <c r="AD156" s="138">
        <v>2.5499999999999998E-2</v>
      </c>
      <c r="AE156" s="138">
        <v>2.5499999999999998E-2</v>
      </c>
      <c r="AF156" s="138">
        <v>2.5499999999999998E-2</v>
      </c>
      <c r="AG156" s="138"/>
      <c r="AH156" s="129"/>
      <c r="AI156" s="129"/>
    </row>
    <row r="157" spans="2:35" outlineLevel="1">
      <c r="B157" s="21" t="s">
        <v>838</v>
      </c>
      <c r="C157" s="138"/>
      <c r="D157" s="138"/>
      <c r="E157" s="138"/>
      <c r="F157" s="138"/>
      <c r="G157" s="138"/>
      <c r="H157" s="138"/>
      <c r="I157" s="138"/>
      <c r="J157" s="138"/>
      <c r="K157" s="138"/>
      <c r="L157" s="138"/>
      <c r="M157" s="138"/>
      <c r="N157" s="138"/>
      <c r="O157" s="138"/>
      <c r="P157" s="138"/>
      <c r="Q157" s="138">
        <v>3.2500000000000001E-2</v>
      </c>
      <c r="R157" s="138">
        <v>3.2500000000000001E-2</v>
      </c>
      <c r="S157" s="138">
        <v>3.2500000000000001E-2</v>
      </c>
      <c r="T157" s="138">
        <v>3.2500000000000001E-2</v>
      </c>
      <c r="U157" s="138">
        <v>3.2500000000000001E-2</v>
      </c>
      <c r="V157" s="138">
        <v>3.2500000000000001E-2</v>
      </c>
      <c r="W157" s="138">
        <v>3.2500000000000001E-2</v>
      </c>
      <c r="X157" s="138">
        <v>3.2500000000000001E-2</v>
      </c>
      <c r="Y157" s="138">
        <v>3.2500000000000001E-2</v>
      </c>
      <c r="Z157" s="138">
        <v>3.2500000000000001E-2</v>
      </c>
      <c r="AA157" s="138">
        <v>3.2500000000000001E-2</v>
      </c>
      <c r="AB157" s="138">
        <v>3.2500000000000001E-2</v>
      </c>
      <c r="AC157" s="138">
        <v>3.2500000000000001E-2</v>
      </c>
      <c r="AD157" s="138">
        <v>3.2500000000000001E-2</v>
      </c>
      <c r="AE157" s="138">
        <v>3.2500000000000001E-2</v>
      </c>
      <c r="AF157" s="138">
        <v>3.2500000000000001E-2</v>
      </c>
      <c r="AG157" s="138"/>
      <c r="AH157" s="129"/>
      <c r="AI157" s="129"/>
    </row>
    <row r="158" spans="2:35" s="689" customFormat="1" outlineLevel="1">
      <c r="B158" s="999" t="s">
        <v>1113</v>
      </c>
      <c r="C158" s="138"/>
      <c r="D158" s="138"/>
      <c r="E158" s="138"/>
      <c r="F158" s="138"/>
      <c r="G158" s="138"/>
      <c r="H158" s="138"/>
      <c r="I158" s="138"/>
      <c r="J158" s="138"/>
      <c r="K158" s="138"/>
      <c r="L158" s="138"/>
      <c r="M158" s="138"/>
      <c r="N158" s="138"/>
      <c r="O158" s="138"/>
      <c r="P158" s="138"/>
      <c r="Q158" s="138"/>
      <c r="R158" s="138"/>
      <c r="S158" s="647">
        <v>1.4999999999999999E-2</v>
      </c>
      <c r="T158" s="138">
        <f>S158</f>
        <v>1.4999999999999999E-2</v>
      </c>
      <c r="U158" s="138">
        <f>T158</f>
        <v>1.4999999999999999E-2</v>
      </c>
      <c r="V158" s="138">
        <f t="shared" ref="V158:W158" si="134">U158</f>
        <v>1.4999999999999999E-2</v>
      </c>
      <c r="W158" s="138">
        <f t="shared" si="134"/>
        <v>1.4999999999999999E-2</v>
      </c>
      <c r="X158" s="138"/>
      <c r="Y158" s="138"/>
      <c r="Z158" s="138"/>
      <c r="AA158" s="138"/>
      <c r="AB158" s="138"/>
      <c r="AC158" s="138"/>
      <c r="AD158" s="138"/>
      <c r="AE158" s="138"/>
      <c r="AF158" s="138"/>
      <c r="AG158" s="138"/>
      <c r="AH158" s="129"/>
      <c r="AI158" s="129"/>
    </row>
    <row r="159" spans="2:35" outlineLevel="1">
      <c r="B159" s="21" t="s">
        <v>839</v>
      </c>
      <c r="C159" s="138"/>
      <c r="D159" s="138"/>
      <c r="E159" s="138"/>
      <c r="F159" s="138"/>
      <c r="G159" s="138"/>
      <c r="H159" s="138"/>
      <c r="I159" s="138"/>
      <c r="J159" s="138"/>
      <c r="K159" s="138"/>
      <c r="L159" s="138"/>
      <c r="M159" s="138"/>
      <c r="N159" s="138"/>
      <c r="O159" s="138"/>
      <c r="P159" s="138"/>
      <c r="Q159" s="138">
        <v>3.6499999999999998E-2</v>
      </c>
      <c r="R159" s="138">
        <v>3.6499999999999998E-2</v>
      </c>
      <c r="S159" s="138">
        <v>3.6499999999999998E-2</v>
      </c>
      <c r="T159" s="138">
        <v>3.6499999999999998E-2</v>
      </c>
      <c r="U159" s="138">
        <v>3.6499999999999998E-2</v>
      </c>
      <c r="V159" s="138">
        <v>3.6499999999999998E-2</v>
      </c>
      <c r="W159" s="138">
        <v>3.6499999999999998E-2</v>
      </c>
      <c r="X159" s="138">
        <v>3.6499999999999998E-2</v>
      </c>
      <c r="Y159" s="138">
        <v>3.6499999999999998E-2</v>
      </c>
      <c r="Z159" s="138">
        <v>3.6499999999999998E-2</v>
      </c>
      <c r="AA159" s="138">
        <v>3.6499999999999998E-2</v>
      </c>
      <c r="AB159" s="138">
        <v>3.6499999999999998E-2</v>
      </c>
      <c r="AC159" s="138">
        <v>3.6499999999999998E-2</v>
      </c>
      <c r="AD159" s="138">
        <v>3.6499999999999998E-2</v>
      </c>
      <c r="AE159" s="138">
        <v>3.6499999999999998E-2</v>
      </c>
      <c r="AF159" s="138">
        <v>3.6499999999999998E-2</v>
      </c>
      <c r="AG159" s="138"/>
      <c r="AH159" s="129"/>
      <c r="AI159" s="129"/>
    </row>
    <row r="160" spans="2:35" outlineLevel="1">
      <c r="B160" s="21" t="s">
        <v>841</v>
      </c>
      <c r="C160" s="138"/>
      <c r="D160" s="138"/>
      <c r="E160" s="138"/>
      <c r="F160" s="138"/>
      <c r="G160" s="138"/>
      <c r="H160" s="138"/>
      <c r="I160" s="138"/>
      <c r="J160" s="138"/>
      <c r="K160" s="138"/>
      <c r="L160" s="138"/>
      <c r="M160" s="138"/>
      <c r="N160" s="138"/>
      <c r="O160" s="138"/>
      <c r="P160" s="138"/>
      <c r="Q160" s="138">
        <v>4.5999999999999999E-2</v>
      </c>
      <c r="R160" s="138">
        <v>4.5999999999999999E-2</v>
      </c>
      <c r="S160" s="138">
        <v>4.5999999999999999E-2</v>
      </c>
      <c r="T160" s="138">
        <v>4.5999999999999999E-2</v>
      </c>
      <c r="U160" s="138">
        <v>4.5999999999999999E-2</v>
      </c>
      <c r="V160" s="138">
        <v>4.5999999999999999E-2</v>
      </c>
      <c r="W160" s="138">
        <v>4.5999999999999999E-2</v>
      </c>
      <c r="X160" s="138">
        <v>4.5999999999999999E-2</v>
      </c>
      <c r="Y160" s="138">
        <v>4.5999999999999999E-2</v>
      </c>
      <c r="Z160" s="138">
        <v>4.5999999999999999E-2</v>
      </c>
      <c r="AA160" s="138">
        <v>4.5999999999999999E-2</v>
      </c>
      <c r="AB160" s="138">
        <v>4.5999999999999999E-2</v>
      </c>
      <c r="AC160" s="138">
        <v>4.5999999999999999E-2</v>
      </c>
      <c r="AD160" s="138">
        <v>4.5999999999999999E-2</v>
      </c>
      <c r="AE160" s="138">
        <v>4.5999999999999999E-2</v>
      </c>
      <c r="AF160" s="138">
        <v>4.5999999999999999E-2</v>
      </c>
      <c r="AG160" s="138"/>
      <c r="AH160" s="129"/>
      <c r="AI160" s="129"/>
    </row>
    <row r="161" spans="2:35" outlineLevel="1">
      <c r="B161" s="21" t="s">
        <v>840</v>
      </c>
      <c r="C161" s="138"/>
      <c r="D161" s="138"/>
      <c r="E161" s="138"/>
      <c r="F161" s="138"/>
      <c r="G161" s="138"/>
      <c r="H161" s="138"/>
      <c r="I161" s="138"/>
      <c r="J161" s="138"/>
      <c r="K161" s="138"/>
      <c r="L161" s="138"/>
      <c r="M161" s="138"/>
      <c r="N161" s="138"/>
      <c r="O161" s="138"/>
      <c r="P161" s="138"/>
      <c r="Q161" s="138">
        <v>4.7500000000000001E-2</v>
      </c>
      <c r="R161" s="138">
        <v>4.7500000000000001E-2</v>
      </c>
      <c r="S161" s="138">
        <v>4.7500000000000001E-2</v>
      </c>
      <c r="T161" s="138">
        <v>4.7500000000000001E-2</v>
      </c>
      <c r="U161" s="138">
        <v>4.7500000000000001E-2</v>
      </c>
      <c r="V161" s="138">
        <v>4.7500000000000001E-2</v>
      </c>
      <c r="W161" s="138">
        <v>4.7500000000000001E-2</v>
      </c>
      <c r="X161" s="138">
        <v>4.7500000000000001E-2</v>
      </c>
      <c r="Y161" s="138">
        <v>4.7500000000000001E-2</v>
      </c>
      <c r="Z161" s="138">
        <v>4.7500000000000001E-2</v>
      </c>
      <c r="AA161" s="138">
        <v>4.7500000000000001E-2</v>
      </c>
      <c r="AB161" s="138">
        <v>4.7500000000000001E-2</v>
      </c>
      <c r="AC161" s="138">
        <v>4.7500000000000001E-2</v>
      </c>
      <c r="AD161" s="138">
        <v>4.7500000000000001E-2</v>
      </c>
      <c r="AE161" s="138">
        <v>4.7500000000000001E-2</v>
      </c>
      <c r="AF161" s="138">
        <v>4.7500000000000001E-2</v>
      </c>
      <c r="AG161" s="138"/>
      <c r="AH161" s="129"/>
      <c r="AI161" s="129"/>
    </row>
    <row r="162" spans="2:35" s="689" customFormat="1" outlineLevel="1">
      <c r="B162" s="994" t="s">
        <v>1103</v>
      </c>
      <c r="C162" s="138"/>
      <c r="D162" s="138"/>
      <c r="E162" s="138"/>
      <c r="F162" s="138"/>
      <c r="G162" s="138"/>
      <c r="H162" s="138"/>
      <c r="I162" s="138"/>
      <c r="J162" s="138"/>
      <c r="K162" s="138"/>
      <c r="L162" s="138"/>
      <c r="M162" s="138"/>
      <c r="N162" s="138"/>
      <c r="O162" s="138"/>
      <c r="P162" s="138"/>
      <c r="Q162" s="138"/>
      <c r="R162" s="138"/>
      <c r="S162" s="138">
        <f>AVERAGE(S142,S144)</f>
        <v>1.32E-2</v>
      </c>
      <c r="T162" s="138">
        <f t="shared" ref="T162:U162" si="135">AVERAGE(T142,T144)</f>
        <v>1.32E-2</v>
      </c>
      <c r="U162" s="138">
        <f t="shared" si="135"/>
        <v>1.32E-2</v>
      </c>
      <c r="V162" s="138">
        <v>1.32E-2</v>
      </c>
      <c r="W162" s="138">
        <v>1.32E-2</v>
      </c>
      <c r="X162" s="138">
        <v>1.32E-2</v>
      </c>
      <c r="Y162" s="138">
        <v>1.32E-2</v>
      </c>
      <c r="Z162" s="138">
        <v>1.32E-2</v>
      </c>
      <c r="AA162" s="138">
        <v>1.32E-2</v>
      </c>
      <c r="AB162" s="138">
        <v>1.32E-2</v>
      </c>
      <c r="AC162" s="138">
        <v>1.32E-2</v>
      </c>
      <c r="AD162" s="138">
        <v>1.32E-2</v>
      </c>
      <c r="AE162" s="138">
        <v>1.32E-2</v>
      </c>
      <c r="AF162" s="138">
        <v>1.32E-2</v>
      </c>
      <c r="AG162" s="138"/>
      <c r="AH162" s="129"/>
      <c r="AI162" s="129"/>
    </row>
    <row r="163" spans="2:35" s="689" customFormat="1" outlineLevel="1">
      <c r="B163" s="994" t="s">
        <v>926</v>
      </c>
      <c r="C163" s="138"/>
      <c r="D163" s="138"/>
      <c r="E163" s="138"/>
      <c r="F163" s="138"/>
      <c r="G163" s="138"/>
      <c r="H163" s="138"/>
      <c r="I163" s="138"/>
      <c r="J163" s="138"/>
      <c r="K163" s="138"/>
      <c r="L163" s="138"/>
      <c r="M163" s="138"/>
      <c r="N163" s="138"/>
      <c r="O163" s="138"/>
      <c r="P163" s="138"/>
      <c r="Q163" s="138"/>
      <c r="R163" s="138"/>
      <c r="S163" s="138">
        <v>1.95E-2</v>
      </c>
      <c r="T163" s="138">
        <v>1.95E-2</v>
      </c>
      <c r="U163" s="138">
        <v>1.95E-2</v>
      </c>
      <c r="V163" s="138">
        <v>1.95E-2</v>
      </c>
      <c r="W163" s="138">
        <v>1.95E-2</v>
      </c>
      <c r="X163" s="138">
        <v>1.95E-2</v>
      </c>
      <c r="Y163" s="138">
        <v>1.95E-2</v>
      </c>
      <c r="Z163" s="138">
        <v>1.95E-2</v>
      </c>
      <c r="AA163" s="138">
        <v>1.95E-2</v>
      </c>
      <c r="AB163" s="138">
        <v>1.95E-2</v>
      </c>
      <c r="AC163" s="138">
        <v>1.95E-2</v>
      </c>
      <c r="AD163" s="138">
        <v>1.95E-2</v>
      </c>
      <c r="AE163" s="138">
        <v>1.95E-2</v>
      </c>
      <c r="AF163" s="138">
        <v>1.95E-2</v>
      </c>
      <c r="AG163" s="138"/>
      <c r="AH163" s="129"/>
      <c r="AI163" s="129"/>
    </row>
    <row r="164" spans="2:35" s="689" customFormat="1" outlineLevel="1">
      <c r="B164" s="994" t="s">
        <v>927</v>
      </c>
      <c r="C164" s="138"/>
      <c r="D164" s="138"/>
      <c r="E164" s="138"/>
      <c r="F164" s="138"/>
      <c r="G164" s="138"/>
      <c r="H164" s="138"/>
      <c r="I164" s="138"/>
      <c r="J164" s="138"/>
      <c r="K164" s="138"/>
      <c r="L164" s="138"/>
      <c r="M164" s="138"/>
      <c r="N164" s="138"/>
      <c r="O164" s="138"/>
      <c r="P164" s="138"/>
      <c r="Q164" s="138"/>
      <c r="R164" s="138"/>
      <c r="S164" s="138">
        <v>2.5000000000000001E-2</v>
      </c>
      <c r="T164" s="138">
        <v>2.5000000000000001E-2</v>
      </c>
      <c r="U164" s="138">
        <v>2.5000000000000001E-2</v>
      </c>
      <c r="V164" s="138">
        <v>2.5000000000000001E-2</v>
      </c>
      <c r="W164" s="138">
        <v>2.5000000000000001E-2</v>
      </c>
      <c r="X164" s="138">
        <v>2.5000000000000001E-2</v>
      </c>
      <c r="Y164" s="138">
        <v>2.5000000000000001E-2</v>
      </c>
      <c r="Z164" s="138">
        <v>2.5000000000000001E-2</v>
      </c>
      <c r="AA164" s="138">
        <v>2.5000000000000001E-2</v>
      </c>
      <c r="AB164" s="138">
        <v>2.5000000000000001E-2</v>
      </c>
      <c r="AC164" s="138">
        <v>2.5000000000000001E-2</v>
      </c>
      <c r="AD164" s="138">
        <v>2.5000000000000001E-2</v>
      </c>
      <c r="AE164" s="138">
        <v>2.5000000000000001E-2</v>
      </c>
      <c r="AF164" s="138">
        <v>2.5000000000000001E-2</v>
      </c>
      <c r="AG164" s="138"/>
      <c r="AH164" s="129"/>
      <c r="AI164" s="129"/>
    </row>
    <row r="165" spans="2:35" s="689" customFormat="1" outlineLevel="1">
      <c r="B165" s="994" t="s">
        <v>928</v>
      </c>
      <c r="C165" s="138"/>
      <c r="D165" s="138"/>
      <c r="E165" s="138"/>
      <c r="F165" s="138"/>
      <c r="G165" s="138"/>
      <c r="H165" s="138"/>
      <c r="I165" s="138"/>
      <c r="J165" s="138"/>
      <c r="K165" s="138"/>
      <c r="L165" s="138"/>
      <c r="M165" s="138"/>
      <c r="N165" s="138"/>
      <c r="O165" s="138"/>
      <c r="P165" s="138"/>
      <c r="Q165" s="138"/>
      <c r="R165" s="138"/>
      <c r="S165" s="138">
        <v>2.9499999999999998E-2</v>
      </c>
      <c r="T165" s="138">
        <v>2.9499999999999998E-2</v>
      </c>
      <c r="U165" s="138">
        <v>2.9499999999999998E-2</v>
      </c>
      <c r="V165" s="138">
        <v>2.9499999999999998E-2</v>
      </c>
      <c r="W165" s="138">
        <v>2.9499999999999998E-2</v>
      </c>
      <c r="X165" s="138">
        <v>2.9499999999999998E-2</v>
      </c>
      <c r="Y165" s="138">
        <v>2.9499999999999998E-2</v>
      </c>
      <c r="Z165" s="138">
        <v>2.9499999999999998E-2</v>
      </c>
      <c r="AA165" s="138">
        <v>2.9499999999999998E-2</v>
      </c>
      <c r="AB165" s="138">
        <v>2.9499999999999998E-2</v>
      </c>
      <c r="AC165" s="138">
        <v>2.9499999999999998E-2</v>
      </c>
      <c r="AD165" s="138">
        <v>2.9499999999999998E-2</v>
      </c>
      <c r="AE165" s="138">
        <v>2.9499999999999998E-2</v>
      </c>
      <c r="AF165" s="138">
        <v>2.9499999999999998E-2</v>
      </c>
      <c r="AG165" s="138"/>
      <c r="AH165" s="129"/>
      <c r="AI165" s="129"/>
    </row>
    <row r="166" spans="2:35" s="689" customFormat="1" outlineLevel="1">
      <c r="B166" s="994" t="s">
        <v>929</v>
      </c>
      <c r="C166" s="138"/>
      <c r="D166" s="138"/>
      <c r="E166" s="138"/>
      <c r="F166" s="138"/>
      <c r="G166" s="138"/>
      <c r="H166" s="138"/>
      <c r="I166" s="138"/>
      <c r="J166" s="138"/>
      <c r="K166" s="138"/>
      <c r="L166" s="138"/>
      <c r="M166" s="138"/>
      <c r="N166" s="138"/>
      <c r="O166" s="138"/>
      <c r="P166" s="138"/>
      <c r="Q166" s="138"/>
      <c r="R166" s="138"/>
      <c r="S166" s="138">
        <v>0.04</v>
      </c>
      <c r="T166" s="138">
        <v>0.04</v>
      </c>
      <c r="U166" s="138">
        <v>0.04</v>
      </c>
      <c r="V166" s="138">
        <v>0.04</v>
      </c>
      <c r="W166" s="138">
        <v>0.04</v>
      </c>
      <c r="X166" s="138">
        <v>0.04</v>
      </c>
      <c r="Y166" s="138">
        <v>0.04</v>
      </c>
      <c r="Z166" s="138">
        <v>0.04</v>
      </c>
      <c r="AA166" s="138">
        <v>0.04</v>
      </c>
      <c r="AB166" s="138">
        <v>0.04</v>
      </c>
      <c r="AC166" s="138">
        <v>0.04</v>
      </c>
      <c r="AD166" s="138">
        <v>0.04</v>
      </c>
      <c r="AE166" s="138">
        <v>0.04</v>
      </c>
      <c r="AF166" s="138">
        <v>0.04</v>
      </c>
      <c r="AG166" s="138"/>
      <c r="AH166" s="129"/>
      <c r="AI166" s="129"/>
    </row>
    <row r="167" spans="2:35" s="689" customFormat="1" outlineLevel="1">
      <c r="B167" s="994" t="s">
        <v>930</v>
      </c>
      <c r="C167" s="138"/>
      <c r="D167" s="138"/>
      <c r="E167" s="138"/>
      <c r="F167" s="138"/>
      <c r="G167" s="138"/>
      <c r="H167" s="138"/>
      <c r="I167" s="138"/>
      <c r="J167" s="138"/>
      <c r="K167" s="138"/>
      <c r="L167" s="138"/>
      <c r="M167" s="138"/>
      <c r="N167" s="138"/>
      <c r="O167" s="138"/>
      <c r="P167" s="138"/>
      <c r="Q167" s="138"/>
      <c r="R167" s="138"/>
      <c r="S167" s="138">
        <v>4.1500000000000002E-2</v>
      </c>
      <c r="T167" s="138">
        <v>4.1500000000000002E-2</v>
      </c>
      <c r="U167" s="138">
        <v>4.1500000000000002E-2</v>
      </c>
      <c r="V167" s="138">
        <v>4.1500000000000002E-2</v>
      </c>
      <c r="W167" s="138">
        <v>4.1500000000000002E-2</v>
      </c>
      <c r="X167" s="138">
        <v>4.1500000000000002E-2</v>
      </c>
      <c r="Y167" s="138">
        <v>4.1500000000000002E-2</v>
      </c>
      <c r="Z167" s="138">
        <v>4.1500000000000002E-2</v>
      </c>
      <c r="AA167" s="138">
        <v>4.1500000000000002E-2</v>
      </c>
      <c r="AB167" s="138">
        <v>4.1500000000000002E-2</v>
      </c>
      <c r="AC167" s="138">
        <v>4.1500000000000002E-2</v>
      </c>
      <c r="AD167" s="138">
        <v>4.1500000000000002E-2</v>
      </c>
      <c r="AE167" s="138">
        <v>4.1500000000000002E-2</v>
      </c>
      <c r="AF167" s="138">
        <v>4.1500000000000002E-2</v>
      </c>
      <c r="AG167" s="138"/>
      <c r="AH167" s="129"/>
      <c r="AI167" s="129"/>
    </row>
    <row r="168" spans="2:35" outlineLevel="1">
      <c r="B168" s="21" t="s">
        <v>469</v>
      </c>
      <c r="C168" s="138">
        <v>0.06</v>
      </c>
      <c r="D168" s="138">
        <v>0.06</v>
      </c>
      <c r="E168" s="138">
        <v>0.06</v>
      </c>
      <c r="F168" s="138">
        <v>0.06</v>
      </c>
      <c r="G168" s="138">
        <v>0.06</v>
      </c>
      <c r="H168" s="138">
        <v>0.06</v>
      </c>
      <c r="I168" s="138">
        <v>0.06</v>
      </c>
      <c r="J168" s="138">
        <v>0.06</v>
      </c>
      <c r="K168" s="138">
        <v>0.06</v>
      </c>
      <c r="L168" s="138">
        <v>0.06</v>
      </c>
      <c r="M168" s="138">
        <f t="shared" ref="M168:AF168" si="136">L168</f>
        <v>0.06</v>
      </c>
      <c r="N168" s="138">
        <f t="shared" si="136"/>
        <v>0.06</v>
      </c>
      <c r="O168" s="138">
        <f t="shared" si="136"/>
        <v>0.06</v>
      </c>
      <c r="P168" s="138">
        <f t="shared" si="136"/>
        <v>0.06</v>
      </c>
      <c r="Q168" s="138">
        <f t="shared" si="136"/>
        <v>0.06</v>
      </c>
      <c r="R168" s="138">
        <f t="shared" si="136"/>
        <v>0.06</v>
      </c>
      <c r="S168" s="138">
        <f t="shared" si="136"/>
        <v>0.06</v>
      </c>
      <c r="T168" s="138">
        <f t="shared" si="136"/>
        <v>0.06</v>
      </c>
      <c r="U168" s="138">
        <f t="shared" si="136"/>
        <v>0.06</v>
      </c>
      <c r="V168" s="138">
        <f t="shared" si="136"/>
        <v>0.06</v>
      </c>
      <c r="W168" s="138">
        <f t="shared" si="136"/>
        <v>0.06</v>
      </c>
      <c r="X168" s="138">
        <f t="shared" si="136"/>
        <v>0.06</v>
      </c>
      <c r="Y168" s="138">
        <f t="shared" si="136"/>
        <v>0.06</v>
      </c>
      <c r="Z168" s="138">
        <f t="shared" si="136"/>
        <v>0.06</v>
      </c>
      <c r="AA168" s="138">
        <f t="shared" si="136"/>
        <v>0.06</v>
      </c>
      <c r="AB168" s="138">
        <f t="shared" si="136"/>
        <v>0.06</v>
      </c>
      <c r="AC168" s="138">
        <f t="shared" si="136"/>
        <v>0.06</v>
      </c>
      <c r="AD168" s="138">
        <f t="shared" si="136"/>
        <v>0.06</v>
      </c>
      <c r="AE168" s="138">
        <f t="shared" si="136"/>
        <v>0.06</v>
      </c>
      <c r="AF168" s="138">
        <f t="shared" si="136"/>
        <v>0.06</v>
      </c>
      <c r="AG168" s="138"/>
      <c r="AH168" s="129"/>
      <c r="AI168" s="129"/>
    </row>
    <row r="169" spans="2:35" outlineLevel="1">
      <c r="B169" s="21" t="s">
        <v>470</v>
      </c>
      <c r="C169" s="138">
        <v>0.06</v>
      </c>
      <c r="D169" s="138">
        <v>0.06</v>
      </c>
      <c r="E169" s="138">
        <v>0.06</v>
      </c>
      <c r="F169" s="138">
        <v>0.06</v>
      </c>
      <c r="G169" s="138">
        <v>0.06</v>
      </c>
      <c r="H169" s="138">
        <v>0.06</v>
      </c>
      <c r="I169" s="138">
        <v>0.06</v>
      </c>
      <c r="J169" s="138">
        <v>0.06</v>
      </c>
      <c r="K169" s="138">
        <v>0.06</v>
      </c>
      <c r="L169" s="138">
        <v>1.6E-2</v>
      </c>
      <c r="M169" s="138">
        <f t="shared" ref="M169:AF169" si="137">L169</f>
        <v>1.6E-2</v>
      </c>
      <c r="N169" s="138">
        <f t="shared" si="137"/>
        <v>1.6E-2</v>
      </c>
      <c r="O169" s="138">
        <f t="shared" si="137"/>
        <v>1.6E-2</v>
      </c>
      <c r="P169" s="138">
        <f t="shared" si="137"/>
        <v>1.6E-2</v>
      </c>
      <c r="Q169" s="138">
        <f t="shared" si="137"/>
        <v>1.6E-2</v>
      </c>
      <c r="R169" s="138">
        <f t="shared" si="137"/>
        <v>1.6E-2</v>
      </c>
      <c r="S169" s="138">
        <f t="shared" si="137"/>
        <v>1.6E-2</v>
      </c>
      <c r="T169" s="138">
        <f t="shared" si="137"/>
        <v>1.6E-2</v>
      </c>
      <c r="U169" s="138">
        <f t="shared" si="137"/>
        <v>1.6E-2</v>
      </c>
      <c r="V169" s="138">
        <f t="shared" si="137"/>
        <v>1.6E-2</v>
      </c>
      <c r="W169" s="138">
        <f t="shared" si="137"/>
        <v>1.6E-2</v>
      </c>
      <c r="X169" s="138">
        <f t="shared" si="137"/>
        <v>1.6E-2</v>
      </c>
      <c r="Y169" s="138">
        <f t="shared" si="137"/>
        <v>1.6E-2</v>
      </c>
      <c r="Z169" s="138">
        <f t="shared" si="137"/>
        <v>1.6E-2</v>
      </c>
      <c r="AA169" s="138">
        <f t="shared" si="137"/>
        <v>1.6E-2</v>
      </c>
      <c r="AB169" s="138">
        <f t="shared" si="137"/>
        <v>1.6E-2</v>
      </c>
      <c r="AC169" s="138">
        <f t="shared" si="137"/>
        <v>1.6E-2</v>
      </c>
      <c r="AD169" s="138">
        <f t="shared" si="137"/>
        <v>1.6E-2</v>
      </c>
      <c r="AE169" s="138">
        <f t="shared" si="137"/>
        <v>1.6E-2</v>
      </c>
      <c r="AF169" s="138">
        <f t="shared" si="137"/>
        <v>1.6E-2</v>
      </c>
      <c r="AG169" s="138"/>
      <c r="AH169" s="129"/>
      <c r="AI169" s="129"/>
    </row>
    <row r="170" spans="2:35" outlineLevel="1">
      <c r="C170" s="129"/>
      <c r="D170" s="129"/>
      <c r="E170" s="129"/>
      <c r="F170" s="129"/>
      <c r="G170" s="129"/>
      <c r="H170" s="129"/>
      <c r="I170" s="129"/>
      <c r="J170" s="129"/>
      <c r="K170" s="129"/>
      <c r="L170" s="129"/>
      <c r="M170" s="129"/>
      <c r="N170" s="129"/>
      <c r="O170" s="129"/>
      <c r="P170" s="129"/>
      <c r="Q170" s="129"/>
      <c r="R170" s="129"/>
      <c r="S170" s="129"/>
      <c r="T170" s="129"/>
      <c r="U170" s="129"/>
      <c r="V170" s="129"/>
      <c r="W170" s="129"/>
      <c r="X170" s="129"/>
      <c r="Y170" s="129"/>
      <c r="Z170" s="129"/>
      <c r="AA170" s="129"/>
      <c r="AB170" s="129"/>
      <c r="AC170" s="129"/>
      <c r="AD170" s="129"/>
      <c r="AE170" s="129"/>
      <c r="AF170" s="129"/>
      <c r="AG170" s="129"/>
      <c r="AH170" s="129"/>
    </row>
    <row r="171" spans="2:35" outlineLevel="1">
      <c r="B171" s="21" t="s">
        <v>458</v>
      </c>
      <c r="C171" s="129"/>
      <c r="D171" s="130">
        <f t="shared" ref="D171:V171" si="138">C4*D131</f>
        <v>0</v>
      </c>
      <c r="E171" s="130">
        <f t="shared" si="138"/>
        <v>0</v>
      </c>
      <c r="F171" s="130">
        <f t="shared" si="138"/>
        <v>0</v>
      </c>
      <c r="G171" s="130">
        <f t="shared" si="138"/>
        <v>0</v>
      </c>
      <c r="H171" s="130">
        <f t="shared" si="138"/>
        <v>0</v>
      </c>
      <c r="I171" s="130">
        <f t="shared" si="138"/>
        <v>3.25</v>
      </c>
      <c r="J171" s="130">
        <f t="shared" si="138"/>
        <v>3.25</v>
      </c>
      <c r="K171" s="130">
        <f t="shared" si="138"/>
        <v>3.25</v>
      </c>
      <c r="L171" s="130">
        <f t="shared" si="138"/>
        <v>3.0339299999999998</v>
      </c>
      <c r="M171" s="130">
        <f t="shared" si="138"/>
        <v>3.1949550000000002</v>
      </c>
      <c r="N171" s="130">
        <f t="shared" si="138"/>
        <v>0</v>
      </c>
      <c r="O171" s="130">
        <f>N4*O131</f>
        <v>0</v>
      </c>
      <c r="P171" s="130">
        <f>O4*P131</f>
        <v>0</v>
      </c>
      <c r="Q171" s="130">
        <f t="shared" si="138"/>
        <v>0</v>
      </c>
      <c r="R171" s="130">
        <f t="shared" si="138"/>
        <v>0</v>
      </c>
      <c r="S171" s="130">
        <f t="shared" si="138"/>
        <v>0</v>
      </c>
      <c r="T171" s="130">
        <f t="shared" si="138"/>
        <v>0</v>
      </c>
      <c r="U171" s="130">
        <f t="shared" si="138"/>
        <v>0</v>
      </c>
      <c r="V171" s="130">
        <f t="shared" si="138"/>
        <v>0</v>
      </c>
      <c r="W171" s="130">
        <f t="shared" ref="W171:AF171" si="139">V4*W131</f>
        <v>0</v>
      </c>
      <c r="X171" s="130">
        <f t="shared" si="139"/>
        <v>0</v>
      </c>
      <c r="Y171" s="130">
        <f t="shared" si="139"/>
        <v>0</v>
      </c>
      <c r="Z171" s="130">
        <f t="shared" si="139"/>
        <v>0</v>
      </c>
      <c r="AA171" s="130">
        <f t="shared" si="139"/>
        <v>0</v>
      </c>
      <c r="AB171" s="130">
        <f t="shared" si="139"/>
        <v>0</v>
      </c>
      <c r="AC171" s="130">
        <f t="shared" si="139"/>
        <v>0</v>
      </c>
      <c r="AD171" s="130">
        <f t="shared" si="139"/>
        <v>0</v>
      </c>
      <c r="AE171" s="130">
        <f t="shared" si="139"/>
        <v>0</v>
      </c>
      <c r="AF171" s="130">
        <f t="shared" si="139"/>
        <v>0</v>
      </c>
      <c r="AG171" s="130"/>
      <c r="AH171" s="130"/>
      <c r="AI171" s="130"/>
    </row>
    <row r="172" spans="2:35" outlineLevel="1">
      <c r="B172" s="21" t="s">
        <v>459</v>
      </c>
      <c r="C172" s="129"/>
      <c r="D172" s="130">
        <f t="shared" ref="D172:V172" si="140">C5*D132</f>
        <v>0</v>
      </c>
      <c r="E172" s="130">
        <f t="shared" si="140"/>
        <v>0</v>
      </c>
      <c r="F172" s="130">
        <f t="shared" si="140"/>
        <v>0</v>
      </c>
      <c r="G172" s="130">
        <f t="shared" si="140"/>
        <v>0</v>
      </c>
      <c r="H172" s="130">
        <f t="shared" si="140"/>
        <v>0</v>
      </c>
      <c r="I172" s="130">
        <f t="shared" si="140"/>
        <v>4.0625</v>
      </c>
      <c r="J172" s="130">
        <f t="shared" si="140"/>
        <v>4.0625</v>
      </c>
      <c r="K172" s="130">
        <f t="shared" si="140"/>
        <v>2.8001562500000006</v>
      </c>
      <c r="L172" s="130">
        <f t="shared" si="140"/>
        <v>3.4280000000000004</v>
      </c>
      <c r="M172" s="130">
        <f t="shared" si="140"/>
        <v>3.6055250000000001</v>
      </c>
      <c r="N172" s="130">
        <f t="shared" si="140"/>
        <v>3.7939749999999997</v>
      </c>
      <c r="O172" s="130">
        <f t="shared" si="140"/>
        <v>2.62145625</v>
      </c>
      <c r="P172" s="130">
        <f>O5*P132</f>
        <v>0</v>
      </c>
      <c r="Q172" s="130">
        <f t="shared" si="140"/>
        <v>0</v>
      </c>
      <c r="R172" s="130">
        <f t="shared" si="140"/>
        <v>0</v>
      </c>
      <c r="S172" s="130">
        <f t="shared" si="140"/>
        <v>0</v>
      </c>
      <c r="T172" s="130">
        <f t="shared" si="140"/>
        <v>0</v>
      </c>
      <c r="U172" s="130">
        <f t="shared" si="140"/>
        <v>0</v>
      </c>
      <c r="V172" s="130">
        <f t="shared" si="140"/>
        <v>0</v>
      </c>
      <c r="W172" s="130">
        <f t="shared" ref="W172:AF172" si="141">V5*W132</f>
        <v>0</v>
      </c>
      <c r="X172" s="130">
        <f t="shared" si="141"/>
        <v>0</v>
      </c>
      <c r="Y172" s="130">
        <f t="shared" si="141"/>
        <v>0</v>
      </c>
      <c r="Z172" s="130">
        <f t="shared" si="141"/>
        <v>0</v>
      </c>
      <c r="AA172" s="130">
        <f t="shared" si="141"/>
        <v>0</v>
      </c>
      <c r="AB172" s="130">
        <f t="shared" si="141"/>
        <v>0</v>
      </c>
      <c r="AC172" s="130">
        <f t="shared" si="141"/>
        <v>0</v>
      </c>
      <c r="AD172" s="130">
        <f t="shared" si="141"/>
        <v>0</v>
      </c>
      <c r="AE172" s="130">
        <f t="shared" si="141"/>
        <v>0</v>
      </c>
      <c r="AF172" s="130">
        <f t="shared" si="141"/>
        <v>0</v>
      </c>
      <c r="AG172" s="130"/>
      <c r="AH172" s="130"/>
      <c r="AI172" s="130"/>
    </row>
    <row r="173" spans="2:35" outlineLevel="1">
      <c r="B173" s="21" t="s">
        <v>460</v>
      </c>
      <c r="C173" s="129"/>
      <c r="D173" s="130">
        <f t="shared" ref="D173:V173" si="142">C6*D133</f>
        <v>0</v>
      </c>
      <c r="E173" s="130">
        <f t="shared" si="142"/>
        <v>0</v>
      </c>
      <c r="F173" s="130">
        <f t="shared" si="142"/>
        <v>0</v>
      </c>
      <c r="G173" s="130">
        <f t="shared" si="142"/>
        <v>0</v>
      </c>
      <c r="H173" s="130">
        <f t="shared" si="142"/>
        <v>0</v>
      </c>
      <c r="I173" s="130">
        <f t="shared" si="142"/>
        <v>0</v>
      </c>
      <c r="J173" s="130">
        <f t="shared" si="142"/>
        <v>0</v>
      </c>
      <c r="K173" s="130">
        <f t="shared" si="142"/>
        <v>0</v>
      </c>
      <c r="L173" s="130">
        <f t="shared" si="142"/>
        <v>0</v>
      </c>
      <c r="M173" s="130">
        <f t="shared" si="142"/>
        <v>11.53805</v>
      </c>
      <c r="N173" s="130">
        <f t="shared" si="142"/>
        <v>11.815250000000001</v>
      </c>
      <c r="O173" s="130">
        <f t="shared" si="142"/>
        <v>12.102130000000001</v>
      </c>
      <c r="P173" s="130">
        <f t="shared" si="142"/>
        <v>2.3421700000000003</v>
      </c>
      <c r="Q173" s="130">
        <f t="shared" si="142"/>
        <v>0</v>
      </c>
      <c r="R173" s="130">
        <f t="shared" si="142"/>
        <v>0</v>
      </c>
      <c r="S173" s="130">
        <f t="shared" si="142"/>
        <v>0</v>
      </c>
      <c r="T173" s="130">
        <f t="shared" si="142"/>
        <v>0</v>
      </c>
      <c r="U173" s="130">
        <f t="shared" si="142"/>
        <v>0</v>
      </c>
      <c r="V173" s="130">
        <f t="shared" si="142"/>
        <v>0</v>
      </c>
      <c r="W173" s="130">
        <f t="shared" ref="W173:AF173" si="143">V6*W133</f>
        <v>0</v>
      </c>
      <c r="X173" s="130">
        <f t="shared" si="143"/>
        <v>0</v>
      </c>
      <c r="Y173" s="130">
        <f t="shared" si="143"/>
        <v>0</v>
      </c>
      <c r="Z173" s="130">
        <f t="shared" si="143"/>
        <v>0</v>
      </c>
      <c r="AA173" s="130">
        <f t="shared" si="143"/>
        <v>0</v>
      </c>
      <c r="AB173" s="130">
        <f t="shared" si="143"/>
        <v>0</v>
      </c>
      <c r="AC173" s="130">
        <f t="shared" si="143"/>
        <v>0</v>
      </c>
      <c r="AD173" s="130">
        <f t="shared" si="143"/>
        <v>0</v>
      </c>
      <c r="AE173" s="130">
        <f t="shared" si="143"/>
        <v>0</v>
      </c>
      <c r="AF173" s="130">
        <f t="shared" si="143"/>
        <v>0</v>
      </c>
      <c r="AG173" s="130"/>
      <c r="AH173" s="130"/>
      <c r="AI173" s="130"/>
    </row>
    <row r="174" spans="2:35" outlineLevel="1">
      <c r="B174" s="21" t="s">
        <v>461</v>
      </c>
      <c r="C174" s="129"/>
      <c r="D174" s="130">
        <f t="shared" ref="D174:V174" si="144">C7*D134</f>
        <v>0</v>
      </c>
      <c r="E174" s="130">
        <f t="shared" si="144"/>
        <v>0</v>
      </c>
      <c r="F174" s="130">
        <f t="shared" si="144"/>
        <v>0</v>
      </c>
      <c r="G174" s="130">
        <f t="shared" si="144"/>
        <v>0</v>
      </c>
      <c r="H174" s="130">
        <f t="shared" si="144"/>
        <v>0</v>
      </c>
      <c r="I174" s="130">
        <f t="shared" si="144"/>
        <v>0</v>
      </c>
      <c r="J174" s="130">
        <f t="shared" si="144"/>
        <v>0</v>
      </c>
      <c r="K174" s="130">
        <f t="shared" si="144"/>
        <v>0</v>
      </c>
      <c r="L174" s="130">
        <f t="shared" si="144"/>
        <v>0</v>
      </c>
      <c r="M174" s="130">
        <f t="shared" si="144"/>
        <v>18.003115000000001</v>
      </c>
      <c r="N174" s="130">
        <f t="shared" si="144"/>
        <v>18.399761249999997</v>
      </c>
      <c r="O174" s="130">
        <f t="shared" si="144"/>
        <v>18.812495000000002</v>
      </c>
      <c r="P174" s="130">
        <f t="shared" si="144"/>
        <v>18.086948749999998</v>
      </c>
      <c r="Q174" s="130">
        <f t="shared" si="144"/>
        <v>7.8487499999999999</v>
      </c>
      <c r="R174" s="130">
        <f t="shared" si="144"/>
        <v>4.5987499999999999</v>
      </c>
      <c r="S174" s="130">
        <f t="shared" si="144"/>
        <v>0</v>
      </c>
      <c r="T174" s="130">
        <f t="shared" si="144"/>
        <v>0</v>
      </c>
      <c r="U174" s="130">
        <f t="shared" si="144"/>
        <v>0</v>
      </c>
      <c r="V174" s="130">
        <f t="shared" si="144"/>
        <v>0</v>
      </c>
      <c r="W174" s="130">
        <f t="shared" ref="W174:AF174" si="145">V7*W134</f>
        <v>0</v>
      </c>
      <c r="X174" s="130">
        <f t="shared" si="145"/>
        <v>0</v>
      </c>
      <c r="Y174" s="130">
        <f t="shared" si="145"/>
        <v>0</v>
      </c>
      <c r="Z174" s="130">
        <f t="shared" si="145"/>
        <v>0</v>
      </c>
      <c r="AA174" s="130">
        <f t="shared" si="145"/>
        <v>0</v>
      </c>
      <c r="AB174" s="130">
        <f t="shared" si="145"/>
        <v>0</v>
      </c>
      <c r="AC174" s="130">
        <f t="shared" si="145"/>
        <v>0</v>
      </c>
      <c r="AD174" s="130">
        <f t="shared" si="145"/>
        <v>0</v>
      </c>
      <c r="AE174" s="130">
        <f t="shared" si="145"/>
        <v>0</v>
      </c>
      <c r="AF174" s="130">
        <f t="shared" si="145"/>
        <v>0</v>
      </c>
      <c r="AG174" s="130"/>
      <c r="AH174" s="130"/>
      <c r="AI174" s="130"/>
    </row>
    <row r="175" spans="2:35" outlineLevel="1">
      <c r="B175" s="21" t="s">
        <v>462</v>
      </c>
      <c r="C175" s="129"/>
      <c r="D175" s="130">
        <f t="shared" ref="D175:V175" si="146">C8*D135</f>
        <v>0</v>
      </c>
      <c r="E175" s="130">
        <f t="shared" si="146"/>
        <v>6.9</v>
      </c>
      <c r="F175" s="130">
        <f t="shared" si="146"/>
        <v>6.9</v>
      </c>
      <c r="G175" s="130">
        <f t="shared" si="146"/>
        <v>0</v>
      </c>
      <c r="H175" s="130">
        <f t="shared" si="146"/>
        <v>0</v>
      </c>
      <c r="I175" s="130">
        <f t="shared" si="146"/>
        <v>0</v>
      </c>
      <c r="J175" s="130">
        <f t="shared" si="146"/>
        <v>0</v>
      </c>
      <c r="K175" s="130">
        <f t="shared" si="146"/>
        <v>0</v>
      </c>
      <c r="L175" s="130">
        <f t="shared" si="146"/>
        <v>0</v>
      </c>
      <c r="M175" s="130">
        <f t="shared" si="146"/>
        <v>0</v>
      </c>
      <c r="N175" s="130">
        <f t="shared" si="146"/>
        <v>0</v>
      </c>
      <c r="O175" s="130">
        <f t="shared" si="146"/>
        <v>0</v>
      </c>
      <c r="P175" s="130">
        <f t="shared" si="146"/>
        <v>0</v>
      </c>
      <c r="Q175" s="130">
        <f t="shared" si="146"/>
        <v>0</v>
      </c>
      <c r="R175" s="130">
        <f t="shared" si="146"/>
        <v>0</v>
      </c>
      <c r="S175" s="130">
        <f t="shared" si="146"/>
        <v>0</v>
      </c>
      <c r="T175" s="130">
        <f t="shared" si="146"/>
        <v>0</v>
      </c>
      <c r="U175" s="130">
        <f t="shared" si="146"/>
        <v>0</v>
      </c>
      <c r="V175" s="130">
        <f t="shared" si="146"/>
        <v>0</v>
      </c>
      <c r="W175" s="130">
        <f t="shared" ref="W175:AF175" si="147">V8*W135</f>
        <v>0</v>
      </c>
      <c r="X175" s="130">
        <f t="shared" si="147"/>
        <v>0</v>
      </c>
      <c r="Y175" s="130">
        <f t="shared" si="147"/>
        <v>0</v>
      </c>
      <c r="Z175" s="130">
        <f t="shared" si="147"/>
        <v>0</v>
      </c>
      <c r="AA175" s="130">
        <f t="shared" si="147"/>
        <v>0</v>
      </c>
      <c r="AB175" s="130">
        <f t="shared" si="147"/>
        <v>0</v>
      </c>
      <c r="AC175" s="130">
        <f t="shared" si="147"/>
        <v>0</v>
      </c>
      <c r="AD175" s="130">
        <f t="shared" si="147"/>
        <v>0</v>
      </c>
      <c r="AE175" s="130">
        <f t="shared" si="147"/>
        <v>0</v>
      </c>
      <c r="AF175" s="130">
        <f t="shared" si="147"/>
        <v>0</v>
      </c>
      <c r="AG175" s="130"/>
      <c r="AH175" s="130"/>
      <c r="AI175" s="130"/>
    </row>
    <row r="176" spans="2:35" outlineLevel="1">
      <c r="B176" s="21" t="s">
        <v>463</v>
      </c>
      <c r="C176" s="129"/>
      <c r="D176" s="130">
        <f t="shared" ref="D176:V176" si="148">C9*D136</f>
        <v>12.5</v>
      </c>
      <c r="E176" s="130">
        <f t="shared" si="148"/>
        <v>12.5</v>
      </c>
      <c r="F176" s="130">
        <f t="shared" si="148"/>
        <v>0</v>
      </c>
      <c r="G176" s="130">
        <f t="shared" si="148"/>
        <v>0</v>
      </c>
      <c r="H176" s="130">
        <f t="shared" si="148"/>
        <v>0</v>
      </c>
      <c r="I176" s="130">
        <f t="shared" si="148"/>
        <v>0</v>
      </c>
      <c r="J176" s="130">
        <f t="shared" si="148"/>
        <v>0</v>
      </c>
      <c r="K176" s="130">
        <f t="shared" si="148"/>
        <v>0</v>
      </c>
      <c r="L176" s="130">
        <f t="shared" si="148"/>
        <v>0</v>
      </c>
      <c r="M176" s="130">
        <f t="shared" si="148"/>
        <v>0</v>
      </c>
      <c r="N176" s="130">
        <f t="shared" si="148"/>
        <v>0</v>
      </c>
      <c r="O176" s="130">
        <f t="shared" si="148"/>
        <v>0</v>
      </c>
      <c r="P176" s="130">
        <f t="shared" si="148"/>
        <v>0</v>
      </c>
      <c r="Q176" s="130">
        <f t="shared" si="148"/>
        <v>0</v>
      </c>
      <c r="R176" s="130">
        <f t="shared" si="148"/>
        <v>0</v>
      </c>
      <c r="S176" s="130">
        <f t="shared" si="148"/>
        <v>0</v>
      </c>
      <c r="T176" s="130">
        <f t="shared" si="148"/>
        <v>0</v>
      </c>
      <c r="U176" s="130">
        <f t="shared" si="148"/>
        <v>0</v>
      </c>
      <c r="V176" s="130">
        <f t="shared" si="148"/>
        <v>0</v>
      </c>
      <c r="W176" s="130">
        <f t="shared" ref="W176:AF176" si="149">V9*W136</f>
        <v>0</v>
      </c>
      <c r="X176" s="130">
        <f t="shared" si="149"/>
        <v>0</v>
      </c>
      <c r="Y176" s="130">
        <f t="shared" si="149"/>
        <v>0</v>
      </c>
      <c r="Z176" s="130">
        <f t="shared" si="149"/>
        <v>0</v>
      </c>
      <c r="AA176" s="130">
        <f t="shared" si="149"/>
        <v>0</v>
      </c>
      <c r="AB176" s="130">
        <f t="shared" si="149"/>
        <v>0</v>
      </c>
      <c r="AC176" s="130">
        <f t="shared" si="149"/>
        <v>0</v>
      </c>
      <c r="AD176" s="130">
        <f t="shared" si="149"/>
        <v>0</v>
      </c>
      <c r="AE176" s="130">
        <f t="shared" si="149"/>
        <v>0</v>
      </c>
      <c r="AF176" s="130">
        <f t="shared" si="149"/>
        <v>0</v>
      </c>
      <c r="AG176" s="130"/>
      <c r="AH176" s="130"/>
      <c r="AI176" s="130"/>
    </row>
    <row r="177" spans="2:35" outlineLevel="1">
      <c r="B177" s="21" t="s">
        <v>464</v>
      </c>
      <c r="C177" s="129"/>
      <c r="D177" s="130"/>
      <c r="E177" s="130"/>
      <c r="F177" s="130"/>
      <c r="G177" s="130"/>
      <c r="H177" s="130"/>
      <c r="I177" s="130"/>
      <c r="J177" s="130"/>
      <c r="K177" s="130"/>
      <c r="L177" s="130"/>
      <c r="M177" s="130">
        <f>M10*M138*(1/12)</f>
        <v>1.498156</v>
      </c>
      <c r="N177" s="130">
        <f t="shared" ref="N177:V177" si="150">M10*N138</f>
        <v>17.977872000000001</v>
      </c>
      <c r="O177" s="130">
        <f t="shared" si="150"/>
        <v>17.985455999999999</v>
      </c>
      <c r="P177" s="130">
        <f t="shared" si="150"/>
        <v>17.993040000000001</v>
      </c>
      <c r="Q177" s="130">
        <f t="shared" si="150"/>
        <v>0</v>
      </c>
      <c r="R177" s="130">
        <f t="shared" si="150"/>
        <v>0</v>
      </c>
      <c r="S177" s="130">
        <f t="shared" si="150"/>
        <v>0</v>
      </c>
      <c r="T177" s="130">
        <f t="shared" si="150"/>
        <v>0</v>
      </c>
      <c r="U177" s="130">
        <f t="shared" si="150"/>
        <v>0</v>
      </c>
      <c r="V177" s="130">
        <f t="shared" si="150"/>
        <v>0</v>
      </c>
      <c r="W177" s="130">
        <f t="shared" ref="W177:AF177" si="151">V10*W138</f>
        <v>0</v>
      </c>
      <c r="X177" s="130">
        <f t="shared" si="151"/>
        <v>0</v>
      </c>
      <c r="Y177" s="130">
        <f t="shared" si="151"/>
        <v>0</v>
      </c>
      <c r="Z177" s="130">
        <f t="shared" si="151"/>
        <v>0</v>
      </c>
      <c r="AA177" s="130">
        <f t="shared" si="151"/>
        <v>0</v>
      </c>
      <c r="AB177" s="130">
        <f t="shared" si="151"/>
        <v>0</v>
      </c>
      <c r="AC177" s="130">
        <f t="shared" si="151"/>
        <v>0</v>
      </c>
      <c r="AD177" s="130">
        <f t="shared" si="151"/>
        <v>0</v>
      </c>
      <c r="AE177" s="130">
        <f t="shared" si="151"/>
        <v>0</v>
      </c>
      <c r="AF177" s="130">
        <f t="shared" si="151"/>
        <v>0</v>
      </c>
      <c r="AG177" s="130"/>
      <c r="AH177" s="130"/>
      <c r="AI177" s="130"/>
    </row>
    <row r="178" spans="2:35" outlineLevel="1">
      <c r="B178" s="21" t="s">
        <v>465</v>
      </c>
      <c r="C178" s="129"/>
      <c r="D178" s="130"/>
      <c r="E178" s="130"/>
      <c r="F178" s="130"/>
      <c r="G178" s="130"/>
      <c r="H178" s="130"/>
      <c r="I178" s="130"/>
      <c r="J178" s="130"/>
      <c r="K178" s="130"/>
      <c r="L178" s="130"/>
      <c r="M178" s="130">
        <f>M11*M139*(1/12)</f>
        <v>1.7762793333333333</v>
      </c>
      <c r="N178" s="130">
        <f t="shared" ref="N178:V178" si="152">M11*N139</f>
        <v>21.315352000000001</v>
      </c>
      <c r="O178" s="130">
        <f t="shared" si="152"/>
        <v>21.322397500000001</v>
      </c>
      <c r="P178" s="130">
        <f t="shared" si="152"/>
        <v>21.329443000000001</v>
      </c>
      <c r="Q178" s="130">
        <f t="shared" si="152"/>
        <v>21.349999999999998</v>
      </c>
      <c r="R178" s="130">
        <f t="shared" si="152"/>
        <v>21.349999999999998</v>
      </c>
      <c r="S178" s="130">
        <f t="shared" si="152"/>
        <v>0</v>
      </c>
      <c r="T178" s="130">
        <f t="shared" si="152"/>
        <v>0</v>
      </c>
      <c r="U178" s="130">
        <f t="shared" si="152"/>
        <v>0</v>
      </c>
      <c r="V178" s="130">
        <f t="shared" si="152"/>
        <v>0</v>
      </c>
      <c r="W178" s="130">
        <f t="shared" ref="W178:AF178" si="153">V11*W139</f>
        <v>0</v>
      </c>
      <c r="X178" s="130">
        <f t="shared" si="153"/>
        <v>0</v>
      </c>
      <c r="Y178" s="130">
        <f t="shared" si="153"/>
        <v>0</v>
      </c>
      <c r="Z178" s="130">
        <f t="shared" si="153"/>
        <v>0</v>
      </c>
      <c r="AA178" s="130">
        <f t="shared" si="153"/>
        <v>0</v>
      </c>
      <c r="AB178" s="130">
        <f t="shared" si="153"/>
        <v>0</v>
      </c>
      <c r="AC178" s="130">
        <f t="shared" si="153"/>
        <v>0</v>
      </c>
      <c r="AD178" s="130">
        <f t="shared" si="153"/>
        <v>0</v>
      </c>
      <c r="AE178" s="130">
        <f t="shared" si="153"/>
        <v>0</v>
      </c>
      <c r="AF178" s="130">
        <f t="shared" si="153"/>
        <v>0</v>
      </c>
      <c r="AG178" s="130"/>
      <c r="AH178" s="130"/>
      <c r="AI178" s="130"/>
    </row>
    <row r="179" spans="2:35" s="689" customFormat="1" outlineLevel="1">
      <c r="B179" s="21" t="s">
        <v>1028</v>
      </c>
      <c r="C179" s="129"/>
      <c r="D179" s="130"/>
      <c r="E179" s="130"/>
      <c r="F179" s="130"/>
      <c r="G179" s="130"/>
      <c r="H179" s="130"/>
      <c r="I179" s="130"/>
      <c r="J179" s="130"/>
      <c r="K179" s="130"/>
      <c r="L179" s="130"/>
      <c r="M179" s="130"/>
      <c r="N179" s="130"/>
      <c r="O179" s="130"/>
      <c r="P179" s="130"/>
      <c r="Q179" s="130"/>
      <c r="R179" s="130"/>
      <c r="S179" s="130">
        <f>S12*S140*0.25</f>
        <v>2.4716999999999998</v>
      </c>
      <c r="T179" s="130">
        <f>T12*T140*0.75</f>
        <v>0</v>
      </c>
      <c r="U179" s="130"/>
      <c r="V179" s="130"/>
      <c r="W179" s="130"/>
      <c r="X179" s="130"/>
      <c r="Y179" s="130"/>
      <c r="Z179" s="130"/>
      <c r="AA179" s="130"/>
      <c r="AB179" s="130"/>
      <c r="AC179" s="130"/>
      <c r="AD179" s="130"/>
      <c r="AE179" s="130"/>
      <c r="AF179" s="130"/>
      <c r="AG179" s="130"/>
      <c r="AH179" s="130"/>
      <c r="AI179" s="130"/>
    </row>
    <row r="180" spans="2:35" s="689" customFormat="1" outlineLevel="1">
      <c r="B180" s="999" t="s">
        <v>1111</v>
      </c>
      <c r="C180" s="129"/>
      <c r="D180" s="130"/>
      <c r="E180" s="130"/>
      <c r="F180" s="130"/>
      <c r="G180" s="130"/>
      <c r="H180" s="130"/>
      <c r="I180" s="130"/>
      <c r="J180" s="130"/>
      <c r="K180" s="130"/>
      <c r="L180" s="130"/>
      <c r="M180" s="130"/>
      <c r="N180" s="130"/>
      <c r="O180" s="130"/>
      <c r="P180" s="130"/>
      <c r="Q180" s="130"/>
      <c r="R180" s="130"/>
      <c r="S180" s="130">
        <f t="shared" ref="S180:AF180" si="154">S14*S141</f>
        <v>11.219999999999999</v>
      </c>
      <c r="T180" s="130">
        <f t="shared" si="154"/>
        <v>0</v>
      </c>
      <c r="U180" s="130">
        <f t="shared" si="154"/>
        <v>0</v>
      </c>
      <c r="V180" s="130">
        <f t="shared" si="154"/>
        <v>0</v>
      </c>
      <c r="W180" s="130">
        <f t="shared" si="154"/>
        <v>0</v>
      </c>
      <c r="X180" s="130">
        <f t="shared" si="154"/>
        <v>0</v>
      </c>
      <c r="Y180" s="130">
        <f t="shared" si="154"/>
        <v>0</v>
      </c>
      <c r="Z180" s="130">
        <f t="shared" si="154"/>
        <v>0</v>
      </c>
      <c r="AA180" s="130">
        <f t="shared" si="154"/>
        <v>0</v>
      </c>
      <c r="AB180" s="130">
        <f t="shared" si="154"/>
        <v>0</v>
      </c>
      <c r="AC180" s="130">
        <f t="shared" si="154"/>
        <v>0</v>
      </c>
      <c r="AD180" s="130">
        <f t="shared" si="154"/>
        <v>0</v>
      </c>
      <c r="AE180" s="130">
        <f t="shared" si="154"/>
        <v>0</v>
      </c>
      <c r="AF180" s="130">
        <f t="shared" si="154"/>
        <v>0</v>
      </c>
      <c r="AG180" s="130"/>
      <c r="AH180" s="130"/>
      <c r="AI180" s="130"/>
    </row>
    <row r="181" spans="2:35" s="689" customFormat="1" outlineLevel="1">
      <c r="B181" s="21" t="s">
        <v>1027</v>
      </c>
      <c r="C181" s="129"/>
      <c r="D181" s="130"/>
      <c r="E181" s="130"/>
      <c r="F181" s="130"/>
      <c r="G181" s="130"/>
      <c r="H181" s="130"/>
      <c r="I181" s="130"/>
      <c r="J181" s="130"/>
      <c r="K181" s="130"/>
      <c r="L181" s="130"/>
      <c r="M181" s="130"/>
      <c r="N181" s="130"/>
      <c r="O181" s="130"/>
      <c r="P181" s="130"/>
      <c r="Q181" s="130"/>
      <c r="R181" s="130"/>
      <c r="S181" s="130">
        <f>S14*S142*0.25</f>
        <v>2.4683999999999999</v>
      </c>
      <c r="T181" s="130">
        <f>T14*T142</f>
        <v>9.8735999999999997</v>
      </c>
      <c r="U181" s="130">
        <f>U14*U142*0.25</f>
        <v>0</v>
      </c>
      <c r="V181" s="130"/>
      <c r="W181" s="130"/>
      <c r="X181" s="130"/>
      <c r="Y181" s="130"/>
      <c r="Z181" s="130"/>
      <c r="AA181" s="130"/>
      <c r="AB181" s="130"/>
      <c r="AC181" s="130"/>
      <c r="AD181" s="130"/>
      <c r="AE181" s="130"/>
      <c r="AF181" s="130"/>
      <c r="AG181" s="130"/>
      <c r="AH181" s="130"/>
      <c r="AI181" s="130"/>
    </row>
    <row r="182" spans="2:35" outlineLevel="1">
      <c r="B182" s="21" t="s">
        <v>733</v>
      </c>
      <c r="C182" s="129"/>
      <c r="D182" s="130"/>
      <c r="E182" s="130"/>
      <c r="F182" s="130"/>
      <c r="G182" s="130"/>
      <c r="H182" s="130"/>
      <c r="I182" s="130"/>
      <c r="J182" s="130"/>
      <c r="K182" s="130"/>
      <c r="L182" s="130"/>
      <c r="M182" s="130"/>
      <c r="N182" s="130"/>
      <c r="O182" s="130"/>
      <c r="P182" s="130">
        <f>P15*P143*0.75</f>
        <v>7.6721249999999994</v>
      </c>
      <c r="Q182" s="130">
        <f t="shared" ref="Q182:AF182" si="155">Q15*Q143</f>
        <v>10.209</v>
      </c>
      <c r="R182" s="130">
        <f t="shared" si="155"/>
        <v>10.2295</v>
      </c>
      <c r="S182" s="130">
        <f t="shared" si="155"/>
        <v>10.2295</v>
      </c>
      <c r="T182" s="130">
        <f t="shared" si="155"/>
        <v>10.2295</v>
      </c>
      <c r="U182" s="130">
        <f t="shared" si="155"/>
        <v>0</v>
      </c>
      <c r="V182" s="130">
        <f t="shared" si="155"/>
        <v>0</v>
      </c>
      <c r="W182" s="130">
        <f t="shared" si="155"/>
        <v>0</v>
      </c>
      <c r="X182" s="130">
        <f t="shared" si="155"/>
        <v>0</v>
      </c>
      <c r="Y182" s="130">
        <f t="shared" si="155"/>
        <v>0</v>
      </c>
      <c r="Z182" s="130">
        <f t="shared" si="155"/>
        <v>0</v>
      </c>
      <c r="AA182" s="130">
        <f t="shared" si="155"/>
        <v>0</v>
      </c>
      <c r="AB182" s="130">
        <f t="shared" si="155"/>
        <v>0</v>
      </c>
      <c r="AC182" s="130">
        <f t="shared" si="155"/>
        <v>0</v>
      </c>
      <c r="AD182" s="130">
        <f t="shared" si="155"/>
        <v>0</v>
      </c>
      <c r="AE182" s="130">
        <f t="shared" si="155"/>
        <v>0</v>
      </c>
      <c r="AF182" s="130">
        <f t="shared" si="155"/>
        <v>0</v>
      </c>
      <c r="AG182" s="130"/>
      <c r="AH182" s="130"/>
      <c r="AI182" s="130"/>
    </row>
    <row r="183" spans="2:35" s="689" customFormat="1" outlineLevel="1">
      <c r="B183" s="21" t="s">
        <v>1026</v>
      </c>
      <c r="C183" s="129"/>
      <c r="D183" s="130"/>
      <c r="E183" s="130"/>
      <c r="F183" s="130"/>
      <c r="G183" s="130"/>
      <c r="H183" s="130"/>
      <c r="I183" s="130"/>
      <c r="J183" s="130"/>
      <c r="K183" s="130"/>
      <c r="L183" s="130"/>
      <c r="M183" s="130"/>
      <c r="N183" s="130"/>
      <c r="O183" s="130"/>
      <c r="P183" s="130"/>
      <c r="Q183" s="130"/>
      <c r="R183" s="130"/>
      <c r="S183" s="130">
        <f>S16*S144*0.25</f>
        <v>1.6467000000000001</v>
      </c>
      <c r="T183" s="130">
        <f>T16*T144</f>
        <v>6.5868000000000002</v>
      </c>
      <c r="U183" s="130">
        <f>U16*U144*0.75</f>
        <v>0</v>
      </c>
      <c r="V183" s="130"/>
      <c r="W183" s="130"/>
      <c r="X183" s="130"/>
      <c r="Y183" s="130"/>
      <c r="Z183" s="130"/>
      <c r="AA183" s="130"/>
      <c r="AB183" s="130"/>
      <c r="AC183" s="130"/>
      <c r="AD183" s="130"/>
      <c r="AE183" s="130"/>
      <c r="AF183" s="130"/>
      <c r="AG183" s="130"/>
      <c r="AH183" s="130"/>
      <c r="AI183" s="130"/>
    </row>
    <row r="184" spans="2:35" s="689" customFormat="1" outlineLevel="1">
      <c r="B184" s="21" t="s">
        <v>1029</v>
      </c>
      <c r="C184" s="129"/>
      <c r="D184" s="130"/>
      <c r="E184" s="130"/>
      <c r="F184" s="130"/>
      <c r="G184" s="130"/>
      <c r="H184" s="130"/>
      <c r="I184" s="130"/>
      <c r="J184" s="130"/>
      <c r="K184" s="130"/>
      <c r="L184" s="130"/>
      <c r="M184" s="130"/>
      <c r="N184" s="130"/>
      <c r="O184" s="130"/>
      <c r="P184" s="130"/>
      <c r="Q184" s="130"/>
      <c r="R184" s="130"/>
      <c r="S184" s="130">
        <f>S17*S145*0.25</f>
        <v>4.6111249999999995</v>
      </c>
      <c r="T184" s="130">
        <f>T17*T145</f>
        <v>18.444499999999998</v>
      </c>
      <c r="U184" s="130">
        <f>U17*U145*0.75</f>
        <v>0</v>
      </c>
      <c r="V184" s="130"/>
      <c r="W184" s="130"/>
      <c r="X184" s="130"/>
      <c r="Y184" s="130"/>
      <c r="Z184" s="130"/>
      <c r="AA184" s="130"/>
      <c r="AB184" s="130"/>
      <c r="AC184" s="130"/>
      <c r="AD184" s="130"/>
      <c r="AE184" s="130"/>
      <c r="AF184" s="130"/>
      <c r="AG184" s="130"/>
      <c r="AH184" s="130"/>
      <c r="AI184" s="130"/>
    </row>
    <row r="185" spans="2:35" outlineLevel="1">
      <c r="B185" s="21" t="s">
        <v>804</v>
      </c>
      <c r="C185" s="129"/>
      <c r="D185" s="130"/>
      <c r="E185" s="130"/>
      <c r="F185" s="130"/>
      <c r="G185" s="130"/>
      <c r="H185" s="130"/>
      <c r="I185" s="130"/>
      <c r="J185" s="130"/>
      <c r="K185" s="130"/>
      <c r="L185" s="130"/>
      <c r="M185" s="130"/>
      <c r="N185" s="130"/>
      <c r="O185" s="130"/>
      <c r="P185" s="130">
        <f>P18*P146*(2/12)</f>
        <v>1.9544166666666665</v>
      </c>
      <c r="Q185" s="130">
        <f t="shared" ref="Q185:AF186" si="156">Q18*Q146</f>
        <v>11.679500000000001</v>
      </c>
      <c r="R185" s="130">
        <f t="shared" si="156"/>
        <v>11.702999999999999</v>
      </c>
      <c r="S185" s="130">
        <f t="shared" si="156"/>
        <v>11.7265</v>
      </c>
      <c r="T185" s="130">
        <f t="shared" si="156"/>
        <v>11.75</v>
      </c>
      <c r="U185" s="130">
        <f t="shared" si="156"/>
        <v>11.75</v>
      </c>
      <c r="V185" s="130">
        <f t="shared" si="156"/>
        <v>0</v>
      </c>
      <c r="W185" s="130">
        <f t="shared" si="156"/>
        <v>0</v>
      </c>
      <c r="X185" s="130">
        <f t="shared" si="156"/>
        <v>0</v>
      </c>
      <c r="Y185" s="130">
        <f t="shared" si="156"/>
        <v>0</v>
      </c>
      <c r="Z185" s="130">
        <f t="shared" si="156"/>
        <v>0</v>
      </c>
      <c r="AA185" s="130">
        <f t="shared" si="156"/>
        <v>0</v>
      </c>
      <c r="AB185" s="130">
        <f t="shared" si="156"/>
        <v>0</v>
      </c>
      <c r="AC185" s="130">
        <f t="shared" si="156"/>
        <v>0</v>
      </c>
      <c r="AD185" s="130">
        <f t="shared" si="156"/>
        <v>0</v>
      </c>
      <c r="AE185" s="130">
        <f t="shared" si="156"/>
        <v>0</v>
      </c>
      <c r="AF185" s="130">
        <f t="shared" si="156"/>
        <v>0</v>
      </c>
      <c r="AG185" s="130"/>
      <c r="AH185" s="130"/>
      <c r="AI185" s="130"/>
    </row>
    <row r="186" spans="2:35" s="689" customFormat="1" outlineLevel="1">
      <c r="B186" s="999" t="s">
        <v>1118</v>
      </c>
      <c r="C186" s="129"/>
      <c r="D186" s="130"/>
      <c r="E186" s="130"/>
      <c r="F186" s="130"/>
      <c r="G186" s="130"/>
      <c r="H186" s="130"/>
      <c r="I186" s="130"/>
      <c r="J186" s="130"/>
      <c r="K186" s="130"/>
      <c r="L186" s="130"/>
      <c r="M186" s="130"/>
      <c r="N186" s="130"/>
      <c r="O186" s="130"/>
      <c r="P186" s="130"/>
      <c r="Q186" s="130"/>
      <c r="R186" s="130"/>
      <c r="S186" s="130">
        <f t="shared" si="156"/>
        <v>14.969999999999999</v>
      </c>
      <c r="T186" s="130">
        <f t="shared" si="156"/>
        <v>14.969999999999999</v>
      </c>
      <c r="U186" s="130">
        <f t="shared" si="156"/>
        <v>14.969999999999999</v>
      </c>
      <c r="V186" s="130">
        <f t="shared" si="156"/>
        <v>0</v>
      </c>
      <c r="W186" s="130">
        <f t="shared" si="156"/>
        <v>0</v>
      </c>
      <c r="X186" s="130">
        <f t="shared" si="156"/>
        <v>0</v>
      </c>
      <c r="Y186" s="130">
        <f t="shared" si="156"/>
        <v>0</v>
      </c>
      <c r="Z186" s="130">
        <f t="shared" si="156"/>
        <v>0</v>
      </c>
      <c r="AA186" s="130">
        <f t="shared" si="156"/>
        <v>0</v>
      </c>
      <c r="AB186" s="130">
        <f t="shared" si="156"/>
        <v>0</v>
      </c>
      <c r="AC186" s="130">
        <f t="shared" si="156"/>
        <v>0</v>
      </c>
      <c r="AD186" s="130">
        <f t="shared" si="156"/>
        <v>0</v>
      </c>
      <c r="AE186" s="130">
        <f t="shared" si="156"/>
        <v>0</v>
      </c>
      <c r="AF186" s="130">
        <f t="shared" si="156"/>
        <v>0</v>
      </c>
      <c r="AG186" s="130"/>
      <c r="AH186" s="130"/>
      <c r="AI186" s="130"/>
    </row>
    <row r="187" spans="2:35" outlineLevel="1">
      <c r="B187" s="21" t="s">
        <v>466</v>
      </c>
      <c r="C187" s="129"/>
      <c r="D187" s="130"/>
      <c r="E187" s="130"/>
      <c r="F187" s="130"/>
      <c r="G187" s="130"/>
      <c r="H187" s="130"/>
      <c r="I187" s="130"/>
      <c r="J187" s="130"/>
      <c r="K187" s="130"/>
      <c r="L187" s="130"/>
      <c r="M187" s="130">
        <f>M20*M137*0.75</f>
        <v>33.4822275</v>
      </c>
      <c r="N187" s="130">
        <f t="shared" ref="N187:V187" si="157">M20*N137</f>
        <v>44.642969999999998</v>
      </c>
      <c r="O187" s="130">
        <f t="shared" si="157"/>
        <v>44.681534999999997</v>
      </c>
      <c r="P187" s="130">
        <f t="shared" si="157"/>
        <v>44.720144999999995</v>
      </c>
      <c r="Q187" s="130">
        <f t="shared" si="157"/>
        <v>44.774999999999999</v>
      </c>
      <c r="R187" s="130">
        <f t="shared" si="157"/>
        <v>44.64</v>
      </c>
      <c r="S187" s="130">
        <f t="shared" si="157"/>
        <v>44.73</v>
      </c>
      <c r="T187" s="130">
        <f t="shared" si="157"/>
        <v>44.774999999999999</v>
      </c>
      <c r="U187" s="130">
        <f t="shared" si="157"/>
        <v>44.774999999999999</v>
      </c>
      <c r="V187" s="130">
        <f t="shared" si="157"/>
        <v>44.774999999999999</v>
      </c>
      <c r="W187" s="130">
        <f t="shared" ref="W187:AF187" si="158">V20*W137</f>
        <v>44.774999999999999</v>
      </c>
      <c r="X187" s="130">
        <f t="shared" si="158"/>
        <v>0</v>
      </c>
      <c r="Y187" s="130">
        <f t="shared" si="158"/>
        <v>0</v>
      </c>
      <c r="Z187" s="130">
        <f t="shared" si="158"/>
        <v>0</v>
      </c>
      <c r="AA187" s="130">
        <f t="shared" si="158"/>
        <v>0</v>
      </c>
      <c r="AB187" s="130">
        <f t="shared" si="158"/>
        <v>0</v>
      </c>
      <c r="AC187" s="130">
        <f t="shared" si="158"/>
        <v>0</v>
      </c>
      <c r="AD187" s="130">
        <f t="shared" si="158"/>
        <v>0</v>
      </c>
      <c r="AE187" s="130">
        <f t="shared" si="158"/>
        <v>0</v>
      </c>
      <c r="AF187" s="130">
        <f t="shared" si="158"/>
        <v>0</v>
      </c>
      <c r="AG187" s="130"/>
      <c r="AH187" s="130"/>
      <c r="AI187" s="130"/>
    </row>
    <row r="188" spans="2:35" outlineLevel="1">
      <c r="B188" s="21" t="s">
        <v>467</v>
      </c>
      <c r="C188" s="129"/>
      <c r="D188" s="130"/>
      <c r="E188" s="130"/>
      <c r="F188" s="130"/>
      <c r="G188" s="130"/>
      <c r="H188" s="130"/>
      <c r="I188" s="130"/>
      <c r="J188" s="130"/>
      <c r="K188" s="130"/>
      <c r="L188" s="130"/>
      <c r="M188" s="130">
        <f>M21*M148*(1/12)</f>
        <v>4.5728393333333326</v>
      </c>
      <c r="N188" s="130">
        <f t="shared" ref="N188:V188" si="159">M21*N148</f>
        <v>54.874071999999991</v>
      </c>
      <c r="O188" s="130">
        <f t="shared" si="159"/>
        <v>54.886831999999998</v>
      </c>
      <c r="P188" s="130">
        <f t="shared" si="159"/>
        <v>54.899503999999993</v>
      </c>
      <c r="Q188" s="130">
        <f t="shared" si="159"/>
        <v>54.911999999999999</v>
      </c>
      <c r="R188" s="130">
        <f t="shared" si="159"/>
        <v>54.735999999999997</v>
      </c>
      <c r="S188" s="130">
        <f t="shared" si="159"/>
        <v>54.779999999999994</v>
      </c>
      <c r="T188" s="130">
        <f t="shared" si="159"/>
        <v>54.823999999999998</v>
      </c>
      <c r="U188" s="130">
        <f t="shared" si="159"/>
        <v>54.823999999999998</v>
      </c>
      <c r="V188" s="130">
        <f t="shared" si="159"/>
        <v>54.823999999999998</v>
      </c>
      <c r="W188" s="130">
        <f t="shared" ref="W188:AF188" si="160">V21*W148</f>
        <v>54.823999999999998</v>
      </c>
      <c r="X188" s="130">
        <f t="shared" si="160"/>
        <v>0</v>
      </c>
      <c r="Y188" s="130">
        <f t="shared" si="160"/>
        <v>0</v>
      </c>
      <c r="Z188" s="130">
        <f t="shared" si="160"/>
        <v>0</v>
      </c>
      <c r="AA188" s="130">
        <f t="shared" si="160"/>
        <v>0</v>
      </c>
      <c r="AB188" s="130">
        <f t="shared" si="160"/>
        <v>0</v>
      </c>
      <c r="AC188" s="130">
        <f t="shared" si="160"/>
        <v>0</v>
      </c>
      <c r="AD188" s="130">
        <f t="shared" si="160"/>
        <v>0</v>
      </c>
      <c r="AE188" s="130">
        <f t="shared" si="160"/>
        <v>0</v>
      </c>
      <c r="AF188" s="130">
        <f t="shared" si="160"/>
        <v>0</v>
      </c>
      <c r="AG188" s="130"/>
      <c r="AH188" s="130"/>
      <c r="AI188" s="130"/>
    </row>
    <row r="189" spans="2:35" outlineLevel="1">
      <c r="B189" s="21" t="s">
        <v>734</v>
      </c>
      <c r="C189" s="129"/>
      <c r="D189" s="130"/>
      <c r="E189" s="130"/>
      <c r="F189" s="130"/>
      <c r="G189" s="130"/>
      <c r="H189" s="130"/>
      <c r="I189" s="130"/>
      <c r="J189" s="130"/>
      <c r="K189" s="130"/>
      <c r="L189" s="130"/>
      <c r="M189" s="130"/>
      <c r="N189" s="130"/>
      <c r="O189" s="130"/>
      <c r="P189" s="130">
        <f>P22*P149*0.75</f>
        <v>48.479249999999993</v>
      </c>
      <c r="Q189" s="130">
        <f t="shared" ref="Q189:AF189" si="161">Q22*Q149</f>
        <v>64.38</v>
      </c>
      <c r="R189" s="130">
        <f t="shared" si="161"/>
        <v>64.417000000000002</v>
      </c>
      <c r="S189" s="130">
        <f t="shared" si="161"/>
        <v>64.453999999999994</v>
      </c>
      <c r="T189" s="130">
        <f t="shared" si="161"/>
        <v>64.453999999999994</v>
      </c>
      <c r="U189" s="130">
        <f t="shared" si="161"/>
        <v>64.453999999999994</v>
      </c>
      <c r="V189" s="130">
        <f t="shared" si="161"/>
        <v>64.453999999999994</v>
      </c>
      <c r="W189" s="130">
        <f t="shared" si="161"/>
        <v>64.453999999999994</v>
      </c>
      <c r="X189" s="130">
        <f t="shared" si="161"/>
        <v>64.453999999999994</v>
      </c>
      <c r="Y189" s="130">
        <f t="shared" si="161"/>
        <v>64.453999999999994</v>
      </c>
      <c r="Z189" s="130">
        <f t="shared" si="161"/>
        <v>0</v>
      </c>
      <c r="AA189" s="130">
        <f t="shared" si="161"/>
        <v>0</v>
      </c>
      <c r="AB189" s="130">
        <f t="shared" si="161"/>
        <v>0</v>
      </c>
      <c r="AC189" s="130">
        <f t="shared" si="161"/>
        <v>0</v>
      </c>
      <c r="AD189" s="130">
        <f t="shared" si="161"/>
        <v>0</v>
      </c>
      <c r="AE189" s="130">
        <f t="shared" si="161"/>
        <v>0</v>
      </c>
      <c r="AF189" s="130">
        <f t="shared" si="161"/>
        <v>0</v>
      </c>
      <c r="AG189" s="130"/>
      <c r="AH189" s="130"/>
      <c r="AI189" s="130"/>
    </row>
    <row r="190" spans="2:35" outlineLevel="1">
      <c r="B190" s="21" t="s">
        <v>805</v>
      </c>
      <c r="C190" s="129"/>
      <c r="D190" s="130"/>
      <c r="E190" s="130"/>
      <c r="F190" s="130"/>
      <c r="G190" s="130"/>
      <c r="H190" s="130"/>
      <c r="I190" s="130"/>
      <c r="J190" s="130"/>
      <c r="K190" s="130"/>
      <c r="L190" s="130"/>
      <c r="M190" s="130"/>
      <c r="N190" s="130"/>
      <c r="O190" s="130"/>
      <c r="P190" s="130">
        <f>P23*P150*(2/12)</f>
        <v>10.196666666666667</v>
      </c>
      <c r="Q190" s="130">
        <f t="shared" ref="Q190:AF190" si="162">Q23*Q150</f>
        <v>60.970000000000006</v>
      </c>
      <c r="R190" s="130">
        <f t="shared" si="162"/>
        <v>61.005000000000003</v>
      </c>
      <c r="S190" s="130">
        <f t="shared" si="162"/>
        <v>61.040000000000006</v>
      </c>
      <c r="T190" s="130">
        <f t="shared" si="162"/>
        <v>61.250000000000007</v>
      </c>
      <c r="U190" s="130">
        <f t="shared" si="162"/>
        <v>61.250000000000007</v>
      </c>
      <c r="V190" s="130">
        <f t="shared" si="162"/>
        <v>61.250000000000007</v>
      </c>
      <c r="W190" s="130">
        <f t="shared" si="162"/>
        <v>61.250000000000007</v>
      </c>
      <c r="X190" s="130">
        <f t="shared" si="162"/>
        <v>61.250000000000007</v>
      </c>
      <c r="Y190" s="130">
        <f t="shared" si="162"/>
        <v>61.250000000000007</v>
      </c>
      <c r="Z190" s="130">
        <f t="shared" si="162"/>
        <v>61.250000000000007</v>
      </c>
      <c r="AA190" s="130">
        <f t="shared" si="162"/>
        <v>0</v>
      </c>
      <c r="AB190" s="130">
        <f t="shared" si="162"/>
        <v>0</v>
      </c>
      <c r="AC190" s="130">
        <f t="shared" si="162"/>
        <v>0</v>
      </c>
      <c r="AD190" s="130">
        <f t="shared" si="162"/>
        <v>0</v>
      </c>
      <c r="AE190" s="130">
        <f t="shared" si="162"/>
        <v>0</v>
      </c>
      <c r="AF190" s="130">
        <f t="shared" si="162"/>
        <v>0</v>
      </c>
      <c r="AG190" s="130"/>
      <c r="AH190" s="130"/>
      <c r="AI190" s="130"/>
    </row>
    <row r="191" spans="2:35" outlineLevel="1">
      <c r="B191" s="21" t="s">
        <v>468</v>
      </c>
      <c r="D191" s="130"/>
      <c r="E191" s="130"/>
      <c r="F191" s="130"/>
      <c r="G191" s="130"/>
      <c r="H191" s="130"/>
      <c r="I191" s="130"/>
      <c r="J191" s="130"/>
      <c r="K191" s="130"/>
      <c r="L191" s="130"/>
      <c r="M191" s="130">
        <f>M24*M151*(1/12)</f>
        <v>4.6976642499999999</v>
      </c>
      <c r="N191" s="130">
        <f t="shared" ref="N191:V191" si="163">M24*N151</f>
        <v>56.371971000000002</v>
      </c>
      <c r="O191" s="130">
        <f t="shared" si="163"/>
        <v>56.376264999999997</v>
      </c>
      <c r="P191" s="130">
        <f t="shared" si="163"/>
        <v>56.380502499999999</v>
      </c>
      <c r="Q191" s="130">
        <f t="shared" si="163"/>
        <v>56.387</v>
      </c>
      <c r="R191" s="130">
        <f t="shared" si="163"/>
        <v>56.217500000000001</v>
      </c>
      <c r="S191" s="130">
        <f>R24*S151</f>
        <v>56.217500000000001</v>
      </c>
      <c r="T191" s="130">
        <f t="shared" si="163"/>
        <v>56.217500000000001</v>
      </c>
      <c r="U191" s="130">
        <f t="shared" si="163"/>
        <v>56.217500000000001</v>
      </c>
      <c r="V191" s="130">
        <f t="shared" si="163"/>
        <v>56.217500000000001</v>
      </c>
      <c r="W191" s="130">
        <f t="shared" ref="W191:AF191" si="164">V24*W151</f>
        <v>56.217500000000001</v>
      </c>
      <c r="X191" s="130">
        <f t="shared" si="164"/>
        <v>56.217500000000001</v>
      </c>
      <c r="Y191" s="130">
        <f t="shared" si="164"/>
        <v>56.217500000000001</v>
      </c>
      <c r="Z191" s="130">
        <f t="shared" si="164"/>
        <v>56.217500000000001</v>
      </c>
      <c r="AA191" s="130">
        <f t="shared" si="164"/>
        <v>56.217500000000001</v>
      </c>
      <c r="AB191" s="130">
        <f t="shared" si="164"/>
        <v>56.217500000000001</v>
      </c>
      <c r="AC191" s="130">
        <f t="shared" si="164"/>
        <v>56.217500000000001</v>
      </c>
      <c r="AD191" s="130">
        <f t="shared" si="164"/>
        <v>56.217500000000001</v>
      </c>
      <c r="AE191" s="130">
        <f t="shared" si="164"/>
        <v>56.217500000000001</v>
      </c>
      <c r="AF191" s="130">
        <f t="shared" si="164"/>
        <v>56.217500000000001</v>
      </c>
      <c r="AG191" s="130"/>
      <c r="AH191" s="130"/>
      <c r="AI191" s="130"/>
    </row>
    <row r="192" spans="2:35" outlineLevel="1">
      <c r="B192" s="21" t="s">
        <v>735</v>
      </c>
      <c r="D192" s="130"/>
      <c r="E192" s="130"/>
      <c r="F192" s="130"/>
      <c r="G192" s="130"/>
      <c r="H192" s="130"/>
      <c r="I192" s="130"/>
      <c r="J192" s="130"/>
      <c r="K192" s="130"/>
      <c r="L192" s="130"/>
      <c r="M192" s="130"/>
      <c r="N192" s="130"/>
      <c r="O192" s="130"/>
      <c r="P192" s="130">
        <f>P25*P152*0.75</f>
        <v>62.89200000000001</v>
      </c>
      <c r="Q192" s="130">
        <f t="shared" ref="Q192:AF192" si="165">Q25*Q152</f>
        <v>83.135999999999996</v>
      </c>
      <c r="R192" s="130">
        <f t="shared" si="165"/>
        <v>83.135999999999996</v>
      </c>
      <c r="S192" s="130">
        <f t="shared" si="165"/>
        <v>83.183999999999997</v>
      </c>
      <c r="T192" s="130">
        <f t="shared" si="165"/>
        <v>83.183999999999997</v>
      </c>
      <c r="U192" s="130">
        <f t="shared" si="165"/>
        <v>83.183999999999997</v>
      </c>
      <c r="V192" s="130">
        <f t="shared" si="165"/>
        <v>83.183999999999997</v>
      </c>
      <c r="W192" s="130">
        <f t="shared" si="165"/>
        <v>83.183999999999997</v>
      </c>
      <c r="X192" s="130">
        <f t="shared" si="165"/>
        <v>83.183999999999997</v>
      </c>
      <c r="Y192" s="130">
        <f t="shared" si="165"/>
        <v>83.183999999999997</v>
      </c>
      <c r="Z192" s="130">
        <f t="shared" si="165"/>
        <v>83.183999999999997</v>
      </c>
      <c r="AA192" s="130">
        <f t="shared" si="165"/>
        <v>83.183999999999997</v>
      </c>
      <c r="AB192" s="130">
        <f t="shared" si="165"/>
        <v>83.183999999999997</v>
      </c>
      <c r="AC192" s="130">
        <f t="shared" si="165"/>
        <v>83.183999999999997</v>
      </c>
      <c r="AD192" s="130">
        <f t="shared" si="165"/>
        <v>83.183999999999997</v>
      </c>
      <c r="AE192" s="130">
        <f t="shared" si="165"/>
        <v>83.183999999999997</v>
      </c>
      <c r="AF192" s="130">
        <f t="shared" si="165"/>
        <v>83.183999999999997</v>
      </c>
      <c r="AG192" s="130"/>
      <c r="AH192" s="130"/>
      <c r="AI192" s="130"/>
    </row>
    <row r="193" spans="2:35" outlineLevel="1">
      <c r="B193" s="21" t="s">
        <v>806</v>
      </c>
      <c r="D193" s="130"/>
      <c r="E193" s="130"/>
      <c r="F193" s="130"/>
      <c r="G193" s="130"/>
      <c r="H193" s="130"/>
      <c r="I193" s="130"/>
      <c r="J193" s="130"/>
      <c r="K193" s="130"/>
      <c r="L193" s="130"/>
      <c r="M193" s="130"/>
      <c r="N193" s="130"/>
      <c r="O193" s="130"/>
      <c r="P193" s="130">
        <f>P26*P153*(2/12)</f>
        <v>13.049999999999999</v>
      </c>
      <c r="Q193" s="130">
        <f t="shared" ref="Q193:AF193" si="166">Q26*Q153</f>
        <v>77.759999999999991</v>
      </c>
      <c r="R193" s="130">
        <f t="shared" si="166"/>
        <v>77.804999999999993</v>
      </c>
      <c r="S193" s="130">
        <f t="shared" si="166"/>
        <v>77.849999999999994</v>
      </c>
      <c r="T193" s="130">
        <f t="shared" si="166"/>
        <v>78.75</v>
      </c>
      <c r="U193" s="130">
        <f t="shared" si="166"/>
        <v>78.75</v>
      </c>
      <c r="V193" s="130">
        <f t="shared" si="166"/>
        <v>78.75</v>
      </c>
      <c r="W193" s="130">
        <f t="shared" si="166"/>
        <v>78.75</v>
      </c>
      <c r="X193" s="130">
        <f t="shared" si="166"/>
        <v>78.75</v>
      </c>
      <c r="Y193" s="130">
        <f t="shared" si="166"/>
        <v>78.75</v>
      </c>
      <c r="Z193" s="130">
        <f t="shared" si="166"/>
        <v>78.75</v>
      </c>
      <c r="AA193" s="130">
        <f t="shared" si="166"/>
        <v>78.75</v>
      </c>
      <c r="AB193" s="130">
        <f t="shared" si="166"/>
        <v>78.75</v>
      </c>
      <c r="AC193" s="130">
        <f t="shared" si="166"/>
        <v>78.75</v>
      </c>
      <c r="AD193" s="130">
        <f t="shared" si="166"/>
        <v>78.75</v>
      </c>
      <c r="AE193" s="130">
        <f t="shared" si="166"/>
        <v>78.75</v>
      </c>
      <c r="AF193" s="130">
        <f t="shared" si="166"/>
        <v>78.75</v>
      </c>
      <c r="AG193" s="130"/>
      <c r="AH193" s="130"/>
      <c r="AI193" s="130"/>
    </row>
    <row r="194" spans="2:35" outlineLevel="1">
      <c r="B194" s="21" t="s">
        <v>836</v>
      </c>
      <c r="D194" s="130"/>
      <c r="E194" s="130"/>
      <c r="F194" s="130"/>
      <c r="G194" s="130"/>
      <c r="H194" s="130"/>
      <c r="I194" s="130"/>
      <c r="J194" s="130"/>
      <c r="K194" s="130"/>
      <c r="L194" s="130"/>
      <c r="M194" s="130"/>
      <c r="N194" s="130"/>
      <c r="O194" s="130"/>
      <c r="P194" s="130"/>
      <c r="Q194" s="130">
        <f>Q27*Q154*(2/12)</f>
        <v>3.3233333333333333</v>
      </c>
      <c r="R194" s="130">
        <f>R27*R155</f>
        <v>18.462999999999997</v>
      </c>
      <c r="S194" s="130">
        <f t="shared" ref="S194:AF194" si="167">S27*S155</f>
        <v>18.4815</v>
      </c>
      <c r="T194" s="130">
        <f t="shared" si="167"/>
        <v>0</v>
      </c>
      <c r="U194" s="130">
        <f t="shared" si="167"/>
        <v>0</v>
      </c>
      <c r="V194" s="130">
        <f t="shared" si="167"/>
        <v>0</v>
      </c>
      <c r="W194" s="130">
        <f t="shared" si="167"/>
        <v>0</v>
      </c>
      <c r="X194" s="130">
        <f t="shared" si="167"/>
        <v>0</v>
      </c>
      <c r="Y194" s="130">
        <f t="shared" si="167"/>
        <v>0</v>
      </c>
      <c r="Z194" s="130">
        <f t="shared" si="167"/>
        <v>0</v>
      </c>
      <c r="AA194" s="130">
        <f t="shared" si="167"/>
        <v>0</v>
      </c>
      <c r="AB194" s="130">
        <f t="shared" si="167"/>
        <v>0</v>
      </c>
      <c r="AC194" s="130">
        <f t="shared" si="167"/>
        <v>0</v>
      </c>
      <c r="AD194" s="130">
        <f t="shared" si="167"/>
        <v>0</v>
      </c>
      <c r="AE194" s="130">
        <f t="shared" si="167"/>
        <v>0</v>
      </c>
      <c r="AF194" s="130">
        <f t="shared" si="167"/>
        <v>0</v>
      </c>
      <c r="AG194" s="130"/>
      <c r="AH194" s="130"/>
      <c r="AI194" s="130"/>
    </row>
    <row r="195" spans="2:35" outlineLevel="1">
      <c r="B195" s="21" t="s">
        <v>837</v>
      </c>
      <c r="D195" s="130"/>
      <c r="E195" s="130"/>
      <c r="F195" s="130"/>
      <c r="G195" s="130"/>
      <c r="H195" s="130"/>
      <c r="I195" s="130"/>
      <c r="J195" s="130"/>
      <c r="K195" s="130"/>
      <c r="L195" s="130"/>
      <c r="M195" s="130"/>
      <c r="N195" s="130"/>
      <c r="O195" s="130"/>
      <c r="P195" s="130"/>
      <c r="Q195" s="130">
        <f>Q28*Q156*3/12</f>
        <v>12.679875000000001</v>
      </c>
      <c r="R195" s="130">
        <f>R28*R156</f>
        <v>50.770499999999998</v>
      </c>
      <c r="S195" s="130">
        <f t="shared" ref="S195:AF195" si="168">S28*S156</f>
        <v>50.846999999999994</v>
      </c>
      <c r="T195" s="130">
        <f t="shared" si="168"/>
        <v>51</v>
      </c>
      <c r="U195" s="130">
        <f t="shared" si="168"/>
        <v>51</v>
      </c>
      <c r="V195" s="130">
        <f t="shared" si="168"/>
        <v>0</v>
      </c>
      <c r="W195" s="130">
        <f t="shared" si="168"/>
        <v>0</v>
      </c>
      <c r="X195" s="130">
        <f t="shared" si="168"/>
        <v>0</v>
      </c>
      <c r="Y195" s="130">
        <f t="shared" si="168"/>
        <v>0</v>
      </c>
      <c r="Z195" s="130">
        <f t="shared" si="168"/>
        <v>0</v>
      </c>
      <c r="AA195" s="130">
        <f t="shared" si="168"/>
        <v>0</v>
      </c>
      <c r="AB195" s="130">
        <f t="shared" si="168"/>
        <v>0</v>
      </c>
      <c r="AC195" s="130">
        <f t="shared" si="168"/>
        <v>0</v>
      </c>
      <c r="AD195" s="130">
        <f t="shared" si="168"/>
        <v>0</v>
      </c>
      <c r="AE195" s="130">
        <f t="shared" si="168"/>
        <v>0</v>
      </c>
      <c r="AF195" s="130">
        <f t="shared" si="168"/>
        <v>0</v>
      </c>
      <c r="AG195" s="130"/>
      <c r="AH195" s="130"/>
      <c r="AI195" s="130"/>
    </row>
    <row r="196" spans="2:35" outlineLevel="1">
      <c r="B196" s="21" t="s">
        <v>838</v>
      </c>
      <c r="D196" s="130"/>
      <c r="E196" s="130"/>
      <c r="F196" s="130"/>
      <c r="G196" s="130"/>
      <c r="H196" s="130"/>
      <c r="I196" s="130"/>
      <c r="J196" s="130"/>
      <c r="K196" s="130"/>
      <c r="L196" s="130"/>
      <c r="M196" s="130"/>
      <c r="N196" s="130"/>
      <c r="O196" s="130"/>
      <c r="P196" s="130"/>
      <c r="Q196" s="130">
        <f>Q29*Q157*3/12</f>
        <v>8.0843749999999996</v>
      </c>
      <c r="R196" s="130">
        <f>R29*R157</f>
        <v>32.337499999999999</v>
      </c>
      <c r="S196" s="130">
        <f t="shared" ref="S196:AF197" si="169">S29*S157</f>
        <v>32.370000000000005</v>
      </c>
      <c r="T196" s="130">
        <f t="shared" si="169"/>
        <v>32.5</v>
      </c>
      <c r="U196" s="130">
        <f t="shared" si="169"/>
        <v>32.5</v>
      </c>
      <c r="V196" s="130">
        <f t="shared" si="169"/>
        <v>32.5</v>
      </c>
      <c r="W196" s="130">
        <f t="shared" si="169"/>
        <v>32.5</v>
      </c>
      <c r="X196" s="130">
        <f t="shared" si="169"/>
        <v>0</v>
      </c>
      <c r="Y196" s="130">
        <f t="shared" si="169"/>
        <v>0</v>
      </c>
      <c r="Z196" s="130">
        <f t="shared" si="169"/>
        <v>0</v>
      </c>
      <c r="AA196" s="130">
        <f t="shared" si="169"/>
        <v>0</v>
      </c>
      <c r="AB196" s="130">
        <f t="shared" si="169"/>
        <v>0</v>
      </c>
      <c r="AC196" s="130">
        <f t="shared" si="169"/>
        <v>0</v>
      </c>
      <c r="AD196" s="130">
        <f t="shared" si="169"/>
        <v>0</v>
      </c>
      <c r="AE196" s="130">
        <f t="shared" si="169"/>
        <v>0</v>
      </c>
      <c r="AF196" s="130">
        <f t="shared" si="169"/>
        <v>0</v>
      </c>
      <c r="AG196" s="130"/>
      <c r="AH196" s="130"/>
      <c r="AI196" s="130"/>
    </row>
    <row r="197" spans="2:35" s="689" customFormat="1" outlineLevel="1">
      <c r="B197" s="999" t="s">
        <v>1113</v>
      </c>
      <c r="D197" s="130"/>
      <c r="E197" s="130"/>
      <c r="F197" s="130"/>
      <c r="G197" s="130"/>
      <c r="H197" s="130"/>
      <c r="I197" s="130"/>
      <c r="J197" s="130"/>
      <c r="K197" s="130"/>
      <c r="L197" s="130"/>
      <c r="M197" s="130"/>
      <c r="N197" s="130"/>
      <c r="O197" s="130"/>
      <c r="P197" s="130"/>
      <c r="Q197" s="130"/>
      <c r="R197" s="130"/>
      <c r="S197" s="130">
        <f t="shared" si="169"/>
        <v>37.454999999999998</v>
      </c>
      <c r="T197" s="130">
        <f t="shared" si="169"/>
        <v>37.454999999999998</v>
      </c>
      <c r="U197" s="130">
        <f t="shared" si="169"/>
        <v>37.454999999999998</v>
      </c>
      <c r="V197" s="130">
        <f t="shared" si="169"/>
        <v>37.454999999999998</v>
      </c>
      <c r="W197" s="130">
        <f t="shared" si="169"/>
        <v>37.454999999999998</v>
      </c>
      <c r="X197" s="130">
        <f t="shared" si="169"/>
        <v>0</v>
      </c>
      <c r="Y197" s="130">
        <f t="shared" si="169"/>
        <v>0</v>
      </c>
      <c r="Z197" s="130">
        <f t="shared" si="169"/>
        <v>0</v>
      </c>
      <c r="AA197" s="130">
        <f t="shared" si="169"/>
        <v>0</v>
      </c>
      <c r="AB197" s="130">
        <f t="shared" si="169"/>
        <v>0</v>
      </c>
      <c r="AC197" s="130">
        <f t="shared" si="169"/>
        <v>0</v>
      </c>
      <c r="AD197" s="130">
        <f t="shared" si="169"/>
        <v>0</v>
      </c>
      <c r="AE197" s="130">
        <f t="shared" si="169"/>
        <v>0</v>
      </c>
      <c r="AF197" s="130">
        <f t="shared" si="169"/>
        <v>0</v>
      </c>
      <c r="AG197" s="130"/>
      <c r="AH197" s="130"/>
      <c r="AI197" s="130"/>
    </row>
    <row r="198" spans="2:35" outlineLevel="1">
      <c r="B198" s="21" t="s">
        <v>839</v>
      </c>
      <c r="D198" s="130"/>
      <c r="E198" s="130"/>
      <c r="F198" s="130"/>
      <c r="G198" s="130"/>
      <c r="H198" s="130"/>
      <c r="I198" s="130"/>
      <c r="J198" s="130"/>
      <c r="K198" s="130"/>
      <c r="L198" s="130"/>
      <c r="M198" s="130"/>
      <c r="N198" s="130"/>
      <c r="O198" s="130"/>
      <c r="P198" s="130"/>
      <c r="Q198" s="130">
        <f>Q31*Q159*3/12</f>
        <v>24.856499999999997</v>
      </c>
      <c r="R198" s="130">
        <f>R31*R159</f>
        <v>99.498999999999995</v>
      </c>
      <c r="S198" s="130">
        <f t="shared" ref="S198:AF198" si="170">S31*S159</f>
        <v>99.608499999999992</v>
      </c>
      <c r="T198" s="130">
        <f t="shared" si="170"/>
        <v>100.375</v>
      </c>
      <c r="U198" s="130">
        <f t="shared" si="170"/>
        <v>100.375</v>
      </c>
      <c r="V198" s="130">
        <f t="shared" si="170"/>
        <v>100.375</v>
      </c>
      <c r="W198" s="130">
        <f t="shared" si="170"/>
        <v>100.375</v>
      </c>
      <c r="X198" s="130">
        <f t="shared" si="170"/>
        <v>100.375</v>
      </c>
      <c r="Y198" s="130">
        <f t="shared" si="170"/>
        <v>100.375</v>
      </c>
      <c r="Z198" s="130">
        <f t="shared" si="170"/>
        <v>100.375</v>
      </c>
      <c r="AA198" s="130">
        <f t="shared" si="170"/>
        <v>100.375</v>
      </c>
      <c r="AB198" s="130">
        <f t="shared" si="170"/>
        <v>0</v>
      </c>
      <c r="AC198" s="130">
        <f t="shared" si="170"/>
        <v>0</v>
      </c>
      <c r="AD198" s="130">
        <f t="shared" si="170"/>
        <v>0</v>
      </c>
      <c r="AE198" s="130">
        <f t="shared" si="170"/>
        <v>0</v>
      </c>
      <c r="AF198" s="130">
        <f t="shared" si="170"/>
        <v>0</v>
      </c>
      <c r="AG198" s="130"/>
      <c r="AH198" s="130"/>
      <c r="AI198" s="130"/>
    </row>
    <row r="199" spans="2:35" outlineLevel="1">
      <c r="B199" s="21" t="s">
        <v>841</v>
      </c>
      <c r="D199" s="130"/>
      <c r="E199" s="130"/>
      <c r="F199" s="130"/>
      <c r="G199" s="130"/>
      <c r="H199" s="130"/>
      <c r="I199" s="130"/>
      <c r="J199" s="130"/>
      <c r="K199" s="130"/>
      <c r="L199" s="130"/>
      <c r="M199" s="130"/>
      <c r="N199" s="130"/>
      <c r="O199" s="130"/>
      <c r="P199" s="130"/>
      <c r="Q199" s="130">
        <f>Q32*Q160*3/12</f>
        <v>11.362</v>
      </c>
      <c r="R199" s="130">
        <f>R32*R160</f>
        <v>45.494</v>
      </c>
      <c r="S199" s="130">
        <f t="shared" ref="S199:AF199" si="171">S32*S160</f>
        <v>45.54</v>
      </c>
      <c r="T199" s="130">
        <f t="shared" si="171"/>
        <v>46</v>
      </c>
      <c r="U199" s="130">
        <f t="shared" si="171"/>
        <v>46</v>
      </c>
      <c r="V199" s="130">
        <f t="shared" si="171"/>
        <v>46</v>
      </c>
      <c r="W199" s="130">
        <f t="shared" si="171"/>
        <v>46</v>
      </c>
      <c r="X199" s="130">
        <f t="shared" si="171"/>
        <v>46</v>
      </c>
      <c r="Y199" s="130">
        <f t="shared" si="171"/>
        <v>46</v>
      </c>
      <c r="Z199" s="130">
        <f t="shared" si="171"/>
        <v>46</v>
      </c>
      <c r="AA199" s="130">
        <f t="shared" si="171"/>
        <v>46</v>
      </c>
      <c r="AB199" s="130">
        <f t="shared" si="171"/>
        <v>46</v>
      </c>
      <c r="AC199" s="130">
        <f t="shared" si="171"/>
        <v>46</v>
      </c>
      <c r="AD199" s="130">
        <f t="shared" si="171"/>
        <v>46</v>
      </c>
      <c r="AE199" s="130">
        <f t="shared" si="171"/>
        <v>46</v>
      </c>
      <c r="AF199" s="130">
        <f t="shared" si="171"/>
        <v>46</v>
      </c>
      <c r="AG199" s="130"/>
      <c r="AH199" s="130"/>
      <c r="AI199" s="130"/>
    </row>
    <row r="200" spans="2:35" outlineLevel="1">
      <c r="B200" s="21" t="s">
        <v>840</v>
      </c>
      <c r="D200" s="130"/>
      <c r="E200" s="130"/>
      <c r="F200" s="130"/>
      <c r="G200" s="130"/>
      <c r="H200" s="130"/>
      <c r="I200" s="130"/>
      <c r="J200" s="130"/>
      <c r="K200" s="130"/>
      <c r="L200" s="130"/>
      <c r="M200" s="130"/>
      <c r="N200" s="130"/>
      <c r="O200" s="130"/>
      <c r="P200" s="130"/>
      <c r="Q200" s="130">
        <f>Q33*Q161*3/12</f>
        <v>26.267500000000002</v>
      </c>
      <c r="R200" s="130">
        <f>R33*R161</f>
        <v>105.16500000000001</v>
      </c>
      <c r="S200" s="130">
        <f t="shared" ref="S200:AF200" si="172">S33*S161</f>
        <v>105.21250000000001</v>
      </c>
      <c r="T200" s="130">
        <f t="shared" si="172"/>
        <v>106.875</v>
      </c>
      <c r="U200" s="130">
        <f t="shared" si="172"/>
        <v>106.875</v>
      </c>
      <c r="V200" s="130">
        <f t="shared" si="172"/>
        <v>106.875</v>
      </c>
      <c r="W200" s="130">
        <f t="shared" si="172"/>
        <v>106.875</v>
      </c>
      <c r="X200" s="130">
        <f t="shared" si="172"/>
        <v>106.875</v>
      </c>
      <c r="Y200" s="130">
        <f t="shared" si="172"/>
        <v>106.875</v>
      </c>
      <c r="Z200" s="130">
        <f t="shared" si="172"/>
        <v>106.875</v>
      </c>
      <c r="AA200" s="130">
        <f t="shared" si="172"/>
        <v>106.875</v>
      </c>
      <c r="AB200" s="130">
        <f t="shared" si="172"/>
        <v>106.875</v>
      </c>
      <c r="AC200" s="130">
        <f t="shared" si="172"/>
        <v>106.875</v>
      </c>
      <c r="AD200" s="130">
        <f t="shared" si="172"/>
        <v>106.875</v>
      </c>
      <c r="AE200" s="130">
        <f t="shared" si="172"/>
        <v>106.875</v>
      </c>
      <c r="AF200" s="130">
        <f t="shared" si="172"/>
        <v>106.875</v>
      </c>
      <c r="AG200" s="130"/>
      <c r="AH200" s="130"/>
      <c r="AI200" s="130"/>
    </row>
    <row r="201" spans="2:35" s="689" customFormat="1" outlineLevel="1">
      <c r="B201" s="994" t="s">
        <v>1103</v>
      </c>
      <c r="D201" s="130"/>
      <c r="E201" s="130"/>
      <c r="F201" s="130"/>
      <c r="G201" s="130"/>
      <c r="H201" s="130"/>
      <c r="I201" s="130"/>
      <c r="J201" s="130"/>
      <c r="K201" s="130"/>
      <c r="L201" s="130"/>
      <c r="M201" s="130"/>
      <c r="N201" s="130"/>
      <c r="O201" s="130"/>
      <c r="P201" s="130"/>
      <c r="Q201" s="130"/>
      <c r="R201" s="130"/>
      <c r="S201" s="130">
        <f>S39*S162</f>
        <v>0</v>
      </c>
      <c r="T201" s="130">
        <f t="shared" ref="T201:AF201" si="173">T39*T162</f>
        <v>0</v>
      </c>
      <c r="U201" s="130">
        <f t="shared" si="173"/>
        <v>0</v>
      </c>
      <c r="V201" s="130">
        <f t="shared" si="173"/>
        <v>0</v>
      </c>
      <c r="W201" s="130">
        <f t="shared" si="173"/>
        <v>0</v>
      </c>
      <c r="X201" s="130">
        <f t="shared" si="173"/>
        <v>0</v>
      </c>
      <c r="Y201" s="130">
        <f t="shared" si="173"/>
        <v>0</v>
      </c>
      <c r="Z201" s="130">
        <f t="shared" si="173"/>
        <v>0</v>
      </c>
      <c r="AA201" s="130">
        <f t="shared" si="173"/>
        <v>0</v>
      </c>
      <c r="AB201" s="130">
        <f t="shared" si="173"/>
        <v>0</v>
      </c>
      <c r="AC201" s="130">
        <f t="shared" si="173"/>
        <v>0</v>
      </c>
      <c r="AD201" s="130">
        <f t="shared" si="173"/>
        <v>0</v>
      </c>
      <c r="AE201" s="130">
        <f t="shared" si="173"/>
        <v>0</v>
      </c>
      <c r="AF201" s="130">
        <f t="shared" si="173"/>
        <v>0</v>
      </c>
      <c r="AG201" s="130"/>
      <c r="AH201" s="130"/>
      <c r="AI201" s="130"/>
    </row>
    <row r="202" spans="2:35" s="689" customFormat="1" ht="15" outlineLevel="1">
      <c r="B202" s="994" t="s">
        <v>926</v>
      </c>
      <c r="C202" s="995"/>
      <c r="D202" s="995"/>
      <c r="E202" s="995"/>
      <c r="F202" s="995"/>
      <c r="G202" s="130"/>
      <c r="H202" s="130"/>
      <c r="I202" s="130"/>
      <c r="J202" s="130"/>
      <c r="K202" s="130"/>
      <c r="L202" s="130"/>
      <c r="M202" s="130"/>
      <c r="N202" s="130"/>
      <c r="O202" s="130"/>
      <c r="P202" s="130"/>
      <c r="Q202" s="130"/>
      <c r="R202" s="130"/>
      <c r="S202" s="130">
        <f>S163*S34</f>
        <v>9.6914999999999996</v>
      </c>
      <c r="T202" s="130">
        <f t="shared" ref="T202:AF202" si="174">T163*T34</f>
        <v>9.6914999999999996</v>
      </c>
      <c r="U202" s="130">
        <f t="shared" si="174"/>
        <v>9.6914999999999996</v>
      </c>
      <c r="V202" s="130">
        <f t="shared" si="174"/>
        <v>9.6914999999999996</v>
      </c>
      <c r="W202" s="130">
        <f t="shared" si="174"/>
        <v>9.6914999999999996</v>
      </c>
      <c r="X202" s="130">
        <f t="shared" si="174"/>
        <v>0</v>
      </c>
      <c r="Y202" s="130">
        <f t="shared" si="174"/>
        <v>0</v>
      </c>
      <c r="Z202" s="130">
        <f t="shared" si="174"/>
        <v>0</v>
      </c>
      <c r="AA202" s="130">
        <f t="shared" si="174"/>
        <v>0</v>
      </c>
      <c r="AB202" s="130">
        <f t="shared" si="174"/>
        <v>0</v>
      </c>
      <c r="AC202" s="130">
        <f t="shared" si="174"/>
        <v>0</v>
      </c>
      <c r="AD202" s="130">
        <f t="shared" si="174"/>
        <v>0</v>
      </c>
      <c r="AE202" s="130">
        <f t="shared" si="174"/>
        <v>0</v>
      </c>
      <c r="AF202" s="130">
        <f t="shared" si="174"/>
        <v>0</v>
      </c>
      <c r="AG202" s="130"/>
      <c r="AH202" s="130"/>
      <c r="AI202" s="130"/>
    </row>
    <row r="203" spans="2:35" s="689" customFormat="1" ht="15" outlineLevel="1">
      <c r="B203" s="994" t="s">
        <v>927</v>
      </c>
      <c r="C203" s="995"/>
      <c r="D203" s="995"/>
      <c r="E203" s="995"/>
      <c r="F203" s="995"/>
      <c r="G203" s="130"/>
      <c r="H203" s="130"/>
      <c r="I203" s="130"/>
      <c r="J203" s="130"/>
      <c r="K203" s="130"/>
      <c r="L203" s="130"/>
      <c r="M203" s="130"/>
      <c r="N203" s="130"/>
      <c r="O203" s="130"/>
      <c r="P203" s="130"/>
      <c r="Q203" s="130"/>
      <c r="R203" s="130"/>
      <c r="S203" s="130">
        <f>S164*S35</f>
        <v>18.625</v>
      </c>
      <c r="T203" s="130">
        <f t="shared" ref="T203:AF203" si="175">T164*T35</f>
        <v>18.625</v>
      </c>
      <c r="U203" s="130">
        <f t="shared" si="175"/>
        <v>18.625</v>
      </c>
      <c r="V203" s="130">
        <f t="shared" si="175"/>
        <v>18.625</v>
      </c>
      <c r="W203" s="130">
        <f t="shared" si="175"/>
        <v>18.625</v>
      </c>
      <c r="X203" s="130">
        <f t="shared" si="175"/>
        <v>18.625</v>
      </c>
      <c r="Y203" s="130">
        <f t="shared" si="175"/>
        <v>0</v>
      </c>
      <c r="Z203" s="130">
        <f t="shared" si="175"/>
        <v>0</v>
      </c>
      <c r="AA203" s="130">
        <f t="shared" si="175"/>
        <v>0</v>
      </c>
      <c r="AB203" s="130">
        <f t="shared" si="175"/>
        <v>0</v>
      </c>
      <c r="AC203" s="130">
        <f t="shared" si="175"/>
        <v>0</v>
      </c>
      <c r="AD203" s="130">
        <f t="shared" si="175"/>
        <v>0</v>
      </c>
      <c r="AE203" s="130">
        <f t="shared" si="175"/>
        <v>0</v>
      </c>
      <c r="AF203" s="130">
        <f t="shared" si="175"/>
        <v>0</v>
      </c>
      <c r="AG203" s="130"/>
      <c r="AH203" s="130"/>
      <c r="AI203" s="130"/>
    </row>
    <row r="204" spans="2:35" s="689" customFormat="1" ht="15" outlineLevel="1">
      <c r="B204" s="994" t="s">
        <v>928</v>
      </c>
      <c r="C204" s="995"/>
      <c r="D204" s="995"/>
      <c r="E204" s="995"/>
      <c r="F204" s="995"/>
      <c r="G204" s="130"/>
      <c r="H204" s="130"/>
      <c r="I204" s="130"/>
      <c r="J204" s="130"/>
      <c r="K204" s="130"/>
      <c r="L204" s="130"/>
      <c r="M204" s="130"/>
      <c r="N204" s="130"/>
      <c r="O204" s="130"/>
      <c r="P204" s="130"/>
      <c r="Q204" s="130"/>
      <c r="R204" s="130"/>
      <c r="S204" s="130">
        <f>S165*S36</f>
        <v>36.698</v>
      </c>
      <c r="T204" s="130">
        <f t="shared" ref="T204:AF204" si="176">T165*T36</f>
        <v>36.698</v>
      </c>
      <c r="U204" s="130">
        <f t="shared" si="176"/>
        <v>36.698</v>
      </c>
      <c r="V204" s="130">
        <f t="shared" si="176"/>
        <v>36.698</v>
      </c>
      <c r="W204" s="130">
        <f t="shared" si="176"/>
        <v>36.698</v>
      </c>
      <c r="X204" s="130">
        <f t="shared" si="176"/>
        <v>36.698</v>
      </c>
      <c r="Y204" s="130">
        <f t="shared" si="176"/>
        <v>36.698</v>
      </c>
      <c r="Z204" s="130">
        <f t="shared" si="176"/>
        <v>36.698</v>
      </c>
      <c r="AA204" s="130">
        <f t="shared" si="176"/>
        <v>36.698</v>
      </c>
      <c r="AB204" s="130">
        <f t="shared" si="176"/>
        <v>36.698</v>
      </c>
      <c r="AC204" s="130">
        <f t="shared" si="176"/>
        <v>0</v>
      </c>
      <c r="AD204" s="130">
        <f t="shared" si="176"/>
        <v>0</v>
      </c>
      <c r="AE204" s="130">
        <f t="shared" si="176"/>
        <v>0</v>
      </c>
      <c r="AF204" s="130">
        <f t="shared" si="176"/>
        <v>0</v>
      </c>
      <c r="AG204" s="130"/>
      <c r="AH204" s="130"/>
      <c r="AI204" s="130"/>
    </row>
    <row r="205" spans="2:35" s="689" customFormat="1" ht="15" outlineLevel="1">
      <c r="B205" s="994" t="s">
        <v>929</v>
      </c>
      <c r="C205" s="995"/>
      <c r="D205" s="995"/>
      <c r="E205" s="995"/>
      <c r="F205" s="995"/>
      <c r="G205" s="130"/>
      <c r="H205" s="130"/>
      <c r="I205" s="130"/>
      <c r="J205" s="130"/>
      <c r="K205" s="130"/>
      <c r="L205" s="130"/>
      <c r="M205" s="130"/>
      <c r="N205" s="130"/>
      <c r="O205" s="130"/>
      <c r="P205" s="130"/>
      <c r="Q205" s="130"/>
      <c r="R205" s="130"/>
      <c r="S205" s="130">
        <f>S166*S37</f>
        <v>29.6</v>
      </c>
      <c r="T205" s="130">
        <f t="shared" ref="T205:AF205" si="177">T166*T37</f>
        <v>29.6</v>
      </c>
      <c r="U205" s="130">
        <f t="shared" si="177"/>
        <v>29.6</v>
      </c>
      <c r="V205" s="130">
        <f t="shared" si="177"/>
        <v>29.6</v>
      </c>
      <c r="W205" s="130">
        <f t="shared" si="177"/>
        <v>29.6</v>
      </c>
      <c r="X205" s="130">
        <f t="shared" si="177"/>
        <v>29.6</v>
      </c>
      <c r="Y205" s="130">
        <f t="shared" si="177"/>
        <v>29.6</v>
      </c>
      <c r="Z205" s="130">
        <f t="shared" si="177"/>
        <v>29.6</v>
      </c>
      <c r="AA205" s="130">
        <f t="shared" si="177"/>
        <v>29.6</v>
      </c>
      <c r="AB205" s="130">
        <f t="shared" si="177"/>
        <v>29.6</v>
      </c>
      <c r="AC205" s="130">
        <f t="shared" si="177"/>
        <v>29.6</v>
      </c>
      <c r="AD205" s="130">
        <f t="shared" si="177"/>
        <v>29.6</v>
      </c>
      <c r="AE205" s="130">
        <f t="shared" si="177"/>
        <v>29.6</v>
      </c>
      <c r="AF205" s="130">
        <f t="shared" si="177"/>
        <v>29.6</v>
      </c>
      <c r="AG205" s="130"/>
      <c r="AH205" s="130"/>
      <c r="AI205" s="130"/>
    </row>
    <row r="206" spans="2:35" s="689" customFormat="1" ht="15" outlineLevel="1">
      <c r="B206" s="994" t="s">
        <v>930</v>
      </c>
      <c r="C206" s="995"/>
      <c r="D206" s="995"/>
      <c r="E206" s="995"/>
      <c r="F206" s="995"/>
      <c r="G206" s="130"/>
      <c r="H206" s="130"/>
      <c r="I206" s="130"/>
      <c r="J206" s="130"/>
      <c r="K206" s="130"/>
      <c r="L206" s="130"/>
      <c r="M206" s="130"/>
      <c r="N206" s="130"/>
      <c r="O206" s="130"/>
      <c r="P206" s="130"/>
      <c r="Q206" s="130"/>
      <c r="R206" s="130"/>
      <c r="S206" s="130">
        <f>S167*S38</f>
        <v>71.504500000000007</v>
      </c>
      <c r="T206" s="130">
        <f t="shared" ref="T206:AF206" si="178">T167*T38</f>
        <v>71.504500000000007</v>
      </c>
      <c r="U206" s="130">
        <f t="shared" si="178"/>
        <v>71.504500000000007</v>
      </c>
      <c r="V206" s="130">
        <f t="shared" si="178"/>
        <v>71.504500000000007</v>
      </c>
      <c r="W206" s="130">
        <f t="shared" si="178"/>
        <v>71.504500000000007</v>
      </c>
      <c r="X206" s="130">
        <f t="shared" si="178"/>
        <v>71.504500000000007</v>
      </c>
      <c r="Y206" s="130">
        <f t="shared" si="178"/>
        <v>71.504500000000007</v>
      </c>
      <c r="Z206" s="130">
        <f t="shared" si="178"/>
        <v>71.504500000000007</v>
      </c>
      <c r="AA206" s="130">
        <f t="shared" si="178"/>
        <v>71.504500000000007</v>
      </c>
      <c r="AB206" s="130">
        <f t="shared" si="178"/>
        <v>71.504500000000007</v>
      </c>
      <c r="AC206" s="130">
        <f t="shared" si="178"/>
        <v>71.504500000000007</v>
      </c>
      <c r="AD206" s="130">
        <f t="shared" si="178"/>
        <v>71.504500000000007</v>
      </c>
      <c r="AE206" s="130">
        <f t="shared" si="178"/>
        <v>71.504500000000007</v>
      </c>
      <c r="AF206" s="130">
        <f t="shared" si="178"/>
        <v>71.504500000000007</v>
      </c>
      <c r="AG206" s="130"/>
      <c r="AH206" s="130"/>
      <c r="AI206" s="130"/>
    </row>
    <row r="207" spans="2:35" outlineLevel="1">
      <c r="B207" s="21" t="s">
        <v>469</v>
      </c>
      <c r="D207" s="130">
        <f t="shared" ref="D207:V207" si="179">C42*D168</f>
        <v>0.11286000000000002</v>
      </c>
      <c r="E207" s="130">
        <f t="shared" si="179"/>
        <v>2.801999999999907E-2</v>
      </c>
      <c r="F207" s="130">
        <f t="shared" si="179"/>
        <v>2.7719999999999346E-2</v>
      </c>
      <c r="G207" s="130">
        <f t="shared" si="179"/>
        <v>2.4900000000000002E-2</v>
      </c>
      <c r="H207" s="130">
        <f t="shared" si="179"/>
        <v>18.051359999999999</v>
      </c>
      <c r="I207" s="130">
        <f t="shared" si="179"/>
        <v>6.6356400000000031</v>
      </c>
      <c r="J207" s="130">
        <f t="shared" si="179"/>
        <v>0.62340000000000595</v>
      </c>
      <c r="K207" s="130">
        <f t="shared" si="179"/>
        <v>1.4035800000000045</v>
      </c>
      <c r="L207" s="130">
        <f t="shared" si="179"/>
        <v>2.2489199999999938</v>
      </c>
      <c r="M207" s="130">
        <f t="shared" si="179"/>
        <v>1.7852999999999655</v>
      </c>
      <c r="N207" s="130">
        <f t="shared" si="179"/>
        <v>8.9584799999999998</v>
      </c>
      <c r="O207" s="130">
        <f t="shared" si="179"/>
        <v>13.685820000000094</v>
      </c>
      <c r="P207" s="130">
        <f t="shared" si="179"/>
        <v>18.23028</v>
      </c>
      <c r="Q207" s="130">
        <f t="shared" si="179"/>
        <v>36.059999999999995</v>
      </c>
      <c r="R207" s="130">
        <f t="shared" si="179"/>
        <v>31.14</v>
      </c>
      <c r="S207" s="130">
        <f t="shared" si="179"/>
        <v>36.42</v>
      </c>
      <c r="T207" s="130">
        <f t="shared" si="179"/>
        <v>33.479999999999997</v>
      </c>
      <c r="U207" s="130">
        <f t="shared" si="179"/>
        <v>33.479999999999997</v>
      </c>
      <c r="V207" s="130">
        <f t="shared" si="179"/>
        <v>33.479999999999997</v>
      </c>
      <c r="W207" s="130">
        <f t="shared" ref="W207:AF207" si="180">V42*W168</f>
        <v>33.479999999999997</v>
      </c>
      <c r="X207" s="130">
        <f t="shared" si="180"/>
        <v>33.479999999999997</v>
      </c>
      <c r="Y207" s="130">
        <f t="shared" si="180"/>
        <v>33.479999999999997</v>
      </c>
      <c r="Z207" s="130">
        <f t="shared" si="180"/>
        <v>33.479999999999997</v>
      </c>
      <c r="AA207" s="130">
        <f t="shared" si="180"/>
        <v>33.479999999999997</v>
      </c>
      <c r="AB207" s="130">
        <f t="shared" si="180"/>
        <v>33.479999999999997</v>
      </c>
      <c r="AC207" s="130">
        <f t="shared" si="180"/>
        <v>33.479999999999997</v>
      </c>
      <c r="AD207" s="130">
        <f t="shared" si="180"/>
        <v>33.479999999999997</v>
      </c>
      <c r="AE207" s="130">
        <f t="shared" si="180"/>
        <v>33.479999999999997</v>
      </c>
      <c r="AF207" s="130">
        <f t="shared" si="180"/>
        <v>33.479999999999997</v>
      </c>
      <c r="AG207" s="130"/>
      <c r="AH207" s="130"/>
      <c r="AI207" s="130"/>
    </row>
    <row r="208" spans="2:35" outlineLevel="1">
      <c r="B208" s="21" t="s">
        <v>470</v>
      </c>
      <c r="D208" s="130">
        <f t="shared" ref="D208:N208" si="181">C43*D169</f>
        <v>0</v>
      </c>
      <c r="E208" s="130">
        <f t="shared" si="181"/>
        <v>0</v>
      </c>
      <c r="F208" s="130">
        <f t="shared" si="181"/>
        <v>0</v>
      </c>
      <c r="G208" s="130">
        <f t="shared" si="181"/>
        <v>0</v>
      </c>
      <c r="H208" s="130">
        <f t="shared" si="181"/>
        <v>0</v>
      </c>
      <c r="I208" s="130">
        <f t="shared" si="181"/>
        <v>0</v>
      </c>
      <c r="J208" s="130">
        <f t="shared" si="181"/>
        <v>0.09</v>
      </c>
      <c r="K208" s="130">
        <f t="shared" si="181"/>
        <v>0.222</v>
      </c>
      <c r="L208" s="130">
        <f t="shared" si="181"/>
        <v>6.720000000000001E-2</v>
      </c>
      <c r="M208" s="130">
        <f t="shared" si="181"/>
        <v>0.08</v>
      </c>
      <c r="N208" s="130">
        <f t="shared" si="181"/>
        <v>0</v>
      </c>
      <c r="O208" s="130">
        <f>N43*O169*0.5</f>
        <v>6</v>
      </c>
      <c r="P208" s="130">
        <f t="shared" ref="P208:V208" si="182">O43*P169</f>
        <v>9.6</v>
      </c>
      <c r="Q208" s="130">
        <f t="shared" si="182"/>
        <v>0</v>
      </c>
      <c r="R208" s="130">
        <f t="shared" si="182"/>
        <v>0</v>
      </c>
      <c r="S208" s="130">
        <f t="shared" si="182"/>
        <v>0</v>
      </c>
      <c r="T208" s="130">
        <f t="shared" si="182"/>
        <v>0</v>
      </c>
      <c r="U208" s="130">
        <f t="shared" si="182"/>
        <v>0</v>
      </c>
      <c r="V208" s="130">
        <f t="shared" si="182"/>
        <v>0</v>
      </c>
      <c r="W208" s="130">
        <f t="shared" ref="W208:AF208" si="183">V43*W169</f>
        <v>0</v>
      </c>
      <c r="X208" s="130">
        <f t="shared" si="183"/>
        <v>0</v>
      </c>
      <c r="Y208" s="130">
        <f t="shared" si="183"/>
        <v>0</v>
      </c>
      <c r="Z208" s="130">
        <f t="shared" si="183"/>
        <v>0</v>
      </c>
      <c r="AA208" s="130">
        <f t="shared" si="183"/>
        <v>0</v>
      </c>
      <c r="AB208" s="130">
        <f t="shared" si="183"/>
        <v>0</v>
      </c>
      <c r="AC208" s="130">
        <f t="shared" si="183"/>
        <v>0</v>
      </c>
      <c r="AD208" s="130">
        <f t="shared" si="183"/>
        <v>0</v>
      </c>
      <c r="AE208" s="130">
        <f t="shared" si="183"/>
        <v>0</v>
      </c>
      <c r="AF208" s="130">
        <f t="shared" si="183"/>
        <v>0</v>
      </c>
      <c r="AG208" s="130"/>
      <c r="AH208" s="130"/>
      <c r="AI208" s="130"/>
    </row>
    <row r="209" spans="2:35">
      <c r="B209" s="21"/>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row>
    <row r="210" spans="2:35" s="9" customFormat="1">
      <c r="B210" s="9" t="s">
        <v>491</v>
      </c>
      <c r="D210" s="124">
        <f t="shared" ref="D210:AF210" si="184">SUM(D171:D208)</f>
        <v>12.61286</v>
      </c>
      <c r="E210" s="124">
        <f t="shared" si="184"/>
        <v>19.428019999999997</v>
      </c>
      <c r="F210" s="124">
        <f t="shared" si="184"/>
        <v>6.9277199999999999</v>
      </c>
      <c r="G210" s="124">
        <f t="shared" si="184"/>
        <v>2.4900000000000002E-2</v>
      </c>
      <c r="H210" s="124">
        <f t="shared" si="184"/>
        <v>18.051359999999999</v>
      </c>
      <c r="I210" s="124">
        <f t="shared" si="184"/>
        <v>13.948140000000002</v>
      </c>
      <c r="J210" s="124">
        <f t="shared" si="184"/>
        <v>8.0259000000000054</v>
      </c>
      <c r="K210" s="124">
        <f t="shared" si="184"/>
        <v>7.6757362500000053</v>
      </c>
      <c r="L210" s="124">
        <f t="shared" si="184"/>
        <v>8.7780499999999932</v>
      </c>
      <c r="M210" s="124">
        <f t="shared" si="184"/>
        <v>84.234111416666636</v>
      </c>
      <c r="N210" s="124">
        <f t="shared" si="184"/>
        <v>238.14970324999999</v>
      </c>
      <c r="O210" s="124">
        <f t="shared" si="184"/>
        <v>248.47438675000006</v>
      </c>
      <c r="P210" s="124">
        <f t="shared" si="184"/>
        <v>387.82649158333328</v>
      </c>
      <c r="Q210" s="124">
        <f t="shared" si="184"/>
        <v>616.04083333333324</v>
      </c>
      <c r="R210" s="124">
        <f>SUM(R171:R208)+25</f>
        <v>897.70674999999994</v>
      </c>
      <c r="S210" s="124">
        <f t="shared" si="184"/>
        <v>1093.6529250000001</v>
      </c>
      <c r="T210" s="124">
        <f t="shared" si="184"/>
        <v>1089.1129000000001</v>
      </c>
      <c r="U210" s="124">
        <f t="shared" si="184"/>
        <v>1043.9784999999999</v>
      </c>
      <c r="V210" s="124">
        <f t="shared" si="184"/>
        <v>966.25850000000003</v>
      </c>
      <c r="W210" s="124">
        <f t="shared" si="184"/>
        <v>966.25850000000003</v>
      </c>
      <c r="X210" s="124">
        <f t="shared" si="184"/>
        <v>787.01300000000003</v>
      </c>
      <c r="Y210" s="124">
        <f t="shared" si="184"/>
        <v>768.38800000000003</v>
      </c>
      <c r="Z210" s="124">
        <f t="shared" si="184"/>
        <v>703.93399999999997</v>
      </c>
      <c r="AA210" s="124">
        <f t="shared" si="184"/>
        <v>642.68399999999997</v>
      </c>
      <c r="AB210" s="124">
        <f t="shared" si="184"/>
        <v>542.30899999999997</v>
      </c>
      <c r="AC210" s="124">
        <f t="shared" si="184"/>
        <v>505.61100000000005</v>
      </c>
      <c r="AD210" s="124">
        <f t="shared" si="184"/>
        <v>505.61100000000005</v>
      </c>
      <c r="AE210" s="124">
        <f t="shared" si="184"/>
        <v>505.61100000000005</v>
      </c>
      <c r="AF210" s="124">
        <f t="shared" si="184"/>
        <v>505.61100000000005</v>
      </c>
      <c r="AG210" s="124"/>
      <c r="AH210" s="124"/>
      <c r="AI210" s="124"/>
    </row>
    <row r="211" spans="2:35">
      <c r="D211" s="156"/>
      <c r="E211" s="156"/>
      <c r="F211" s="156"/>
      <c r="G211" s="156"/>
      <c r="H211" s="156"/>
      <c r="I211" s="156"/>
      <c r="J211" s="156"/>
      <c r="K211" s="156"/>
      <c r="L211" s="156"/>
      <c r="M211" s="156"/>
      <c r="N211" s="156"/>
      <c r="O211" s="156"/>
      <c r="P211" s="156"/>
      <c r="Q211" s="156"/>
      <c r="R211" s="156"/>
      <c r="S211" s="156"/>
      <c r="T211" s="156"/>
      <c r="U211" s="156"/>
      <c r="V211" s="156"/>
      <c r="W211" s="156"/>
      <c r="X211" s="156"/>
      <c r="Y211" s="156"/>
      <c r="Z211" s="156"/>
      <c r="AA211" s="156"/>
      <c r="AB211" s="156"/>
      <c r="AC211" s="156"/>
      <c r="AD211" s="156"/>
      <c r="AE211" s="156"/>
      <c r="AF211" s="156"/>
      <c r="AG211" s="156"/>
      <c r="AH211" s="156"/>
      <c r="AI211" s="156"/>
    </row>
    <row r="212" spans="2:35">
      <c r="B212" s="1" t="s">
        <v>492</v>
      </c>
      <c r="D212" s="129">
        <f t="shared" ref="D212:V212" si="185">D210/C45</f>
        <v>5.0074678121811489E-2</v>
      </c>
      <c r="E212" s="129">
        <f t="shared" si="185"/>
        <v>3.2626526742875757E-2</v>
      </c>
      <c r="F212" s="129">
        <f t="shared" si="185"/>
        <v>2.0053493582506902E-2</v>
      </c>
      <c r="G212" s="129">
        <f t="shared" si="185"/>
        <v>0.06</v>
      </c>
      <c r="H212" s="129">
        <f t="shared" si="185"/>
        <v>0.06</v>
      </c>
      <c r="I212" s="129">
        <f t="shared" si="185"/>
        <v>9.8881322336547596E-3</v>
      </c>
      <c r="J212" s="129">
        <f t="shared" si="185"/>
        <v>6.1178147558103232E-3</v>
      </c>
      <c r="K212" s="129">
        <f t="shared" si="185"/>
        <v>6.8221610977693041E-3</v>
      </c>
      <c r="L212" s="129">
        <f t="shared" si="185"/>
        <v>7.3336936942958193E-3</v>
      </c>
      <c r="M212" s="129">
        <f t="shared" si="185"/>
        <v>2.3982477507500499E-2</v>
      </c>
      <c r="N212" s="129">
        <f t="shared" si="185"/>
        <v>3.0709015276770904E-2</v>
      </c>
      <c r="O212" s="129">
        <f t="shared" si="185"/>
        <v>2.939799904402287E-2</v>
      </c>
      <c r="P212" s="129">
        <f t="shared" si="185"/>
        <v>5.5886677339361028E-2</v>
      </c>
      <c r="Q212" s="129">
        <f t="shared" si="185"/>
        <v>4.7369537357426626E-2</v>
      </c>
      <c r="R212" s="129">
        <f t="shared" si="185"/>
        <v>3.9765526024363229E-2</v>
      </c>
      <c r="S212" s="129">
        <f t="shared" si="185"/>
        <v>4.1049955896704453E-2</v>
      </c>
      <c r="T212" s="129">
        <f t="shared" si="185"/>
        <v>3.1938794721407628E-2</v>
      </c>
      <c r="U212" s="129">
        <f t="shared" si="185"/>
        <v>3.3188533189216683E-2</v>
      </c>
      <c r="V212" s="129">
        <f t="shared" si="185"/>
        <v>3.3652300351757043E-2</v>
      </c>
      <c r="W212" s="129">
        <f t="shared" ref="W212:AF212" si="186">W210/V45</f>
        <v>3.832078128098354E-2</v>
      </c>
      <c r="X212" s="129">
        <f t="shared" si="186"/>
        <v>3.4256681466005051E-2</v>
      </c>
      <c r="Y212" s="129">
        <f t="shared" si="186"/>
        <v>4.0484088514225504E-2</v>
      </c>
      <c r="Z212" s="129">
        <f t="shared" si="186"/>
        <v>3.8603454894433779E-2</v>
      </c>
      <c r="AA212" s="129">
        <f t="shared" si="186"/>
        <v>3.8967076941732855E-2</v>
      </c>
      <c r="AB212" s="129">
        <f t="shared" si="186"/>
        <v>3.6784168758054667E-2</v>
      </c>
      <c r="AC212" s="129">
        <f t="shared" si="186"/>
        <v>4.2158842658217295E-2</v>
      </c>
      <c r="AD212" s="129">
        <f t="shared" si="186"/>
        <v>4.7037957019257608E-2</v>
      </c>
      <c r="AE212" s="129">
        <f t="shared" si="186"/>
        <v>4.7037957019257608E-2</v>
      </c>
      <c r="AF212" s="129">
        <f t="shared" si="186"/>
        <v>4.7037957019257608E-2</v>
      </c>
      <c r="AG212" s="129"/>
      <c r="AH212" s="129"/>
      <c r="AI212" s="129"/>
    </row>
    <row r="213" spans="2:35">
      <c r="B213" s="1" t="s">
        <v>493</v>
      </c>
      <c r="C213" s="3"/>
      <c r="D213" s="12">
        <f>-IS!H22</f>
        <v>13.853</v>
      </c>
      <c r="E213" s="12">
        <f>-IS!M22</f>
        <v>21.896999999999998</v>
      </c>
      <c r="F213" s="12">
        <f>-IS!R22</f>
        <v>7.3469999999999995</v>
      </c>
      <c r="G213" s="12">
        <f>-IS!W22</f>
        <v>0.442</v>
      </c>
      <c r="H213" s="12">
        <f>-IS!AB22</f>
        <v>20.362000000000002</v>
      </c>
      <c r="I213" s="12">
        <f>-IS!AG22</f>
        <v>13.099999999999998</v>
      </c>
      <c r="J213" s="12">
        <f>-IS!AL22</f>
        <v>65.244</v>
      </c>
      <c r="K213" s="12">
        <f>-IS!AQ22</f>
        <v>69.662000000000006</v>
      </c>
      <c r="L213" s="12">
        <f>-IS!AV22</f>
        <v>108.961</v>
      </c>
      <c r="M213" s="12">
        <f>-IS!BA22</f>
        <v>181.60100000000003</v>
      </c>
      <c r="N213" s="12">
        <f>-IS!BF22</f>
        <v>353.58300000000003</v>
      </c>
      <c r="O213" s="12">
        <f>-IS!BK22</f>
        <v>306.89400000000001</v>
      </c>
      <c r="P213" s="12">
        <f>-IS!BP22</f>
        <v>411.63900000000001</v>
      </c>
      <c r="Q213" s="12">
        <f>-IS!BU22</f>
        <v>688</v>
      </c>
      <c r="R213" s="12">
        <f>-IS!BZ22</f>
        <v>964</v>
      </c>
      <c r="S213" s="12">
        <f>-IS!CE22</f>
        <v>1100</v>
      </c>
      <c r="T213" s="12">
        <f>-IS!CJ22</f>
        <v>1089.1129000000001</v>
      </c>
      <c r="U213" s="12">
        <f>-IS!CO22</f>
        <v>1043.9784999999999</v>
      </c>
      <c r="V213" s="12">
        <f>-IS!CT22</f>
        <v>966.25850000000003</v>
      </c>
      <c r="W213" s="12">
        <f>-IS!CY22</f>
        <v>966.25850000000003</v>
      </c>
      <c r="X213" s="12">
        <f>-IS!DD22</f>
        <v>787.01300000000003</v>
      </c>
      <c r="Y213" s="12">
        <f>-IS!DI22</f>
        <v>768.38800000000003</v>
      </c>
      <c r="Z213" s="12">
        <f>-IS!DN22</f>
        <v>703.93399999999997</v>
      </c>
      <c r="AA213" s="12">
        <f>-IS!DS22</f>
        <v>642.68399999999997</v>
      </c>
      <c r="AB213" s="12">
        <f>-IS!DX22</f>
        <v>542.30899999999997</v>
      </c>
      <c r="AC213" s="12">
        <f>-IS!EC22</f>
        <v>505.61100000000005</v>
      </c>
      <c r="AD213" s="12">
        <f>-IS!EH22</f>
        <v>505.61100000000005</v>
      </c>
      <c r="AE213" s="12">
        <f>-IS!EM22</f>
        <v>505.61100000000005</v>
      </c>
      <c r="AF213" s="12">
        <f>-IS!ER22</f>
        <v>505.61100000000005</v>
      </c>
      <c r="AG213" s="12"/>
      <c r="AH213" s="125"/>
      <c r="AI213" s="125"/>
    </row>
    <row r="214" spans="2:35">
      <c r="B214" s="21" t="s">
        <v>415</v>
      </c>
      <c r="D214" s="12">
        <f t="shared" ref="D214:L214" si="187">D210+D125+D119+D113-C213+D107</f>
        <v>12.61286</v>
      </c>
      <c r="E214" s="12">
        <f t="shared" si="187"/>
        <v>5.5750199999999968</v>
      </c>
      <c r="F214" s="12">
        <f t="shared" si="187"/>
        <v>-14.969279999999998</v>
      </c>
      <c r="G214" s="12">
        <f t="shared" si="187"/>
        <v>-7.3220999999999998</v>
      </c>
      <c r="H214" s="12">
        <f t="shared" si="187"/>
        <v>17.609359999999999</v>
      </c>
      <c r="I214" s="12">
        <f t="shared" si="187"/>
        <v>-6.4138599999999997</v>
      </c>
      <c r="J214" s="12">
        <f t="shared" si="187"/>
        <v>-5.0740999999999925</v>
      </c>
      <c r="K214" s="12">
        <f t="shared" si="187"/>
        <v>-57.568263749999993</v>
      </c>
      <c r="L214" s="12">
        <f t="shared" si="187"/>
        <v>-0.6789500000000146</v>
      </c>
      <c r="M214" s="125">
        <f>M210+M125+M119+M113-+M107</f>
        <v>169.54635641666664</v>
      </c>
      <c r="N214" s="125">
        <f>N210+N125+N119+N113-+N107</f>
        <v>326.04166199999997</v>
      </c>
      <c r="O214" s="131">
        <f t="shared" ref="O214:V214" si="188">O210+O125+O119+O113-N213+O107</f>
        <v>-47.61342824999997</v>
      </c>
      <c r="P214" s="131">
        <f t="shared" si="188"/>
        <v>107.36726283333326</v>
      </c>
      <c r="Q214" s="120">
        <f>Q210+Q125+Q119+Q113-P213+Q107</f>
        <v>215.87308333333328</v>
      </c>
      <c r="R214" s="131">
        <f t="shared" si="188"/>
        <v>209.70674999999994</v>
      </c>
      <c r="S214" s="131">
        <f t="shared" si="188"/>
        <v>129.6529250000001</v>
      </c>
      <c r="T214" s="131">
        <f t="shared" si="188"/>
        <v>-10.887099999999919</v>
      </c>
      <c r="U214" s="131">
        <f t="shared" si="188"/>
        <v>-45.134400000000142</v>
      </c>
      <c r="V214" s="131">
        <f t="shared" si="188"/>
        <v>-77.719999999999914</v>
      </c>
      <c r="W214" s="131">
        <f t="shared" ref="W214:AF214" si="189">W210+W125+W119+W113-V213+W107</f>
        <v>0</v>
      </c>
      <c r="X214" s="131">
        <f t="shared" si="189"/>
        <v>-179.24549999999999</v>
      </c>
      <c r="Y214" s="131">
        <f t="shared" si="189"/>
        <v>-18.625</v>
      </c>
      <c r="Z214" s="131">
        <f t="shared" si="189"/>
        <v>-64.454000000000065</v>
      </c>
      <c r="AA214" s="131">
        <f t="shared" si="189"/>
        <v>-61.25</v>
      </c>
      <c r="AB214" s="131">
        <f t="shared" si="189"/>
        <v>-100.375</v>
      </c>
      <c r="AC214" s="131">
        <f t="shared" si="189"/>
        <v>-36.697999999999922</v>
      </c>
      <c r="AD214" s="131">
        <f t="shared" si="189"/>
        <v>0</v>
      </c>
      <c r="AE214" s="131">
        <f t="shared" si="189"/>
        <v>0</v>
      </c>
      <c r="AF214" s="131">
        <f t="shared" si="189"/>
        <v>0</v>
      </c>
      <c r="AG214" s="131"/>
      <c r="AH214" s="131"/>
      <c r="AI214" s="131"/>
    </row>
    <row r="215" spans="2:35" collapsed="1">
      <c r="L215" s="12"/>
    </row>
  </sheetData>
  <phoneticPr fontId="21" type="noConversion"/>
  <pageMargins left="0.7" right="0.7" top="0.75" bottom="0.75" header="0.3" footer="0.3"/>
  <pageSetup orientation="portrait" r:id="rId1"/>
  <ignoredErrors>
    <ignoredError sqref="T15 T181 S182 V191:AF191 Q191:U191 Q54 S180" 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CM1070"/>
  <sheetViews>
    <sheetView zoomScaleNormal="100" workbookViewId="0">
      <pane xSplit="2" ySplit="3" topLeftCell="X258" activePane="bottomRight" state="frozen"/>
      <selection pane="topRight" activeCell="C1" sqref="C1"/>
      <selection pane="bottomLeft" activeCell="A2" sqref="A2"/>
      <selection pane="bottomRight" activeCell="AO280" sqref="AO280"/>
    </sheetView>
  </sheetViews>
  <sheetFormatPr defaultRowHeight="12.75" outlineLevelRow="1" outlineLevelCol="1"/>
  <cols>
    <col min="1" max="1" width="1.7109375" style="364" customWidth="1"/>
    <col min="2" max="2" width="48.28515625" style="112" bestFit="1" customWidth="1"/>
    <col min="3" max="3" width="9.28515625" style="1" hidden="1" customWidth="1" outlineLevel="1"/>
    <col min="4" max="4" width="9.7109375" style="1" hidden="1" customWidth="1" outlineLevel="1"/>
    <col min="5" max="7" width="9.28515625" style="1" hidden="1" customWidth="1" outlineLevel="1"/>
    <col min="8" max="11" width="9.42578125" style="1" hidden="1" customWidth="1" outlineLevel="1"/>
    <col min="12" max="12" width="9.42578125" style="1" customWidth="1" collapsed="1"/>
    <col min="13" max="13" width="9.5703125" style="1" bestFit="1" customWidth="1"/>
    <col min="14" max="14" width="10" style="1" bestFit="1" customWidth="1"/>
    <col min="15" max="18" width="9.85546875" style="1" hidden="1" customWidth="1" outlineLevel="1"/>
    <col min="19" max="19" width="10.42578125" style="1" bestFit="1" customWidth="1" collapsed="1"/>
    <col min="20" max="23" width="9.7109375" style="1" hidden="1" customWidth="1" outlineLevel="1"/>
    <col min="24" max="24" width="10.7109375" style="1" bestFit="1" customWidth="1" collapsed="1"/>
    <col min="25" max="28" width="10.7109375" style="1" hidden="1" customWidth="1" outlineLevel="1"/>
    <col min="29" max="29" width="9.7109375" style="1" bestFit="1" customWidth="1" collapsed="1"/>
    <col min="30" max="33" width="9.7109375" style="1" hidden="1" customWidth="1" outlineLevel="1"/>
    <col min="34" max="34" width="10.28515625" style="1" customWidth="1" collapsed="1"/>
    <col min="35" max="38" width="9.7109375" style="689" customWidth="1" outlineLevel="1"/>
    <col min="39" max="39" width="10.28515625" style="1" customWidth="1"/>
    <col min="40" max="40" width="10.5703125" style="1" bestFit="1" customWidth="1"/>
    <col min="41" max="42" width="10.28515625" style="1" customWidth="1"/>
    <col min="43" max="43" width="10.42578125" style="1" bestFit="1" customWidth="1"/>
    <col min="44" max="45" width="9.7109375" style="1" bestFit="1" customWidth="1"/>
    <col min="46" max="46" width="10.140625" style="1" bestFit="1" customWidth="1"/>
    <col min="47" max="52" width="9.7109375" style="1" bestFit="1" customWidth="1"/>
    <col min="53" max="53" width="9.85546875" style="1" bestFit="1" customWidth="1"/>
    <col min="54" max="1047" width="8.7109375" style="1" customWidth="1"/>
    <col min="1048" max="1048" width="9.28515625" style="1" bestFit="1" customWidth="1"/>
    <col min="1049" max="1049" width="9.7109375" style="1" customWidth="1"/>
    <col min="1050" max="1054" width="9.28515625" style="1" bestFit="1" customWidth="1"/>
    <col min="1055" max="1056" width="9.42578125" style="1" bestFit="1" customWidth="1"/>
    <col min="1057" max="1057" width="9.42578125" style="1" customWidth="1"/>
    <col min="1058" max="1058" width="9.42578125" style="1" bestFit="1" customWidth="1"/>
    <col min="1059" max="1059" width="9.85546875" style="1" bestFit="1" customWidth="1"/>
    <col min="1060" max="1063" width="9.85546875" style="1" customWidth="1"/>
    <col min="1064" max="1064" width="10.28515625" style="1" bestFit="1" customWidth="1"/>
    <col min="1065" max="1068" width="9.7109375" style="1" customWidth="1"/>
    <col min="1069" max="1071" width="9.42578125" style="1" bestFit="1" customWidth="1"/>
    <col min="1072" max="1072" width="9.5703125" style="1" bestFit="1" customWidth="1"/>
    <col min="1073" max="1073" width="10.28515625" style="1" bestFit="1" customWidth="1"/>
    <col min="1074" max="1078" width="9.42578125" style="1" bestFit="1" customWidth="1"/>
    <col min="1079" max="1080" width="9.140625" style="1"/>
    <col min="1081" max="1081" width="17.140625" style="1" customWidth="1"/>
    <col min="1082" max="1084" width="9.140625" style="1"/>
    <col min="1085" max="1085" width="21" style="1" customWidth="1"/>
    <col min="1086" max="1095" width="9.140625" style="1"/>
    <col min="1096" max="1104" width="9.28515625" style="1" bestFit="1" customWidth="1"/>
    <col min="1105" max="1110" width="9.140625" style="1"/>
    <col min="1111" max="1111" width="13" style="1" customWidth="1"/>
    <col min="1112" max="1115" width="9.28515625" style="1" bestFit="1" customWidth="1"/>
    <col min="1116" max="1301" width="9.140625" style="1"/>
    <col min="1302" max="1302" width="5.140625" style="1" customWidth="1"/>
    <col min="1303" max="1303" width="36.7109375" style="1" customWidth="1"/>
    <col min="1304" max="1304" width="9.28515625" style="1" bestFit="1" customWidth="1"/>
    <col min="1305" max="1305" width="9.7109375" style="1" customWidth="1"/>
    <col min="1306" max="1310" width="9.28515625" style="1" bestFit="1" customWidth="1"/>
    <col min="1311" max="1312" width="9.42578125" style="1" bestFit="1" customWidth="1"/>
    <col min="1313" max="1313" width="9.42578125" style="1" customWidth="1"/>
    <col min="1314" max="1314" width="9.42578125" style="1" bestFit="1" customWidth="1"/>
    <col min="1315" max="1315" width="9.85546875" style="1" bestFit="1" customWidth="1"/>
    <col min="1316" max="1319" width="9.85546875" style="1" customWidth="1"/>
    <col min="1320" max="1320" width="10.28515625" style="1" bestFit="1" customWidth="1"/>
    <col min="1321" max="1324" width="9.7109375" style="1" customWidth="1"/>
    <col min="1325" max="1327" width="9.42578125" style="1" bestFit="1" customWidth="1"/>
    <col min="1328" max="1328" width="9.5703125" style="1" bestFit="1" customWidth="1"/>
    <col min="1329" max="1329" width="10.28515625" style="1" bestFit="1" customWidth="1"/>
    <col min="1330" max="1334" width="9.42578125" style="1" bestFit="1" customWidth="1"/>
    <col min="1335" max="1336" width="9.140625" style="1"/>
    <col min="1337" max="1337" width="17.140625" style="1" customWidth="1"/>
    <col min="1338" max="1340" width="9.140625" style="1"/>
    <col min="1341" max="1341" width="21" style="1" customWidth="1"/>
    <col min="1342" max="1351" width="9.140625" style="1"/>
    <col min="1352" max="1360" width="9.28515625" style="1" bestFit="1" customWidth="1"/>
    <col min="1361" max="1366" width="9.140625" style="1"/>
    <col min="1367" max="1367" width="13" style="1" customWidth="1"/>
    <col min="1368" max="1371" width="9.28515625" style="1" bestFit="1" customWidth="1"/>
    <col min="1372" max="1557" width="9.140625" style="1"/>
    <col min="1558" max="1558" width="5.140625" style="1" customWidth="1"/>
    <col min="1559" max="1559" width="36.7109375" style="1" customWidth="1"/>
    <col min="1560" max="1560" width="9.28515625" style="1" bestFit="1" customWidth="1"/>
    <col min="1561" max="1561" width="9.7109375" style="1" customWidth="1"/>
    <col min="1562" max="1566" width="9.28515625" style="1" bestFit="1" customWidth="1"/>
    <col min="1567" max="1568" width="9.42578125" style="1" bestFit="1" customWidth="1"/>
    <col min="1569" max="1569" width="9.42578125" style="1" customWidth="1"/>
    <col min="1570" max="1570" width="9.42578125" style="1" bestFit="1" customWidth="1"/>
    <col min="1571" max="1571" width="9.85546875" style="1" bestFit="1" customWidth="1"/>
    <col min="1572" max="1575" width="9.85546875" style="1" customWidth="1"/>
    <col min="1576" max="1576" width="10.28515625" style="1" bestFit="1" customWidth="1"/>
    <col min="1577" max="1580" width="9.7109375" style="1" customWidth="1"/>
    <col min="1581" max="1583" width="9.42578125" style="1" bestFit="1" customWidth="1"/>
    <col min="1584" max="1584" width="9.5703125" style="1" bestFit="1" customWidth="1"/>
    <col min="1585" max="1585" width="10.28515625" style="1" bestFit="1" customWidth="1"/>
    <col min="1586" max="1590" width="9.42578125" style="1" bestFit="1" customWidth="1"/>
    <col min="1591" max="1592" width="9.140625" style="1"/>
    <col min="1593" max="1593" width="17.140625" style="1" customWidth="1"/>
    <col min="1594" max="1596" width="9.140625" style="1"/>
    <col min="1597" max="1597" width="21" style="1" customWidth="1"/>
    <col min="1598" max="1607" width="9.140625" style="1"/>
    <col min="1608" max="1616" width="9.28515625" style="1" bestFit="1" customWidth="1"/>
    <col min="1617" max="1622" width="9.140625" style="1"/>
    <col min="1623" max="1623" width="13" style="1" customWidth="1"/>
    <col min="1624" max="1627" width="9.28515625" style="1" bestFit="1" customWidth="1"/>
    <col min="1628" max="1813" width="9.140625" style="1"/>
    <col min="1814" max="1814" width="5.140625" style="1" customWidth="1"/>
    <col min="1815" max="1815" width="36.7109375" style="1" customWidth="1"/>
    <col min="1816" max="1816" width="9.28515625" style="1" bestFit="1" customWidth="1"/>
    <col min="1817" max="1817" width="9.7109375" style="1" customWidth="1"/>
    <col min="1818" max="1822" width="9.28515625" style="1" bestFit="1" customWidth="1"/>
    <col min="1823" max="1824" width="9.42578125" style="1" bestFit="1" customWidth="1"/>
    <col min="1825" max="1825" width="9.42578125" style="1" customWidth="1"/>
    <col min="1826" max="1826" width="9.42578125" style="1" bestFit="1" customWidth="1"/>
    <col min="1827" max="1827" width="9.85546875" style="1" bestFit="1" customWidth="1"/>
    <col min="1828" max="1831" width="9.85546875" style="1" customWidth="1"/>
    <col min="1832" max="1832" width="10.28515625" style="1" bestFit="1" customWidth="1"/>
    <col min="1833" max="1836" width="9.7109375" style="1" customWidth="1"/>
    <col min="1837" max="1839" width="9.42578125" style="1" bestFit="1" customWidth="1"/>
    <col min="1840" max="1840" width="9.5703125" style="1" bestFit="1" customWidth="1"/>
    <col min="1841" max="1841" width="10.28515625" style="1" bestFit="1" customWidth="1"/>
    <col min="1842" max="1846" width="9.42578125" style="1" bestFit="1" customWidth="1"/>
    <col min="1847" max="1848" width="9.140625" style="1"/>
    <col min="1849" max="1849" width="17.140625" style="1" customWidth="1"/>
    <col min="1850" max="1852" width="9.140625" style="1"/>
    <col min="1853" max="1853" width="21" style="1" customWidth="1"/>
    <col min="1854" max="1863" width="9.140625" style="1"/>
    <col min="1864" max="1872" width="9.28515625" style="1" bestFit="1" customWidth="1"/>
    <col min="1873" max="1878" width="9.140625" style="1"/>
    <col min="1879" max="1879" width="13" style="1" customWidth="1"/>
    <col min="1880" max="1883" width="9.28515625" style="1" bestFit="1" customWidth="1"/>
    <col min="1884" max="2069" width="9.140625" style="1"/>
    <col min="2070" max="2070" width="5.140625" style="1" customWidth="1"/>
    <col min="2071" max="2071" width="36.7109375" style="1" customWidth="1"/>
    <col min="2072" max="2072" width="9.28515625" style="1" bestFit="1" customWidth="1"/>
    <col min="2073" max="2073" width="9.7109375" style="1" customWidth="1"/>
    <col min="2074" max="2078" width="9.28515625" style="1" bestFit="1" customWidth="1"/>
    <col min="2079" max="2080" width="9.42578125" style="1" bestFit="1" customWidth="1"/>
    <col min="2081" max="2081" width="9.42578125" style="1" customWidth="1"/>
    <col min="2082" max="2082" width="9.42578125" style="1" bestFit="1" customWidth="1"/>
    <col min="2083" max="2083" width="9.85546875" style="1" bestFit="1" customWidth="1"/>
    <col min="2084" max="2087" width="9.85546875" style="1" customWidth="1"/>
    <col min="2088" max="2088" width="10.28515625" style="1" bestFit="1" customWidth="1"/>
    <col min="2089" max="2092" width="9.7109375" style="1" customWidth="1"/>
    <col min="2093" max="2095" width="9.42578125" style="1" bestFit="1" customWidth="1"/>
    <col min="2096" max="2096" width="9.5703125" style="1" bestFit="1" customWidth="1"/>
    <col min="2097" max="2097" width="10.28515625" style="1" bestFit="1" customWidth="1"/>
    <col min="2098" max="2102" width="9.42578125" style="1" bestFit="1" customWidth="1"/>
    <col min="2103" max="2104" width="9.140625" style="1"/>
    <col min="2105" max="2105" width="17.140625" style="1" customWidth="1"/>
    <col min="2106" max="2108" width="9.140625" style="1"/>
    <col min="2109" max="2109" width="21" style="1" customWidth="1"/>
    <col min="2110" max="2119" width="9.140625" style="1"/>
    <col min="2120" max="2128" width="9.28515625" style="1" bestFit="1" customWidth="1"/>
    <col min="2129" max="2134" width="9.140625" style="1"/>
    <col min="2135" max="2135" width="13" style="1" customWidth="1"/>
    <col min="2136" max="2139" width="9.28515625" style="1" bestFit="1" customWidth="1"/>
    <col min="2140" max="2325" width="9.140625" style="1"/>
    <col min="2326" max="2326" width="5.140625" style="1" customWidth="1"/>
    <col min="2327" max="2327" width="36.7109375" style="1" customWidth="1"/>
    <col min="2328" max="2328" width="9.28515625" style="1" bestFit="1" customWidth="1"/>
    <col min="2329" max="2329" width="9.7109375" style="1" customWidth="1"/>
    <col min="2330" max="2334" width="9.28515625" style="1" bestFit="1" customWidth="1"/>
    <col min="2335" max="2336" width="9.42578125" style="1" bestFit="1" customWidth="1"/>
    <col min="2337" max="2337" width="9.42578125" style="1" customWidth="1"/>
    <col min="2338" max="2338" width="9.42578125" style="1" bestFit="1" customWidth="1"/>
    <col min="2339" max="2339" width="9.85546875" style="1" bestFit="1" customWidth="1"/>
    <col min="2340" max="2343" width="9.85546875" style="1" customWidth="1"/>
    <col min="2344" max="2344" width="10.28515625" style="1" bestFit="1" customWidth="1"/>
    <col min="2345" max="2348" width="9.7109375" style="1" customWidth="1"/>
    <col min="2349" max="2351" width="9.42578125" style="1" bestFit="1" customWidth="1"/>
    <col min="2352" max="2352" width="9.5703125" style="1" bestFit="1" customWidth="1"/>
    <col min="2353" max="2353" width="10.28515625" style="1" bestFit="1" customWidth="1"/>
    <col min="2354" max="2358" width="9.42578125" style="1" bestFit="1" customWidth="1"/>
    <col min="2359" max="2360" width="9.140625" style="1"/>
    <col min="2361" max="2361" width="17.140625" style="1" customWidth="1"/>
    <col min="2362" max="2364" width="9.140625" style="1"/>
    <col min="2365" max="2365" width="21" style="1" customWidth="1"/>
    <col min="2366" max="2375" width="9.140625" style="1"/>
    <col min="2376" max="2384" width="9.28515625" style="1" bestFit="1" customWidth="1"/>
    <col min="2385" max="2390" width="9.140625" style="1"/>
    <col min="2391" max="2391" width="13" style="1" customWidth="1"/>
    <col min="2392" max="2395" width="9.28515625" style="1" bestFit="1" customWidth="1"/>
    <col min="2396" max="2581" width="9.140625" style="1"/>
    <col min="2582" max="2582" width="5.140625" style="1" customWidth="1"/>
    <col min="2583" max="2583" width="36.7109375" style="1" customWidth="1"/>
    <col min="2584" max="2584" width="9.28515625" style="1" bestFit="1" customWidth="1"/>
    <col min="2585" max="2585" width="9.7109375" style="1" customWidth="1"/>
    <col min="2586" max="2590" width="9.28515625" style="1" bestFit="1" customWidth="1"/>
    <col min="2591" max="2592" width="9.42578125" style="1" bestFit="1" customWidth="1"/>
    <col min="2593" max="2593" width="9.42578125" style="1" customWidth="1"/>
    <col min="2594" max="2594" width="9.42578125" style="1" bestFit="1" customWidth="1"/>
    <col min="2595" max="2595" width="9.85546875" style="1" bestFit="1" customWidth="1"/>
    <col min="2596" max="2599" width="9.85546875" style="1" customWidth="1"/>
    <col min="2600" max="2600" width="10.28515625" style="1" bestFit="1" customWidth="1"/>
    <col min="2601" max="2604" width="9.7109375" style="1" customWidth="1"/>
    <col min="2605" max="2607" width="9.42578125" style="1" bestFit="1" customWidth="1"/>
    <col min="2608" max="2608" width="9.5703125" style="1" bestFit="1" customWidth="1"/>
    <col min="2609" max="2609" width="10.28515625" style="1" bestFit="1" customWidth="1"/>
    <col min="2610" max="2614" width="9.42578125" style="1" bestFit="1" customWidth="1"/>
    <col min="2615" max="2616" width="9.140625" style="1"/>
    <col min="2617" max="2617" width="17.140625" style="1" customWidth="1"/>
    <col min="2618" max="2620" width="9.140625" style="1"/>
    <col min="2621" max="2621" width="21" style="1" customWidth="1"/>
    <col min="2622" max="2631" width="9.140625" style="1"/>
    <col min="2632" max="2640" width="9.28515625" style="1" bestFit="1" customWidth="1"/>
    <col min="2641" max="2646" width="9.140625" style="1"/>
    <col min="2647" max="2647" width="13" style="1" customWidth="1"/>
    <col min="2648" max="2651" width="9.28515625" style="1" bestFit="1" customWidth="1"/>
    <col min="2652" max="2837" width="9.140625" style="1"/>
    <col min="2838" max="2838" width="5.140625" style="1" customWidth="1"/>
    <col min="2839" max="2839" width="36.7109375" style="1" customWidth="1"/>
    <col min="2840" max="2840" width="9.28515625" style="1" bestFit="1" customWidth="1"/>
    <col min="2841" max="2841" width="9.7109375" style="1" customWidth="1"/>
    <col min="2842" max="2846" width="9.28515625" style="1" bestFit="1" customWidth="1"/>
    <col min="2847" max="2848" width="9.42578125" style="1" bestFit="1" customWidth="1"/>
    <col min="2849" max="2849" width="9.42578125" style="1" customWidth="1"/>
    <col min="2850" max="2850" width="9.42578125" style="1" bestFit="1" customWidth="1"/>
    <col min="2851" max="2851" width="9.85546875" style="1" bestFit="1" customWidth="1"/>
    <col min="2852" max="2855" width="9.85546875" style="1" customWidth="1"/>
    <col min="2856" max="2856" width="10.28515625" style="1" bestFit="1" customWidth="1"/>
    <col min="2857" max="2860" width="9.7109375" style="1" customWidth="1"/>
    <col min="2861" max="2863" width="9.42578125" style="1" bestFit="1" customWidth="1"/>
    <col min="2864" max="2864" width="9.5703125" style="1" bestFit="1" customWidth="1"/>
    <col min="2865" max="2865" width="10.28515625" style="1" bestFit="1" customWidth="1"/>
    <col min="2866" max="2870" width="9.42578125" style="1" bestFit="1" customWidth="1"/>
    <col min="2871" max="2872" width="9.140625" style="1"/>
    <col min="2873" max="2873" width="17.140625" style="1" customWidth="1"/>
    <col min="2874" max="2876" width="9.140625" style="1"/>
    <col min="2877" max="2877" width="21" style="1" customWidth="1"/>
    <col min="2878" max="2887" width="9.140625" style="1"/>
    <col min="2888" max="2896" width="9.28515625" style="1" bestFit="1" customWidth="1"/>
    <col min="2897" max="2902" width="9.140625" style="1"/>
    <col min="2903" max="2903" width="13" style="1" customWidth="1"/>
    <col min="2904" max="2907" width="9.28515625" style="1" bestFit="1" customWidth="1"/>
    <col min="2908" max="3093" width="9.140625" style="1"/>
    <col min="3094" max="3094" width="5.140625" style="1" customWidth="1"/>
    <col min="3095" max="3095" width="36.7109375" style="1" customWidth="1"/>
    <col min="3096" max="3096" width="9.28515625" style="1" bestFit="1" customWidth="1"/>
    <col min="3097" max="3097" width="9.7109375" style="1" customWidth="1"/>
    <col min="3098" max="3102" width="9.28515625" style="1" bestFit="1" customWidth="1"/>
    <col min="3103" max="3104" width="9.42578125" style="1" bestFit="1" customWidth="1"/>
    <col min="3105" max="3105" width="9.42578125" style="1" customWidth="1"/>
    <col min="3106" max="3106" width="9.42578125" style="1" bestFit="1" customWidth="1"/>
    <col min="3107" max="3107" width="9.85546875" style="1" bestFit="1" customWidth="1"/>
    <col min="3108" max="3111" width="9.85546875" style="1" customWidth="1"/>
    <col min="3112" max="3112" width="10.28515625" style="1" bestFit="1" customWidth="1"/>
    <col min="3113" max="3116" width="9.7109375" style="1" customWidth="1"/>
    <col min="3117" max="3119" width="9.42578125" style="1" bestFit="1" customWidth="1"/>
    <col min="3120" max="3120" width="9.5703125" style="1" bestFit="1" customWidth="1"/>
    <col min="3121" max="3121" width="10.28515625" style="1" bestFit="1" customWidth="1"/>
    <col min="3122" max="3126" width="9.42578125" style="1" bestFit="1" customWidth="1"/>
    <col min="3127" max="3128" width="9.140625" style="1"/>
    <col min="3129" max="3129" width="17.140625" style="1" customWidth="1"/>
    <col min="3130" max="3132" width="9.140625" style="1"/>
    <col min="3133" max="3133" width="21" style="1" customWidth="1"/>
    <col min="3134" max="3143" width="9.140625" style="1"/>
    <col min="3144" max="3152" width="9.28515625" style="1" bestFit="1" customWidth="1"/>
    <col min="3153" max="3158" width="9.140625" style="1"/>
    <col min="3159" max="3159" width="13" style="1" customWidth="1"/>
    <col min="3160" max="3163" width="9.28515625" style="1" bestFit="1" customWidth="1"/>
    <col min="3164" max="3349" width="9.140625" style="1"/>
    <col min="3350" max="3350" width="5.140625" style="1" customWidth="1"/>
    <col min="3351" max="3351" width="36.7109375" style="1" customWidth="1"/>
    <col min="3352" max="3352" width="9.28515625" style="1" bestFit="1" customWidth="1"/>
    <col min="3353" max="3353" width="9.7109375" style="1" customWidth="1"/>
    <col min="3354" max="3358" width="9.28515625" style="1" bestFit="1" customWidth="1"/>
    <col min="3359" max="3360" width="9.42578125" style="1" bestFit="1" customWidth="1"/>
    <col min="3361" max="3361" width="9.42578125" style="1" customWidth="1"/>
    <col min="3362" max="3362" width="9.42578125" style="1" bestFit="1" customWidth="1"/>
    <col min="3363" max="3363" width="9.85546875" style="1" bestFit="1" customWidth="1"/>
    <col min="3364" max="3367" width="9.85546875" style="1" customWidth="1"/>
    <col min="3368" max="3368" width="10.28515625" style="1" bestFit="1" customWidth="1"/>
    <col min="3369" max="3372" width="9.7109375" style="1" customWidth="1"/>
    <col min="3373" max="3375" width="9.42578125" style="1" bestFit="1" customWidth="1"/>
    <col min="3376" max="3376" width="9.5703125" style="1" bestFit="1" customWidth="1"/>
    <col min="3377" max="3377" width="10.28515625" style="1" bestFit="1" customWidth="1"/>
    <col min="3378" max="3382" width="9.42578125" style="1" bestFit="1" customWidth="1"/>
    <col min="3383" max="3384" width="9.140625" style="1"/>
    <col min="3385" max="3385" width="17.140625" style="1" customWidth="1"/>
    <col min="3386" max="3388" width="9.140625" style="1"/>
    <col min="3389" max="3389" width="21" style="1" customWidth="1"/>
    <col min="3390" max="3399" width="9.140625" style="1"/>
    <col min="3400" max="3408" width="9.28515625" style="1" bestFit="1" customWidth="1"/>
    <col min="3409" max="3414" width="9.140625" style="1"/>
    <col min="3415" max="3415" width="13" style="1" customWidth="1"/>
    <col min="3416" max="3419" width="9.28515625" style="1" bestFit="1" customWidth="1"/>
    <col min="3420" max="3605" width="9.140625" style="1"/>
    <col min="3606" max="3606" width="5.140625" style="1" customWidth="1"/>
    <col min="3607" max="3607" width="36.7109375" style="1" customWidth="1"/>
    <col min="3608" max="3608" width="9.28515625" style="1" bestFit="1" customWidth="1"/>
    <col min="3609" max="3609" width="9.7109375" style="1" customWidth="1"/>
    <col min="3610" max="3614" width="9.28515625" style="1" bestFit="1" customWidth="1"/>
    <col min="3615" max="3616" width="9.42578125" style="1" bestFit="1" customWidth="1"/>
    <col min="3617" max="3617" width="9.42578125" style="1" customWidth="1"/>
    <col min="3618" max="3618" width="9.42578125" style="1" bestFit="1" customWidth="1"/>
    <col min="3619" max="3619" width="9.85546875" style="1" bestFit="1" customWidth="1"/>
    <col min="3620" max="3623" width="9.85546875" style="1" customWidth="1"/>
    <col min="3624" max="3624" width="10.28515625" style="1" bestFit="1" customWidth="1"/>
    <col min="3625" max="3628" width="9.7109375" style="1" customWidth="1"/>
    <col min="3629" max="3631" width="9.42578125" style="1" bestFit="1" customWidth="1"/>
    <col min="3632" max="3632" width="9.5703125" style="1" bestFit="1" customWidth="1"/>
    <col min="3633" max="3633" width="10.28515625" style="1" bestFit="1" customWidth="1"/>
    <col min="3634" max="3638" width="9.42578125" style="1" bestFit="1" customWidth="1"/>
    <col min="3639" max="3640" width="9.140625" style="1"/>
    <col min="3641" max="3641" width="17.140625" style="1" customWidth="1"/>
    <col min="3642" max="3644" width="9.140625" style="1"/>
    <col min="3645" max="3645" width="21" style="1" customWidth="1"/>
    <col min="3646" max="3655" width="9.140625" style="1"/>
    <col min="3656" max="3664" width="9.28515625" style="1" bestFit="1" customWidth="1"/>
    <col min="3665" max="3670" width="9.140625" style="1"/>
    <col min="3671" max="3671" width="13" style="1" customWidth="1"/>
    <col min="3672" max="3675" width="9.28515625" style="1" bestFit="1" customWidth="1"/>
    <col min="3676" max="3861" width="9.140625" style="1"/>
    <col min="3862" max="3862" width="5.140625" style="1" customWidth="1"/>
    <col min="3863" max="3863" width="36.7109375" style="1" customWidth="1"/>
    <col min="3864" max="3864" width="9.28515625" style="1" bestFit="1" customWidth="1"/>
    <col min="3865" max="3865" width="9.7109375" style="1" customWidth="1"/>
    <col min="3866" max="3870" width="9.28515625" style="1" bestFit="1" customWidth="1"/>
    <col min="3871" max="3872" width="9.42578125" style="1" bestFit="1" customWidth="1"/>
    <col min="3873" max="3873" width="9.42578125" style="1" customWidth="1"/>
    <col min="3874" max="3874" width="9.42578125" style="1" bestFit="1" customWidth="1"/>
    <col min="3875" max="3875" width="9.85546875" style="1" bestFit="1" customWidth="1"/>
    <col min="3876" max="3879" width="9.85546875" style="1" customWidth="1"/>
    <col min="3880" max="3880" width="10.28515625" style="1" bestFit="1" customWidth="1"/>
    <col min="3881" max="3884" width="9.7109375" style="1" customWidth="1"/>
    <col min="3885" max="3887" width="9.42578125" style="1" bestFit="1" customWidth="1"/>
    <col min="3888" max="3888" width="9.5703125" style="1" bestFit="1" customWidth="1"/>
    <col min="3889" max="3889" width="10.28515625" style="1" bestFit="1" customWidth="1"/>
    <col min="3890" max="3894" width="9.42578125" style="1" bestFit="1" customWidth="1"/>
    <col min="3895" max="3896" width="9.140625" style="1"/>
    <col min="3897" max="3897" width="17.140625" style="1" customWidth="1"/>
    <col min="3898" max="3900" width="9.140625" style="1"/>
    <col min="3901" max="3901" width="21" style="1" customWidth="1"/>
    <col min="3902" max="3911" width="9.140625" style="1"/>
    <col min="3912" max="3920" width="9.28515625" style="1" bestFit="1" customWidth="1"/>
    <col min="3921" max="3926" width="9.140625" style="1"/>
    <col min="3927" max="3927" width="13" style="1" customWidth="1"/>
    <col min="3928" max="3931" width="9.28515625" style="1" bestFit="1" customWidth="1"/>
    <col min="3932" max="4117" width="9.140625" style="1"/>
    <col min="4118" max="4118" width="5.140625" style="1" customWidth="1"/>
    <col min="4119" max="4119" width="36.7109375" style="1" customWidth="1"/>
    <col min="4120" max="4120" width="9.28515625" style="1" bestFit="1" customWidth="1"/>
    <col min="4121" max="4121" width="9.7109375" style="1" customWidth="1"/>
    <col min="4122" max="4126" width="9.28515625" style="1" bestFit="1" customWidth="1"/>
    <col min="4127" max="4128" width="9.42578125" style="1" bestFit="1" customWidth="1"/>
    <col min="4129" max="4129" width="9.42578125" style="1" customWidth="1"/>
    <col min="4130" max="4130" width="9.42578125" style="1" bestFit="1" customWidth="1"/>
    <col min="4131" max="4131" width="9.85546875" style="1" bestFit="1" customWidth="1"/>
    <col min="4132" max="4135" width="9.85546875" style="1" customWidth="1"/>
    <col min="4136" max="4136" width="10.28515625" style="1" bestFit="1" customWidth="1"/>
    <col min="4137" max="4140" width="9.7109375" style="1" customWidth="1"/>
    <col min="4141" max="4143" width="9.42578125" style="1" bestFit="1" customWidth="1"/>
    <col min="4144" max="4144" width="9.5703125" style="1" bestFit="1" customWidth="1"/>
    <col min="4145" max="4145" width="10.28515625" style="1" bestFit="1" customWidth="1"/>
    <col min="4146" max="4150" width="9.42578125" style="1" bestFit="1" customWidth="1"/>
    <col min="4151" max="4152" width="9.140625" style="1"/>
    <col min="4153" max="4153" width="17.140625" style="1" customWidth="1"/>
    <col min="4154" max="4156" width="9.140625" style="1"/>
    <col min="4157" max="4157" width="21" style="1" customWidth="1"/>
    <col min="4158" max="4167" width="9.140625" style="1"/>
    <col min="4168" max="4176" width="9.28515625" style="1" bestFit="1" customWidth="1"/>
    <col min="4177" max="4182" width="9.140625" style="1"/>
    <col min="4183" max="4183" width="13" style="1" customWidth="1"/>
    <col min="4184" max="4187" width="9.28515625" style="1" bestFit="1" customWidth="1"/>
    <col min="4188" max="4373" width="9.140625" style="1"/>
    <col min="4374" max="4374" width="5.140625" style="1" customWidth="1"/>
    <col min="4375" max="4375" width="36.7109375" style="1" customWidth="1"/>
    <col min="4376" max="4376" width="9.28515625" style="1" bestFit="1" customWidth="1"/>
    <col min="4377" max="4377" width="9.7109375" style="1" customWidth="1"/>
    <col min="4378" max="4382" width="9.28515625" style="1" bestFit="1" customWidth="1"/>
    <col min="4383" max="4384" width="9.42578125" style="1" bestFit="1" customWidth="1"/>
    <col min="4385" max="4385" width="9.42578125" style="1" customWidth="1"/>
    <col min="4386" max="4386" width="9.42578125" style="1" bestFit="1" customWidth="1"/>
    <col min="4387" max="4387" width="9.85546875" style="1" bestFit="1" customWidth="1"/>
    <col min="4388" max="4391" width="9.85546875" style="1" customWidth="1"/>
    <col min="4392" max="4392" width="10.28515625" style="1" bestFit="1" customWidth="1"/>
    <col min="4393" max="4396" width="9.7109375" style="1" customWidth="1"/>
    <col min="4397" max="4399" width="9.42578125" style="1" bestFit="1" customWidth="1"/>
    <col min="4400" max="4400" width="9.5703125" style="1" bestFit="1" customWidth="1"/>
    <col min="4401" max="4401" width="10.28515625" style="1" bestFit="1" customWidth="1"/>
    <col min="4402" max="4406" width="9.42578125" style="1" bestFit="1" customWidth="1"/>
    <col min="4407" max="4408" width="9.140625" style="1"/>
    <col min="4409" max="4409" width="17.140625" style="1" customWidth="1"/>
    <col min="4410" max="4412" width="9.140625" style="1"/>
    <col min="4413" max="4413" width="21" style="1" customWidth="1"/>
    <col min="4414" max="4423" width="9.140625" style="1"/>
    <col min="4424" max="4432" width="9.28515625" style="1" bestFit="1" customWidth="1"/>
    <col min="4433" max="4438" width="9.140625" style="1"/>
    <col min="4439" max="4439" width="13" style="1" customWidth="1"/>
    <col min="4440" max="4443" width="9.28515625" style="1" bestFit="1" customWidth="1"/>
    <col min="4444" max="4629" width="9.140625" style="1"/>
    <col min="4630" max="4630" width="5.140625" style="1" customWidth="1"/>
    <col min="4631" max="4631" width="36.7109375" style="1" customWidth="1"/>
    <col min="4632" max="4632" width="9.28515625" style="1" bestFit="1" customWidth="1"/>
    <col min="4633" max="4633" width="9.7109375" style="1" customWidth="1"/>
    <col min="4634" max="4638" width="9.28515625" style="1" bestFit="1" customWidth="1"/>
    <col min="4639" max="4640" width="9.42578125" style="1" bestFit="1" customWidth="1"/>
    <col min="4641" max="4641" width="9.42578125" style="1" customWidth="1"/>
    <col min="4642" max="4642" width="9.42578125" style="1" bestFit="1" customWidth="1"/>
    <col min="4643" max="4643" width="9.85546875" style="1" bestFit="1" customWidth="1"/>
    <col min="4644" max="4647" width="9.85546875" style="1" customWidth="1"/>
    <col min="4648" max="4648" width="10.28515625" style="1" bestFit="1" customWidth="1"/>
    <col min="4649" max="4652" width="9.7109375" style="1" customWidth="1"/>
    <col min="4653" max="4655" width="9.42578125" style="1" bestFit="1" customWidth="1"/>
    <col min="4656" max="4656" width="9.5703125" style="1" bestFit="1" customWidth="1"/>
    <col min="4657" max="4657" width="10.28515625" style="1" bestFit="1" customWidth="1"/>
    <col min="4658" max="4662" width="9.42578125" style="1" bestFit="1" customWidth="1"/>
    <col min="4663" max="4664" width="9.140625" style="1"/>
    <col min="4665" max="4665" width="17.140625" style="1" customWidth="1"/>
    <col min="4666" max="4668" width="9.140625" style="1"/>
    <col min="4669" max="4669" width="21" style="1" customWidth="1"/>
    <col min="4670" max="4679" width="9.140625" style="1"/>
    <col min="4680" max="4688" width="9.28515625" style="1" bestFit="1" customWidth="1"/>
    <col min="4689" max="4694" width="9.140625" style="1"/>
    <col min="4695" max="4695" width="13" style="1" customWidth="1"/>
    <col min="4696" max="4699" width="9.28515625" style="1" bestFit="1" customWidth="1"/>
    <col min="4700" max="4885" width="9.140625" style="1"/>
    <col min="4886" max="4886" width="5.140625" style="1" customWidth="1"/>
    <col min="4887" max="4887" width="36.7109375" style="1" customWidth="1"/>
    <col min="4888" max="4888" width="9.28515625" style="1" bestFit="1" customWidth="1"/>
    <col min="4889" max="4889" width="9.7109375" style="1" customWidth="1"/>
    <col min="4890" max="4894" width="9.28515625" style="1" bestFit="1" customWidth="1"/>
    <col min="4895" max="4896" width="9.42578125" style="1" bestFit="1" customWidth="1"/>
    <col min="4897" max="4897" width="9.42578125" style="1" customWidth="1"/>
    <col min="4898" max="4898" width="9.42578125" style="1" bestFit="1" customWidth="1"/>
    <col min="4899" max="4899" width="9.85546875" style="1" bestFit="1" customWidth="1"/>
    <col min="4900" max="4903" width="9.85546875" style="1" customWidth="1"/>
    <col min="4904" max="4904" width="10.28515625" style="1" bestFit="1" customWidth="1"/>
    <col min="4905" max="4908" width="9.7109375" style="1" customWidth="1"/>
    <col min="4909" max="4911" width="9.42578125" style="1" bestFit="1" customWidth="1"/>
    <col min="4912" max="4912" width="9.5703125" style="1" bestFit="1" customWidth="1"/>
    <col min="4913" max="4913" width="10.28515625" style="1" bestFit="1" customWidth="1"/>
    <col min="4914" max="4918" width="9.42578125" style="1" bestFit="1" customWidth="1"/>
    <col min="4919" max="4920" width="9.140625" style="1"/>
    <col min="4921" max="4921" width="17.140625" style="1" customWidth="1"/>
    <col min="4922" max="4924" width="9.140625" style="1"/>
    <col min="4925" max="4925" width="21" style="1" customWidth="1"/>
    <col min="4926" max="4935" width="9.140625" style="1"/>
    <col min="4936" max="4944" width="9.28515625" style="1" bestFit="1" customWidth="1"/>
    <col min="4945" max="4950" width="9.140625" style="1"/>
    <col min="4951" max="4951" width="13" style="1" customWidth="1"/>
    <col min="4952" max="4955" width="9.28515625" style="1" bestFit="1" customWidth="1"/>
    <col min="4956" max="5141" width="9.140625" style="1"/>
    <col min="5142" max="5142" width="5.140625" style="1" customWidth="1"/>
    <col min="5143" max="5143" width="36.7109375" style="1" customWidth="1"/>
    <col min="5144" max="5144" width="9.28515625" style="1" bestFit="1" customWidth="1"/>
    <col min="5145" max="5145" width="9.7109375" style="1" customWidth="1"/>
    <col min="5146" max="5150" width="9.28515625" style="1" bestFit="1" customWidth="1"/>
    <col min="5151" max="5152" width="9.42578125" style="1" bestFit="1" customWidth="1"/>
    <col min="5153" max="5153" width="9.42578125" style="1" customWidth="1"/>
    <col min="5154" max="5154" width="9.42578125" style="1" bestFit="1" customWidth="1"/>
    <col min="5155" max="5155" width="9.85546875" style="1" bestFit="1" customWidth="1"/>
    <col min="5156" max="5159" width="9.85546875" style="1" customWidth="1"/>
    <col min="5160" max="5160" width="10.28515625" style="1" bestFit="1" customWidth="1"/>
    <col min="5161" max="5164" width="9.7109375" style="1" customWidth="1"/>
    <col min="5165" max="5167" width="9.42578125" style="1" bestFit="1" customWidth="1"/>
    <col min="5168" max="5168" width="9.5703125" style="1" bestFit="1" customWidth="1"/>
    <col min="5169" max="5169" width="10.28515625" style="1" bestFit="1" customWidth="1"/>
    <col min="5170" max="5174" width="9.42578125" style="1" bestFit="1" customWidth="1"/>
    <col min="5175" max="5176" width="9.140625" style="1"/>
    <col min="5177" max="5177" width="17.140625" style="1" customWidth="1"/>
    <col min="5178" max="5180" width="9.140625" style="1"/>
    <col min="5181" max="5181" width="21" style="1" customWidth="1"/>
    <col min="5182" max="5191" width="9.140625" style="1"/>
    <col min="5192" max="5200" width="9.28515625" style="1" bestFit="1" customWidth="1"/>
    <col min="5201" max="5206" width="9.140625" style="1"/>
    <col min="5207" max="5207" width="13" style="1" customWidth="1"/>
    <col min="5208" max="5211" width="9.28515625" style="1" bestFit="1" customWidth="1"/>
    <col min="5212" max="5397" width="9.140625" style="1"/>
    <col min="5398" max="5398" width="5.140625" style="1" customWidth="1"/>
    <col min="5399" max="5399" width="36.7109375" style="1" customWidth="1"/>
    <col min="5400" max="5400" width="9.28515625" style="1" bestFit="1" customWidth="1"/>
    <col min="5401" max="5401" width="9.7109375" style="1" customWidth="1"/>
    <col min="5402" max="5406" width="9.28515625" style="1" bestFit="1" customWidth="1"/>
    <col min="5407" max="5408" width="9.42578125" style="1" bestFit="1" customWidth="1"/>
    <col min="5409" max="5409" width="9.42578125" style="1" customWidth="1"/>
    <col min="5410" max="5410" width="9.42578125" style="1" bestFit="1" customWidth="1"/>
    <col min="5411" max="5411" width="9.85546875" style="1" bestFit="1" customWidth="1"/>
    <col min="5412" max="5415" width="9.85546875" style="1" customWidth="1"/>
    <col min="5416" max="5416" width="10.28515625" style="1" bestFit="1" customWidth="1"/>
    <col min="5417" max="5420" width="9.7109375" style="1" customWidth="1"/>
    <col min="5421" max="5423" width="9.42578125" style="1" bestFit="1" customWidth="1"/>
    <col min="5424" max="5424" width="9.5703125" style="1" bestFit="1" customWidth="1"/>
    <col min="5425" max="5425" width="10.28515625" style="1" bestFit="1" customWidth="1"/>
    <col min="5426" max="5430" width="9.42578125" style="1" bestFit="1" customWidth="1"/>
    <col min="5431" max="5432" width="9.140625" style="1"/>
    <col min="5433" max="5433" width="17.140625" style="1" customWidth="1"/>
    <col min="5434" max="5436" width="9.140625" style="1"/>
    <col min="5437" max="5437" width="21" style="1" customWidth="1"/>
    <col min="5438" max="5447" width="9.140625" style="1"/>
    <col min="5448" max="5456" width="9.28515625" style="1" bestFit="1" customWidth="1"/>
    <col min="5457" max="5462" width="9.140625" style="1"/>
    <col min="5463" max="5463" width="13" style="1" customWidth="1"/>
    <col min="5464" max="5467" width="9.28515625" style="1" bestFit="1" customWidth="1"/>
    <col min="5468" max="5653" width="9.140625" style="1"/>
    <col min="5654" max="5654" width="5.140625" style="1" customWidth="1"/>
    <col min="5655" max="5655" width="36.7109375" style="1" customWidth="1"/>
    <col min="5656" max="5656" width="9.28515625" style="1" bestFit="1" customWidth="1"/>
    <col min="5657" max="5657" width="9.7109375" style="1" customWidth="1"/>
    <col min="5658" max="5662" width="9.28515625" style="1" bestFit="1" customWidth="1"/>
    <col min="5663" max="5664" width="9.42578125" style="1" bestFit="1" customWidth="1"/>
    <col min="5665" max="5665" width="9.42578125" style="1" customWidth="1"/>
    <col min="5666" max="5666" width="9.42578125" style="1" bestFit="1" customWidth="1"/>
    <col min="5667" max="5667" width="9.85546875" style="1" bestFit="1" customWidth="1"/>
    <col min="5668" max="5671" width="9.85546875" style="1" customWidth="1"/>
    <col min="5672" max="5672" width="10.28515625" style="1" bestFit="1" customWidth="1"/>
    <col min="5673" max="5676" width="9.7109375" style="1" customWidth="1"/>
    <col min="5677" max="5679" width="9.42578125" style="1" bestFit="1" customWidth="1"/>
    <col min="5680" max="5680" width="9.5703125" style="1" bestFit="1" customWidth="1"/>
    <col min="5681" max="5681" width="10.28515625" style="1" bestFit="1" customWidth="1"/>
    <col min="5682" max="5686" width="9.42578125" style="1" bestFit="1" customWidth="1"/>
    <col min="5687" max="5688" width="9.140625" style="1"/>
    <col min="5689" max="5689" width="17.140625" style="1" customWidth="1"/>
    <col min="5690" max="5692" width="9.140625" style="1"/>
    <col min="5693" max="5693" width="21" style="1" customWidth="1"/>
    <col min="5694" max="5703" width="9.140625" style="1"/>
    <col min="5704" max="5712" width="9.28515625" style="1" bestFit="1" customWidth="1"/>
    <col min="5713" max="5718" width="9.140625" style="1"/>
    <col min="5719" max="5719" width="13" style="1" customWidth="1"/>
    <col min="5720" max="5723" width="9.28515625" style="1" bestFit="1" customWidth="1"/>
    <col min="5724" max="5909" width="9.140625" style="1"/>
    <col min="5910" max="5910" width="5.140625" style="1" customWidth="1"/>
    <col min="5911" max="5911" width="36.7109375" style="1" customWidth="1"/>
    <col min="5912" max="5912" width="9.28515625" style="1" bestFit="1" customWidth="1"/>
    <col min="5913" max="5913" width="9.7109375" style="1" customWidth="1"/>
    <col min="5914" max="5918" width="9.28515625" style="1" bestFit="1" customWidth="1"/>
    <col min="5919" max="5920" width="9.42578125" style="1" bestFit="1" customWidth="1"/>
    <col min="5921" max="5921" width="9.42578125" style="1" customWidth="1"/>
    <col min="5922" max="5922" width="9.42578125" style="1" bestFit="1" customWidth="1"/>
    <col min="5923" max="5923" width="9.85546875" style="1" bestFit="1" customWidth="1"/>
    <col min="5924" max="5927" width="9.85546875" style="1" customWidth="1"/>
    <col min="5928" max="5928" width="10.28515625" style="1" bestFit="1" customWidth="1"/>
    <col min="5929" max="5932" width="9.7109375" style="1" customWidth="1"/>
    <col min="5933" max="5935" width="9.42578125" style="1" bestFit="1" customWidth="1"/>
    <col min="5936" max="5936" width="9.5703125" style="1" bestFit="1" customWidth="1"/>
    <col min="5937" max="5937" width="10.28515625" style="1" bestFit="1" customWidth="1"/>
    <col min="5938" max="5942" width="9.42578125" style="1" bestFit="1" customWidth="1"/>
    <col min="5943" max="5944" width="9.140625" style="1"/>
    <col min="5945" max="5945" width="17.140625" style="1" customWidth="1"/>
    <col min="5946" max="5948" width="9.140625" style="1"/>
    <col min="5949" max="5949" width="21" style="1" customWidth="1"/>
    <col min="5950" max="5959" width="9.140625" style="1"/>
    <col min="5960" max="5968" width="9.28515625" style="1" bestFit="1" customWidth="1"/>
    <col min="5969" max="5974" width="9.140625" style="1"/>
    <col min="5975" max="5975" width="13" style="1" customWidth="1"/>
    <col min="5976" max="5979" width="9.28515625" style="1" bestFit="1" customWidth="1"/>
    <col min="5980" max="6165" width="9.140625" style="1"/>
    <col min="6166" max="6166" width="5.140625" style="1" customWidth="1"/>
    <col min="6167" max="6167" width="36.7109375" style="1" customWidth="1"/>
    <col min="6168" max="6168" width="9.28515625" style="1" bestFit="1" customWidth="1"/>
    <col min="6169" max="6169" width="9.7109375" style="1" customWidth="1"/>
    <col min="6170" max="6174" width="9.28515625" style="1" bestFit="1" customWidth="1"/>
    <col min="6175" max="6176" width="9.42578125" style="1" bestFit="1" customWidth="1"/>
    <col min="6177" max="6177" width="9.42578125" style="1" customWidth="1"/>
    <col min="6178" max="6178" width="9.42578125" style="1" bestFit="1" customWidth="1"/>
    <col min="6179" max="6179" width="9.85546875" style="1" bestFit="1" customWidth="1"/>
    <col min="6180" max="6183" width="9.85546875" style="1" customWidth="1"/>
    <col min="6184" max="6184" width="10.28515625" style="1" bestFit="1" customWidth="1"/>
    <col min="6185" max="6188" width="9.7109375" style="1" customWidth="1"/>
    <col min="6189" max="6191" width="9.42578125" style="1" bestFit="1" customWidth="1"/>
    <col min="6192" max="6192" width="9.5703125" style="1" bestFit="1" customWidth="1"/>
    <col min="6193" max="6193" width="10.28515625" style="1" bestFit="1" customWidth="1"/>
    <col min="6194" max="6198" width="9.42578125" style="1" bestFit="1" customWidth="1"/>
    <col min="6199" max="6200" width="9.140625" style="1"/>
    <col min="6201" max="6201" width="17.140625" style="1" customWidth="1"/>
    <col min="6202" max="6204" width="9.140625" style="1"/>
    <col min="6205" max="6205" width="21" style="1" customWidth="1"/>
    <col min="6206" max="6215" width="9.140625" style="1"/>
    <col min="6216" max="6224" width="9.28515625" style="1" bestFit="1" customWidth="1"/>
    <col min="6225" max="6230" width="9.140625" style="1"/>
    <col min="6231" max="6231" width="13" style="1" customWidth="1"/>
    <col min="6232" max="6235" width="9.28515625" style="1" bestFit="1" customWidth="1"/>
    <col min="6236" max="6421" width="9.140625" style="1"/>
    <col min="6422" max="6422" width="5.140625" style="1" customWidth="1"/>
    <col min="6423" max="6423" width="36.7109375" style="1" customWidth="1"/>
    <col min="6424" max="6424" width="9.28515625" style="1" bestFit="1" customWidth="1"/>
    <col min="6425" max="6425" width="9.7109375" style="1" customWidth="1"/>
    <col min="6426" max="6430" width="9.28515625" style="1" bestFit="1" customWidth="1"/>
    <col min="6431" max="6432" width="9.42578125" style="1" bestFit="1" customWidth="1"/>
    <col min="6433" max="6433" width="9.42578125" style="1" customWidth="1"/>
    <col min="6434" max="6434" width="9.42578125" style="1" bestFit="1" customWidth="1"/>
    <col min="6435" max="6435" width="9.85546875" style="1" bestFit="1" customWidth="1"/>
    <col min="6436" max="6439" width="9.85546875" style="1" customWidth="1"/>
    <col min="6440" max="6440" width="10.28515625" style="1" bestFit="1" customWidth="1"/>
    <col min="6441" max="6444" width="9.7109375" style="1" customWidth="1"/>
    <col min="6445" max="6447" width="9.42578125" style="1" bestFit="1" customWidth="1"/>
    <col min="6448" max="6448" width="9.5703125" style="1" bestFit="1" customWidth="1"/>
    <col min="6449" max="6449" width="10.28515625" style="1" bestFit="1" customWidth="1"/>
    <col min="6450" max="6454" width="9.42578125" style="1" bestFit="1" customWidth="1"/>
    <col min="6455" max="6456" width="9.140625" style="1"/>
    <col min="6457" max="6457" width="17.140625" style="1" customWidth="1"/>
    <col min="6458" max="6460" width="9.140625" style="1"/>
    <col min="6461" max="6461" width="21" style="1" customWidth="1"/>
    <col min="6462" max="6471" width="9.140625" style="1"/>
    <col min="6472" max="6480" width="9.28515625" style="1" bestFit="1" customWidth="1"/>
    <col min="6481" max="6486" width="9.140625" style="1"/>
    <col min="6487" max="6487" width="13" style="1" customWidth="1"/>
    <col min="6488" max="6491" width="9.28515625" style="1" bestFit="1" customWidth="1"/>
    <col min="6492" max="6677" width="9.140625" style="1"/>
    <col min="6678" max="6678" width="5.140625" style="1" customWidth="1"/>
    <col min="6679" max="6679" width="36.7109375" style="1" customWidth="1"/>
    <col min="6680" max="6680" width="9.28515625" style="1" bestFit="1" customWidth="1"/>
    <col min="6681" max="6681" width="9.7109375" style="1" customWidth="1"/>
    <col min="6682" max="6686" width="9.28515625" style="1" bestFit="1" customWidth="1"/>
    <col min="6687" max="6688" width="9.42578125" style="1" bestFit="1" customWidth="1"/>
    <col min="6689" max="6689" width="9.42578125" style="1" customWidth="1"/>
    <col min="6690" max="6690" width="9.42578125" style="1" bestFit="1" customWidth="1"/>
    <col min="6691" max="6691" width="9.85546875" style="1" bestFit="1" customWidth="1"/>
    <col min="6692" max="6695" width="9.85546875" style="1" customWidth="1"/>
    <col min="6696" max="6696" width="10.28515625" style="1" bestFit="1" customWidth="1"/>
    <col min="6697" max="6700" width="9.7109375" style="1" customWidth="1"/>
    <col min="6701" max="6703" width="9.42578125" style="1" bestFit="1" customWidth="1"/>
    <col min="6704" max="6704" width="9.5703125" style="1" bestFit="1" customWidth="1"/>
    <col min="6705" max="6705" width="10.28515625" style="1" bestFit="1" customWidth="1"/>
    <col min="6706" max="6710" width="9.42578125" style="1" bestFit="1" customWidth="1"/>
    <col min="6711" max="6712" width="9.140625" style="1"/>
    <col min="6713" max="6713" width="17.140625" style="1" customWidth="1"/>
    <col min="6714" max="6716" width="9.140625" style="1"/>
    <col min="6717" max="6717" width="21" style="1" customWidth="1"/>
    <col min="6718" max="6727" width="9.140625" style="1"/>
    <col min="6728" max="6736" width="9.28515625" style="1" bestFit="1" customWidth="1"/>
    <col min="6737" max="6742" width="9.140625" style="1"/>
    <col min="6743" max="6743" width="13" style="1" customWidth="1"/>
    <col min="6744" max="6747" width="9.28515625" style="1" bestFit="1" customWidth="1"/>
    <col min="6748" max="6933" width="9.140625" style="1"/>
    <col min="6934" max="6934" width="5.140625" style="1" customWidth="1"/>
    <col min="6935" max="6935" width="36.7109375" style="1" customWidth="1"/>
    <col min="6936" max="6936" width="9.28515625" style="1" bestFit="1" customWidth="1"/>
    <col min="6937" max="6937" width="9.7109375" style="1" customWidth="1"/>
    <col min="6938" max="6942" width="9.28515625" style="1" bestFit="1" customWidth="1"/>
    <col min="6943" max="6944" width="9.42578125" style="1" bestFit="1" customWidth="1"/>
    <col min="6945" max="6945" width="9.42578125" style="1" customWidth="1"/>
    <col min="6946" max="6946" width="9.42578125" style="1" bestFit="1" customWidth="1"/>
    <col min="6947" max="6947" width="9.85546875" style="1" bestFit="1" customWidth="1"/>
    <col min="6948" max="6951" width="9.85546875" style="1" customWidth="1"/>
    <col min="6952" max="6952" width="10.28515625" style="1" bestFit="1" customWidth="1"/>
    <col min="6953" max="6956" width="9.7109375" style="1" customWidth="1"/>
    <col min="6957" max="6959" width="9.42578125" style="1" bestFit="1" customWidth="1"/>
    <col min="6960" max="6960" width="9.5703125" style="1" bestFit="1" customWidth="1"/>
    <col min="6961" max="6961" width="10.28515625" style="1" bestFit="1" customWidth="1"/>
    <col min="6962" max="6966" width="9.42578125" style="1" bestFit="1" customWidth="1"/>
    <col min="6967" max="6968" width="9.140625" style="1"/>
    <col min="6969" max="6969" width="17.140625" style="1" customWidth="1"/>
    <col min="6970" max="6972" width="9.140625" style="1"/>
    <col min="6973" max="6973" width="21" style="1" customWidth="1"/>
    <col min="6974" max="6983" width="9.140625" style="1"/>
    <col min="6984" max="6992" width="9.28515625" style="1" bestFit="1" customWidth="1"/>
    <col min="6993" max="6998" width="9.140625" style="1"/>
    <col min="6999" max="6999" width="13" style="1" customWidth="1"/>
    <col min="7000" max="7003" width="9.28515625" style="1" bestFit="1" customWidth="1"/>
    <col min="7004" max="7189" width="9.140625" style="1"/>
    <col min="7190" max="7190" width="5.140625" style="1" customWidth="1"/>
    <col min="7191" max="7191" width="36.7109375" style="1" customWidth="1"/>
    <col min="7192" max="7192" width="9.28515625" style="1" bestFit="1" customWidth="1"/>
    <col min="7193" max="7193" width="9.7109375" style="1" customWidth="1"/>
    <col min="7194" max="7198" width="9.28515625" style="1" bestFit="1" customWidth="1"/>
    <col min="7199" max="7200" width="9.42578125" style="1" bestFit="1" customWidth="1"/>
    <col min="7201" max="7201" width="9.42578125" style="1" customWidth="1"/>
    <col min="7202" max="7202" width="9.42578125" style="1" bestFit="1" customWidth="1"/>
    <col min="7203" max="7203" width="9.85546875" style="1" bestFit="1" customWidth="1"/>
    <col min="7204" max="7207" width="9.85546875" style="1" customWidth="1"/>
    <col min="7208" max="7208" width="10.28515625" style="1" bestFit="1" customWidth="1"/>
    <col min="7209" max="7212" width="9.7109375" style="1" customWidth="1"/>
    <col min="7213" max="7215" width="9.42578125" style="1" bestFit="1" customWidth="1"/>
    <col min="7216" max="7216" width="9.5703125" style="1" bestFit="1" customWidth="1"/>
    <col min="7217" max="7217" width="10.28515625" style="1" bestFit="1" customWidth="1"/>
    <col min="7218" max="7222" width="9.42578125" style="1" bestFit="1" customWidth="1"/>
    <col min="7223" max="7224" width="9.140625" style="1"/>
    <col min="7225" max="7225" width="17.140625" style="1" customWidth="1"/>
    <col min="7226" max="7228" width="9.140625" style="1"/>
    <col min="7229" max="7229" width="21" style="1" customWidth="1"/>
    <col min="7230" max="7239" width="9.140625" style="1"/>
    <col min="7240" max="7248" width="9.28515625" style="1" bestFit="1" customWidth="1"/>
    <col min="7249" max="7254" width="9.140625" style="1"/>
    <col min="7255" max="7255" width="13" style="1" customWidth="1"/>
    <col min="7256" max="7259" width="9.28515625" style="1" bestFit="1" customWidth="1"/>
    <col min="7260" max="7445" width="9.140625" style="1"/>
    <col min="7446" max="7446" width="5.140625" style="1" customWidth="1"/>
    <col min="7447" max="7447" width="36.7109375" style="1" customWidth="1"/>
    <col min="7448" max="7448" width="9.28515625" style="1" bestFit="1" customWidth="1"/>
    <col min="7449" max="7449" width="9.7109375" style="1" customWidth="1"/>
    <col min="7450" max="7454" width="9.28515625" style="1" bestFit="1" customWidth="1"/>
    <col min="7455" max="7456" width="9.42578125" style="1" bestFit="1" customWidth="1"/>
    <col min="7457" max="7457" width="9.42578125" style="1" customWidth="1"/>
    <col min="7458" max="7458" width="9.42578125" style="1" bestFit="1" customWidth="1"/>
    <col min="7459" max="7459" width="9.85546875" style="1" bestFit="1" customWidth="1"/>
    <col min="7460" max="7463" width="9.85546875" style="1" customWidth="1"/>
    <col min="7464" max="7464" width="10.28515625" style="1" bestFit="1" customWidth="1"/>
    <col min="7465" max="7468" width="9.7109375" style="1" customWidth="1"/>
    <col min="7469" max="7471" width="9.42578125" style="1" bestFit="1" customWidth="1"/>
    <col min="7472" max="7472" width="9.5703125" style="1" bestFit="1" customWidth="1"/>
    <col min="7473" max="7473" width="10.28515625" style="1" bestFit="1" customWidth="1"/>
    <col min="7474" max="7478" width="9.42578125" style="1" bestFit="1" customWidth="1"/>
    <col min="7479" max="7480" width="9.140625" style="1"/>
    <col min="7481" max="7481" width="17.140625" style="1" customWidth="1"/>
    <col min="7482" max="7484" width="9.140625" style="1"/>
    <col min="7485" max="7485" width="21" style="1" customWidth="1"/>
    <col min="7486" max="7495" width="9.140625" style="1"/>
    <col min="7496" max="7504" width="9.28515625" style="1" bestFit="1" customWidth="1"/>
    <col min="7505" max="7510" width="9.140625" style="1"/>
    <col min="7511" max="7511" width="13" style="1" customWidth="1"/>
    <col min="7512" max="7515" width="9.28515625" style="1" bestFit="1" customWidth="1"/>
    <col min="7516" max="7701" width="9.140625" style="1"/>
    <col min="7702" max="7702" width="5.140625" style="1" customWidth="1"/>
    <col min="7703" max="7703" width="36.7109375" style="1" customWidth="1"/>
    <col min="7704" max="7704" width="9.28515625" style="1" bestFit="1" customWidth="1"/>
    <col min="7705" max="7705" width="9.7109375" style="1" customWidth="1"/>
    <col min="7706" max="7710" width="9.28515625" style="1" bestFit="1" customWidth="1"/>
    <col min="7711" max="7712" width="9.42578125" style="1" bestFit="1" customWidth="1"/>
    <col min="7713" max="7713" width="9.42578125" style="1" customWidth="1"/>
    <col min="7714" max="7714" width="9.42578125" style="1" bestFit="1" customWidth="1"/>
    <col min="7715" max="7715" width="9.85546875" style="1" bestFit="1" customWidth="1"/>
    <col min="7716" max="7719" width="9.85546875" style="1" customWidth="1"/>
    <col min="7720" max="7720" width="10.28515625" style="1" bestFit="1" customWidth="1"/>
    <col min="7721" max="7724" width="9.7109375" style="1" customWidth="1"/>
    <col min="7725" max="7727" width="9.42578125" style="1" bestFit="1" customWidth="1"/>
    <col min="7728" max="7728" width="9.5703125" style="1" bestFit="1" customWidth="1"/>
    <col min="7729" max="7729" width="10.28515625" style="1" bestFit="1" customWidth="1"/>
    <col min="7730" max="7734" width="9.42578125" style="1" bestFit="1" customWidth="1"/>
    <col min="7735" max="7736" width="9.140625" style="1"/>
    <col min="7737" max="7737" width="17.140625" style="1" customWidth="1"/>
    <col min="7738" max="7740" width="9.140625" style="1"/>
    <col min="7741" max="7741" width="21" style="1" customWidth="1"/>
    <col min="7742" max="7751" width="9.140625" style="1"/>
    <col min="7752" max="7760" width="9.28515625" style="1" bestFit="1" customWidth="1"/>
    <col min="7761" max="7766" width="9.140625" style="1"/>
    <col min="7767" max="7767" width="13" style="1" customWidth="1"/>
    <col min="7768" max="7771" width="9.28515625" style="1" bestFit="1" customWidth="1"/>
    <col min="7772" max="7957" width="9.140625" style="1"/>
    <col min="7958" max="7958" width="5.140625" style="1" customWidth="1"/>
    <col min="7959" max="7959" width="36.7109375" style="1" customWidth="1"/>
    <col min="7960" max="7960" width="9.28515625" style="1" bestFit="1" customWidth="1"/>
    <col min="7961" max="7961" width="9.7109375" style="1" customWidth="1"/>
    <col min="7962" max="7966" width="9.28515625" style="1" bestFit="1" customWidth="1"/>
    <col min="7967" max="7968" width="9.42578125" style="1" bestFit="1" customWidth="1"/>
    <col min="7969" max="7969" width="9.42578125" style="1" customWidth="1"/>
    <col min="7970" max="7970" width="9.42578125" style="1" bestFit="1" customWidth="1"/>
    <col min="7971" max="7971" width="9.85546875" style="1" bestFit="1" customWidth="1"/>
    <col min="7972" max="7975" width="9.85546875" style="1" customWidth="1"/>
    <col min="7976" max="7976" width="10.28515625" style="1" bestFit="1" customWidth="1"/>
    <col min="7977" max="7980" width="9.7109375" style="1" customWidth="1"/>
    <col min="7981" max="7983" width="9.42578125" style="1" bestFit="1" customWidth="1"/>
    <col min="7984" max="7984" width="9.5703125" style="1" bestFit="1" customWidth="1"/>
    <col min="7985" max="7985" width="10.28515625" style="1" bestFit="1" customWidth="1"/>
    <col min="7986" max="7990" width="9.42578125" style="1" bestFit="1" customWidth="1"/>
    <col min="7991" max="7992" width="9.140625" style="1"/>
    <col min="7993" max="7993" width="17.140625" style="1" customWidth="1"/>
    <col min="7994" max="7996" width="9.140625" style="1"/>
    <col min="7997" max="7997" width="21" style="1" customWidth="1"/>
    <col min="7998" max="8007" width="9.140625" style="1"/>
    <col min="8008" max="8016" width="9.28515625" style="1" bestFit="1" customWidth="1"/>
    <col min="8017" max="8022" width="9.140625" style="1"/>
    <col min="8023" max="8023" width="13" style="1" customWidth="1"/>
    <col min="8024" max="8027" width="9.28515625" style="1" bestFit="1" customWidth="1"/>
    <col min="8028" max="8213" width="9.140625" style="1"/>
    <col min="8214" max="8214" width="5.140625" style="1" customWidth="1"/>
    <col min="8215" max="8215" width="36.7109375" style="1" customWidth="1"/>
    <col min="8216" max="8216" width="9.28515625" style="1" bestFit="1" customWidth="1"/>
    <col min="8217" max="8217" width="9.7109375" style="1" customWidth="1"/>
    <col min="8218" max="8222" width="9.28515625" style="1" bestFit="1" customWidth="1"/>
    <col min="8223" max="8224" width="9.42578125" style="1" bestFit="1" customWidth="1"/>
    <col min="8225" max="8225" width="9.42578125" style="1" customWidth="1"/>
    <col min="8226" max="8226" width="9.42578125" style="1" bestFit="1" customWidth="1"/>
    <col min="8227" max="8227" width="9.85546875" style="1" bestFit="1" customWidth="1"/>
    <col min="8228" max="8231" width="9.85546875" style="1" customWidth="1"/>
    <col min="8232" max="8232" width="10.28515625" style="1" bestFit="1" customWidth="1"/>
    <col min="8233" max="8236" width="9.7109375" style="1" customWidth="1"/>
    <col min="8237" max="8239" width="9.42578125" style="1" bestFit="1" customWidth="1"/>
    <col min="8240" max="8240" width="9.5703125" style="1" bestFit="1" customWidth="1"/>
    <col min="8241" max="8241" width="10.28515625" style="1" bestFit="1" customWidth="1"/>
    <col min="8242" max="8246" width="9.42578125" style="1" bestFit="1" customWidth="1"/>
    <col min="8247" max="8248" width="9.140625" style="1"/>
    <col min="8249" max="8249" width="17.140625" style="1" customWidth="1"/>
    <col min="8250" max="8252" width="9.140625" style="1"/>
    <col min="8253" max="8253" width="21" style="1" customWidth="1"/>
    <col min="8254" max="8263" width="9.140625" style="1"/>
    <col min="8264" max="8272" width="9.28515625" style="1" bestFit="1" customWidth="1"/>
    <col min="8273" max="8278" width="9.140625" style="1"/>
    <col min="8279" max="8279" width="13" style="1" customWidth="1"/>
    <col min="8280" max="8283" width="9.28515625" style="1" bestFit="1" customWidth="1"/>
    <col min="8284" max="8469" width="9.140625" style="1"/>
    <col min="8470" max="8470" width="5.140625" style="1" customWidth="1"/>
    <col min="8471" max="8471" width="36.7109375" style="1" customWidth="1"/>
    <col min="8472" max="8472" width="9.28515625" style="1" bestFit="1" customWidth="1"/>
    <col min="8473" max="8473" width="9.7109375" style="1" customWidth="1"/>
    <col min="8474" max="8478" width="9.28515625" style="1" bestFit="1" customWidth="1"/>
    <col min="8479" max="8480" width="9.42578125" style="1" bestFit="1" customWidth="1"/>
    <col min="8481" max="8481" width="9.42578125" style="1" customWidth="1"/>
    <col min="8482" max="8482" width="9.42578125" style="1" bestFit="1" customWidth="1"/>
    <col min="8483" max="8483" width="9.85546875" style="1" bestFit="1" customWidth="1"/>
    <col min="8484" max="8487" width="9.85546875" style="1" customWidth="1"/>
    <col min="8488" max="8488" width="10.28515625" style="1" bestFit="1" customWidth="1"/>
    <col min="8489" max="8492" width="9.7109375" style="1" customWidth="1"/>
    <col min="8493" max="8495" width="9.42578125" style="1" bestFit="1" customWidth="1"/>
    <col min="8496" max="8496" width="9.5703125" style="1" bestFit="1" customWidth="1"/>
    <col min="8497" max="8497" width="10.28515625" style="1" bestFit="1" customWidth="1"/>
    <col min="8498" max="8502" width="9.42578125" style="1" bestFit="1" customWidth="1"/>
    <col min="8503" max="8504" width="9.140625" style="1"/>
    <col min="8505" max="8505" width="17.140625" style="1" customWidth="1"/>
    <col min="8506" max="8508" width="9.140625" style="1"/>
    <col min="8509" max="8509" width="21" style="1" customWidth="1"/>
    <col min="8510" max="8519" width="9.140625" style="1"/>
    <col min="8520" max="8528" width="9.28515625" style="1" bestFit="1" customWidth="1"/>
    <col min="8529" max="8534" width="9.140625" style="1"/>
    <col min="8535" max="8535" width="13" style="1" customWidth="1"/>
    <col min="8536" max="8539" width="9.28515625" style="1" bestFit="1" customWidth="1"/>
    <col min="8540" max="8725" width="9.140625" style="1"/>
    <col min="8726" max="8726" width="5.140625" style="1" customWidth="1"/>
    <col min="8727" max="8727" width="36.7109375" style="1" customWidth="1"/>
    <col min="8728" max="8728" width="9.28515625" style="1" bestFit="1" customWidth="1"/>
    <col min="8729" max="8729" width="9.7109375" style="1" customWidth="1"/>
    <col min="8730" max="8734" width="9.28515625" style="1" bestFit="1" customWidth="1"/>
    <col min="8735" max="8736" width="9.42578125" style="1" bestFit="1" customWidth="1"/>
    <col min="8737" max="8737" width="9.42578125" style="1" customWidth="1"/>
    <col min="8738" max="8738" width="9.42578125" style="1" bestFit="1" customWidth="1"/>
    <col min="8739" max="8739" width="9.85546875" style="1" bestFit="1" customWidth="1"/>
    <col min="8740" max="8743" width="9.85546875" style="1" customWidth="1"/>
    <col min="8744" max="8744" width="10.28515625" style="1" bestFit="1" customWidth="1"/>
    <col min="8745" max="8748" width="9.7109375" style="1" customWidth="1"/>
    <col min="8749" max="8751" width="9.42578125" style="1" bestFit="1" customWidth="1"/>
    <col min="8752" max="8752" width="9.5703125" style="1" bestFit="1" customWidth="1"/>
    <col min="8753" max="8753" width="10.28515625" style="1" bestFit="1" customWidth="1"/>
    <col min="8754" max="8758" width="9.42578125" style="1" bestFit="1" customWidth="1"/>
    <col min="8759" max="8760" width="9.140625" style="1"/>
    <col min="8761" max="8761" width="17.140625" style="1" customWidth="1"/>
    <col min="8762" max="8764" width="9.140625" style="1"/>
    <col min="8765" max="8765" width="21" style="1" customWidth="1"/>
    <col min="8766" max="8775" width="9.140625" style="1"/>
    <col min="8776" max="8784" width="9.28515625" style="1" bestFit="1" customWidth="1"/>
    <col min="8785" max="8790" width="9.140625" style="1"/>
    <col min="8791" max="8791" width="13" style="1" customWidth="1"/>
    <col min="8792" max="8795" width="9.28515625" style="1" bestFit="1" customWidth="1"/>
    <col min="8796" max="8981" width="9.140625" style="1"/>
    <col min="8982" max="8982" width="5.140625" style="1" customWidth="1"/>
    <col min="8983" max="8983" width="36.7109375" style="1" customWidth="1"/>
    <col min="8984" max="8984" width="9.28515625" style="1" bestFit="1" customWidth="1"/>
    <col min="8985" max="8985" width="9.7109375" style="1" customWidth="1"/>
    <col min="8986" max="8990" width="9.28515625" style="1" bestFit="1" customWidth="1"/>
    <col min="8991" max="8992" width="9.42578125" style="1" bestFit="1" customWidth="1"/>
    <col min="8993" max="8993" width="9.42578125" style="1" customWidth="1"/>
    <col min="8994" max="8994" width="9.42578125" style="1" bestFit="1" customWidth="1"/>
    <col min="8995" max="8995" width="9.85546875" style="1" bestFit="1" customWidth="1"/>
    <col min="8996" max="8999" width="9.85546875" style="1" customWidth="1"/>
    <col min="9000" max="9000" width="10.28515625" style="1" bestFit="1" customWidth="1"/>
    <col min="9001" max="9004" width="9.7109375" style="1" customWidth="1"/>
    <col min="9005" max="9007" width="9.42578125" style="1" bestFit="1" customWidth="1"/>
    <col min="9008" max="9008" width="9.5703125" style="1" bestFit="1" customWidth="1"/>
    <col min="9009" max="9009" width="10.28515625" style="1" bestFit="1" customWidth="1"/>
    <col min="9010" max="9014" width="9.42578125" style="1" bestFit="1" customWidth="1"/>
    <col min="9015" max="9016" width="9.140625" style="1"/>
    <col min="9017" max="9017" width="17.140625" style="1" customWidth="1"/>
    <col min="9018" max="9020" width="9.140625" style="1"/>
    <col min="9021" max="9021" width="21" style="1" customWidth="1"/>
    <col min="9022" max="9031" width="9.140625" style="1"/>
    <col min="9032" max="9040" width="9.28515625" style="1" bestFit="1" customWidth="1"/>
    <col min="9041" max="9046" width="9.140625" style="1"/>
    <col min="9047" max="9047" width="13" style="1" customWidth="1"/>
    <col min="9048" max="9051" width="9.28515625" style="1" bestFit="1" customWidth="1"/>
    <col min="9052" max="9237" width="9.140625" style="1"/>
    <col min="9238" max="9238" width="5.140625" style="1" customWidth="1"/>
    <col min="9239" max="9239" width="36.7109375" style="1" customWidth="1"/>
    <col min="9240" max="9240" width="9.28515625" style="1" bestFit="1" customWidth="1"/>
    <col min="9241" max="9241" width="9.7109375" style="1" customWidth="1"/>
    <col min="9242" max="9246" width="9.28515625" style="1" bestFit="1" customWidth="1"/>
    <col min="9247" max="9248" width="9.42578125" style="1" bestFit="1" customWidth="1"/>
    <col min="9249" max="9249" width="9.42578125" style="1" customWidth="1"/>
    <col min="9250" max="9250" width="9.42578125" style="1" bestFit="1" customWidth="1"/>
    <col min="9251" max="9251" width="9.85546875" style="1" bestFit="1" customWidth="1"/>
    <col min="9252" max="9255" width="9.85546875" style="1" customWidth="1"/>
    <col min="9256" max="9256" width="10.28515625" style="1" bestFit="1" customWidth="1"/>
    <col min="9257" max="9260" width="9.7109375" style="1" customWidth="1"/>
    <col min="9261" max="9263" width="9.42578125" style="1" bestFit="1" customWidth="1"/>
    <col min="9264" max="9264" width="9.5703125" style="1" bestFit="1" customWidth="1"/>
    <col min="9265" max="9265" width="10.28515625" style="1" bestFit="1" customWidth="1"/>
    <col min="9266" max="9270" width="9.42578125" style="1" bestFit="1" customWidth="1"/>
    <col min="9271" max="9272" width="9.140625" style="1"/>
    <col min="9273" max="9273" width="17.140625" style="1" customWidth="1"/>
    <col min="9274" max="9276" width="9.140625" style="1"/>
    <col min="9277" max="9277" width="21" style="1" customWidth="1"/>
    <col min="9278" max="9287" width="9.140625" style="1"/>
    <col min="9288" max="9296" width="9.28515625" style="1" bestFit="1" customWidth="1"/>
    <col min="9297" max="9302" width="9.140625" style="1"/>
    <col min="9303" max="9303" width="13" style="1" customWidth="1"/>
    <col min="9304" max="9307" width="9.28515625" style="1" bestFit="1" customWidth="1"/>
    <col min="9308" max="9493" width="9.140625" style="1"/>
    <col min="9494" max="9494" width="5.140625" style="1" customWidth="1"/>
    <col min="9495" max="9495" width="36.7109375" style="1" customWidth="1"/>
    <col min="9496" max="9496" width="9.28515625" style="1" bestFit="1" customWidth="1"/>
    <col min="9497" max="9497" width="9.7109375" style="1" customWidth="1"/>
    <col min="9498" max="9502" width="9.28515625" style="1" bestFit="1" customWidth="1"/>
    <col min="9503" max="9504" width="9.42578125" style="1" bestFit="1" customWidth="1"/>
    <col min="9505" max="9505" width="9.42578125" style="1" customWidth="1"/>
    <col min="9506" max="9506" width="9.42578125" style="1" bestFit="1" customWidth="1"/>
    <col min="9507" max="9507" width="9.85546875" style="1" bestFit="1" customWidth="1"/>
    <col min="9508" max="9511" width="9.85546875" style="1" customWidth="1"/>
    <col min="9512" max="9512" width="10.28515625" style="1" bestFit="1" customWidth="1"/>
    <col min="9513" max="9516" width="9.7109375" style="1" customWidth="1"/>
    <col min="9517" max="9519" width="9.42578125" style="1" bestFit="1" customWidth="1"/>
    <col min="9520" max="9520" width="9.5703125" style="1" bestFit="1" customWidth="1"/>
    <col min="9521" max="9521" width="10.28515625" style="1" bestFit="1" customWidth="1"/>
    <col min="9522" max="9526" width="9.42578125" style="1" bestFit="1" customWidth="1"/>
    <col min="9527" max="9528" width="9.140625" style="1"/>
    <col min="9529" max="9529" width="17.140625" style="1" customWidth="1"/>
    <col min="9530" max="9532" width="9.140625" style="1"/>
    <col min="9533" max="9533" width="21" style="1" customWidth="1"/>
    <col min="9534" max="9543" width="9.140625" style="1"/>
    <col min="9544" max="9552" width="9.28515625" style="1" bestFit="1" customWidth="1"/>
    <col min="9553" max="9558" width="9.140625" style="1"/>
    <col min="9559" max="9559" width="13" style="1" customWidth="1"/>
    <col min="9560" max="9563" width="9.28515625" style="1" bestFit="1" customWidth="1"/>
    <col min="9564" max="9749" width="9.140625" style="1"/>
    <col min="9750" max="9750" width="5.140625" style="1" customWidth="1"/>
    <col min="9751" max="9751" width="36.7109375" style="1" customWidth="1"/>
    <col min="9752" max="9752" width="9.28515625" style="1" bestFit="1" customWidth="1"/>
    <col min="9753" max="9753" width="9.7109375" style="1" customWidth="1"/>
    <col min="9754" max="9758" width="9.28515625" style="1" bestFit="1" customWidth="1"/>
    <col min="9759" max="9760" width="9.42578125" style="1" bestFit="1" customWidth="1"/>
    <col min="9761" max="9761" width="9.42578125" style="1" customWidth="1"/>
    <col min="9762" max="9762" width="9.42578125" style="1" bestFit="1" customWidth="1"/>
    <col min="9763" max="9763" width="9.85546875" style="1" bestFit="1" customWidth="1"/>
    <col min="9764" max="9767" width="9.85546875" style="1" customWidth="1"/>
    <col min="9768" max="9768" width="10.28515625" style="1" bestFit="1" customWidth="1"/>
    <col min="9769" max="9772" width="9.7109375" style="1" customWidth="1"/>
    <col min="9773" max="9775" width="9.42578125" style="1" bestFit="1" customWidth="1"/>
    <col min="9776" max="9776" width="9.5703125" style="1" bestFit="1" customWidth="1"/>
    <col min="9777" max="9777" width="10.28515625" style="1" bestFit="1" customWidth="1"/>
    <col min="9778" max="9782" width="9.42578125" style="1" bestFit="1" customWidth="1"/>
    <col min="9783" max="9784" width="9.140625" style="1"/>
    <col min="9785" max="9785" width="17.140625" style="1" customWidth="1"/>
    <col min="9786" max="9788" width="9.140625" style="1"/>
    <col min="9789" max="9789" width="21" style="1" customWidth="1"/>
    <col min="9790" max="9799" width="9.140625" style="1"/>
    <col min="9800" max="9808" width="9.28515625" style="1" bestFit="1" customWidth="1"/>
    <col min="9809" max="9814" width="9.140625" style="1"/>
    <col min="9815" max="9815" width="13" style="1" customWidth="1"/>
    <col min="9816" max="9819" width="9.28515625" style="1" bestFit="1" customWidth="1"/>
    <col min="9820" max="10005" width="9.140625" style="1"/>
    <col min="10006" max="10006" width="5.140625" style="1" customWidth="1"/>
    <col min="10007" max="10007" width="36.7109375" style="1" customWidth="1"/>
    <col min="10008" max="10008" width="9.28515625" style="1" bestFit="1" customWidth="1"/>
    <col min="10009" max="10009" width="9.7109375" style="1" customWidth="1"/>
    <col min="10010" max="10014" width="9.28515625" style="1" bestFit="1" customWidth="1"/>
    <col min="10015" max="10016" width="9.42578125" style="1" bestFit="1" customWidth="1"/>
    <col min="10017" max="10017" width="9.42578125" style="1" customWidth="1"/>
    <col min="10018" max="10018" width="9.42578125" style="1" bestFit="1" customWidth="1"/>
    <col min="10019" max="10019" width="9.85546875" style="1" bestFit="1" customWidth="1"/>
    <col min="10020" max="10023" width="9.85546875" style="1" customWidth="1"/>
    <col min="10024" max="10024" width="10.28515625" style="1" bestFit="1" customWidth="1"/>
    <col min="10025" max="10028" width="9.7109375" style="1" customWidth="1"/>
    <col min="10029" max="10031" width="9.42578125" style="1" bestFit="1" customWidth="1"/>
    <col min="10032" max="10032" width="9.5703125" style="1" bestFit="1" customWidth="1"/>
    <col min="10033" max="10033" width="10.28515625" style="1" bestFit="1" customWidth="1"/>
    <col min="10034" max="10038" width="9.42578125" style="1" bestFit="1" customWidth="1"/>
    <col min="10039" max="10040" width="9.140625" style="1"/>
    <col min="10041" max="10041" width="17.140625" style="1" customWidth="1"/>
    <col min="10042" max="10044" width="9.140625" style="1"/>
    <col min="10045" max="10045" width="21" style="1" customWidth="1"/>
    <col min="10046" max="10055" width="9.140625" style="1"/>
    <col min="10056" max="10064" width="9.28515625" style="1" bestFit="1" customWidth="1"/>
    <col min="10065" max="10070" width="9.140625" style="1"/>
    <col min="10071" max="10071" width="13" style="1" customWidth="1"/>
    <col min="10072" max="10075" width="9.28515625" style="1" bestFit="1" customWidth="1"/>
    <col min="10076" max="10261" width="9.140625" style="1"/>
    <col min="10262" max="10262" width="5.140625" style="1" customWidth="1"/>
    <col min="10263" max="10263" width="36.7109375" style="1" customWidth="1"/>
    <col min="10264" max="10264" width="9.28515625" style="1" bestFit="1" customWidth="1"/>
    <col min="10265" max="10265" width="9.7109375" style="1" customWidth="1"/>
    <col min="10266" max="10270" width="9.28515625" style="1" bestFit="1" customWidth="1"/>
    <col min="10271" max="10272" width="9.42578125" style="1" bestFit="1" customWidth="1"/>
    <col min="10273" max="10273" width="9.42578125" style="1" customWidth="1"/>
    <col min="10274" max="10274" width="9.42578125" style="1" bestFit="1" customWidth="1"/>
    <col min="10275" max="10275" width="9.85546875" style="1" bestFit="1" customWidth="1"/>
    <col min="10276" max="10279" width="9.85546875" style="1" customWidth="1"/>
    <col min="10280" max="10280" width="10.28515625" style="1" bestFit="1" customWidth="1"/>
    <col min="10281" max="10284" width="9.7109375" style="1" customWidth="1"/>
    <col min="10285" max="10287" width="9.42578125" style="1" bestFit="1" customWidth="1"/>
    <col min="10288" max="10288" width="9.5703125" style="1" bestFit="1" customWidth="1"/>
    <col min="10289" max="10289" width="10.28515625" style="1" bestFit="1" customWidth="1"/>
    <col min="10290" max="10294" width="9.42578125" style="1" bestFit="1" customWidth="1"/>
    <col min="10295" max="10296" width="9.140625" style="1"/>
    <col min="10297" max="10297" width="17.140625" style="1" customWidth="1"/>
    <col min="10298" max="10300" width="9.140625" style="1"/>
    <col min="10301" max="10301" width="21" style="1" customWidth="1"/>
    <col min="10302" max="10311" width="9.140625" style="1"/>
    <col min="10312" max="10320" width="9.28515625" style="1" bestFit="1" customWidth="1"/>
    <col min="10321" max="10326" width="9.140625" style="1"/>
    <col min="10327" max="10327" width="13" style="1" customWidth="1"/>
    <col min="10328" max="10331" width="9.28515625" style="1" bestFit="1" customWidth="1"/>
    <col min="10332" max="10517" width="9.140625" style="1"/>
    <col min="10518" max="10518" width="5.140625" style="1" customWidth="1"/>
    <col min="10519" max="10519" width="36.7109375" style="1" customWidth="1"/>
    <col min="10520" max="10520" width="9.28515625" style="1" bestFit="1" customWidth="1"/>
    <col min="10521" max="10521" width="9.7109375" style="1" customWidth="1"/>
    <col min="10522" max="10526" width="9.28515625" style="1" bestFit="1" customWidth="1"/>
    <col min="10527" max="10528" width="9.42578125" style="1" bestFit="1" customWidth="1"/>
    <col min="10529" max="10529" width="9.42578125" style="1" customWidth="1"/>
    <col min="10530" max="10530" width="9.42578125" style="1" bestFit="1" customWidth="1"/>
    <col min="10531" max="10531" width="9.85546875" style="1" bestFit="1" customWidth="1"/>
    <col min="10532" max="10535" width="9.85546875" style="1" customWidth="1"/>
    <col min="10536" max="10536" width="10.28515625" style="1" bestFit="1" customWidth="1"/>
    <col min="10537" max="10540" width="9.7109375" style="1" customWidth="1"/>
    <col min="10541" max="10543" width="9.42578125" style="1" bestFit="1" customWidth="1"/>
    <col min="10544" max="10544" width="9.5703125" style="1" bestFit="1" customWidth="1"/>
    <col min="10545" max="10545" width="10.28515625" style="1" bestFit="1" customWidth="1"/>
    <col min="10546" max="10550" width="9.42578125" style="1" bestFit="1" customWidth="1"/>
    <col min="10551" max="10552" width="9.140625" style="1"/>
    <col min="10553" max="10553" width="17.140625" style="1" customWidth="1"/>
    <col min="10554" max="10556" width="9.140625" style="1"/>
    <col min="10557" max="10557" width="21" style="1" customWidth="1"/>
    <col min="10558" max="10567" width="9.140625" style="1"/>
    <col min="10568" max="10576" width="9.28515625" style="1" bestFit="1" customWidth="1"/>
    <col min="10577" max="10582" width="9.140625" style="1"/>
    <col min="10583" max="10583" width="13" style="1" customWidth="1"/>
    <col min="10584" max="10587" width="9.28515625" style="1" bestFit="1" customWidth="1"/>
    <col min="10588" max="10773" width="9.140625" style="1"/>
    <col min="10774" max="10774" width="5.140625" style="1" customWidth="1"/>
    <col min="10775" max="10775" width="36.7109375" style="1" customWidth="1"/>
    <col min="10776" max="10776" width="9.28515625" style="1" bestFit="1" customWidth="1"/>
    <col min="10777" max="10777" width="9.7109375" style="1" customWidth="1"/>
    <col min="10778" max="10782" width="9.28515625" style="1" bestFit="1" customWidth="1"/>
    <col min="10783" max="10784" width="9.42578125" style="1" bestFit="1" customWidth="1"/>
    <col min="10785" max="10785" width="9.42578125" style="1" customWidth="1"/>
    <col min="10786" max="10786" width="9.42578125" style="1" bestFit="1" customWidth="1"/>
    <col min="10787" max="10787" width="9.85546875" style="1" bestFit="1" customWidth="1"/>
    <col min="10788" max="10791" width="9.85546875" style="1" customWidth="1"/>
    <col min="10792" max="10792" width="10.28515625" style="1" bestFit="1" customWidth="1"/>
    <col min="10793" max="10796" width="9.7109375" style="1" customWidth="1"/>
    <col min="10797" max="10799" width="9.42578125" style="1" bestFit="1" customWidth="1"/>
    <col min="10800" max="10800" width="9.5703125" style="1" bestFit="1" customWidth="1"/>
    <col min="10801" max="10801" width="10.28515625" style="1" bestFit="1" customWidth="1"/>
    <col min="10802" max="10806" width="9.42578125" style="1" bestFit="1" customWidth="1"/>
    <col min="10807" max="10808" width="9.140625" style="1"/>
    <col min="10809" max="10809" width="17.140625" style="1" customWidth="1"/>
    <col min="10810" max="10812" width="9.140625" style="1"/>
    <col min="10813" max="10813" width="21" style="1" customWidth="1"/>
    <col min="10814" max="10823" width="9.140625" style="1"/>
    <col min="10824" max="10832" width="9.28515625" style="1" bestFit="1" customWidth="1"/>
    <col min="10833" max="10838" width="9.140625" style="1"/>
    <col min="10839" max="10839" width="13" style="1" customWidth="1"/>
    <col min="10840" max="10843" width="9.28515625" style="1" bestFit="1" customWidth="1"/>
    <col min="10844" max="11029" width="9.140625" style="1"/>
    <col min="11030" max="11030" width="5.140625" style="1" customWidth="1"/>
    <col min="11031" max="11031" width="36.7109375" style="1" customWidth="1"/>
    <col min="11032" max="11032" width="9.28515625" style="1" bestFit="1" customWidth="1"/>
    <col min="11033" max="11033" width="9.7109375" style="1" customWidth="1"/>
    <col min="11034" max="11038" width="9.28515625" style="1" bestFit="1" customWidth="1"/>
    <col min="11039" max="11040" width="9.42578125" style="1" bestFit="1" customWidth="1"/>
    <col min="11041" max="11041" width="9.42578125" style="1" customWidth="1"/>
    <col min="11042" max="11042" width="9.42578125" style="1" bestFit="1" customWidth="1"/>
    <col min="11043" max="11043" width="9.85546875" style="1" bestFit="1" customWidth="1"/>
    <col min="11044" max="11047" width="9.85546875" style="1" customWidth="1"/>
    <col min="11048" max="11048" width="10.28515625" style="1" bestFit="1" customWidth="1"/>
    <col min="11049" max="11052" width="9.7109375" style="1" customWidth="1"/>
    <col min="11053" max="11055" width="9.42578125" style="1" bestFit="1" customWidth="1"/>
    <col min="11056" max="11056" width="9.5703125" style="1" bestFit="1" customWidth="1"/>
    <col min="11057" max="11057" width="10.28515625" style="1" bestFit="1" customWidth="1"/>
    <col min="11058" max="11062" width="9.42578125" style="1" bestFit="1" customWidth="1"/>
    <col min="11063" max="11064" width="9.140625" style="1"/>
    <col min="11065" max="11065" width="17.140625" style="1" customWidth="1"/>
    <col min="11066" max="11068" width="9.140625" style="1"/>
    <col min="11069" max="11069" width="21" style="1" customWidth="1"/>
    <col min="11070" max="11079" width="9.140625" style="1"/>
    <col min="11080" max="11088" width="9.28515625" style="1" bestFit="1" customWidth="1"/>
    <col min="11089" max="11094" width="9.140625" style="1"/>
    <col min="11095" max="11095" width="13" style="1" customWidth="1"/>
    <col min="11096" max="11099" width="9.28515625" style="1" bestFit="1" customWidth="1"/>
    <col min="11100" max="11285" width="9.140625" style="1"/>
    <col min="11286" max="11286" width="5.140625" style="1" customWidth="1"/>
    <col min="11287" max="11287" width="36.7109375" style="1" customWidth="1"/>
    <col min="11288" max="11288" width="9.28515625" style="1" bestFit="1" customWidth="1"/>
    <col min="11289" max="11289" width="9.7109375" style="1" customWidth="1"/>
    <col min="11290" max="11294" width="9.28515625" style="1" bestFit="1" customWidth="1"/>
    <col min="11295" max="11296" width="9.42578125" style="1" bestFit="1" customWidth="1"/>
    <col min="11297" max="11297" width="9.42578125" style="1" customWidth="1"/>
    <col min="11298" max="11298" width="9.42578125" style="1" bestFit="1" customWidth="1"/>
    <col min="11299" max="11299" width="9.85546875" style="1" bestFit="1" customWidth="1"/>
    <col min="11300" max="11303" width="9.85546875" style="1" customWidth="1"/>
    <col min="11304" max="11304" width="10.28515625" style="1" bestFit="1" customWidth="1"/>
    <col min="11305" max="11308" width="9.7109375" style="1" customWidth="1"/>
    <col min="11309" max="11311" width="9.42578125" style="1" bestFit="1" customWidth="1"/>
    <col min="11312" max="11312" width="9.5703125" style="1" bestFit="1" customWidth="1"/>
    <col min="11313" max="11313" width="10.28515625" style="1" bestFit="1" customWidth="1"/>
    <col min="11314" max="11318" width="9.42578125" style="1" bestFit="1" customWidth="1"/>
    <col min="11319" max="11320" width="9.140625" style="1"/>
    <col min="11321" max="11321" width="17.140625" style="1" customWidth="1"/>
    <col min="11322" max="11324" width="9.140625" style="1"/>
    <col min="11325" max="11325" width="21" style="1" customWidth="1"/>
    <col min="11326" max="11335" width="9.140625" style="1"/>
    <col min="11336" max="11344" width="9.28515625" style="1" bestFit="1" customWidth="1"/>
    <col min="11345" max="11350" width="9.140625" style="1"/>
    <col min="11351" max="11351" width="13" style="1" customWidth="1"/>
    <col min="11352" max="11355" width="9.28515625" style="1" bestFit="1" customWidth="1"/>
    <col min="11356" max="11541" width="9.140625" style="1"/>
    <col min="11542" max="11542" width="5.140625" style="1" customWidth="1"/>
    <col min="11543" max="11543" width="36.7109375" style="1" customWidth="1"/>
    <col min="11544" max="11544" width="9.28515625" style="1" bestFit="1" customWidth="1"/>
    <col min="11545" max="11545" width="9.7109375" style="1" customWidth="1"/>
    <col min="11546" max="11550" width="9.28515625" style="1" bestFit="1" customWidth="1"/>
    <col min="11551" max="11552" width="9.42578125" style="1" bestFit="1" customWidth="1"/>
    <col min="11553" max="11553" width="9.42578125" style="1" customWidth="1"/>
    <col min="11554" max="11554" width="9.42578125" style="1" bestFit="1" customWidth="1"/>
    <col min="11555" max="11555" width="9.85546875" style="1" bestFit="1" customWidth="1"/>
    <col min="11556" max="11559" width="9.85546875" style="1" customWidth="1"/>
    <col min="11560" max="11560" width="10.28515625" style="1" bestFit="1" customWidth="1"/>
    <col min="11561" max="11564" width="9.7109375" style="1" customWidth="1"/>
    <col min="11565" max="11567" width="9.42578125" style="1" bestFit="1" customWidth="1"/>
    <col min="11568" max="11568" width="9.5703125" style="1" bestFit="1" customWidth="1"/>
    <col min="11569" max="11569" width="10.28515625" style="1" bestFit="1" customWidth="1"/>
    <col min="11570" max="11574" width="9.42578125" style="1" bestFit="1" customWidth="1"/>
    <col min="11575" max="11576" width="9.140625" style="1"/>
    <col min="11577" max="11577" width="17.140625" style="1" customWidth="1"/>
    <col min="11578" max="11580" width="9.140625" style="1"/>
    <col min="11581" max="11581" width="21" style="1" customWidth="1"/>
    <col min="11582" max="11591" width="9.140625" style="1"/>
    <col min="11592" max="11600" width="9.28515625" style="1" bestFit="1" customWidth="1"/>
    <col min="11601" max="11606" width="9.140625" style="1"/>
    <col min="11607" max="11607" width="13" style="1" customWidth="1"/>
    <col min="11608" max="11611" width="9.28515625" style="1" bestFit="1" customWidth="1"/>
    <col min="11612" max="11797" width="9.140625" style="1"/>
    <col min="11798" max="11798" width="5.140625" style="1" customWidth="1"/>
    <col min="11799" max="11799" width="36.7109375" style="1" customWidth="1"/>
    <col min="11800" max="11800" width="9.28515625" style="1" bestFit="1" customWidth="1"/>
    <col min="11801" max="11801" width="9.7109375" style="1" customWidth="1"/>
    <col min="11802" max="11806" width="9.28515625" style="1" bestFit="1" customWidth="1"/>
    <col min="11807" max="11808" width="9.42578125" style="1" bestFit="1" customWidth="1"/>
    <col min="11809" max="11809" width="9.42578125" style="1" customWidth="1"/>
    <col min="11810" max="11810" width="9.42578125" style="1" bestFit="1" customWidth="1"/>
    <col min="11811" max="11811" width="9.85546875" style="1" bestFit="1" customWidth="1"/>
    <col min="11812" max="11815" width="9.85546875" style="1" customWidth="1"/>
    <col min="11816" max="11816" width="10.28515625" style="1" bestFit="1" customWidth="1"/>
    <col min="11817" max="11820" width="9.7109375" style="1" customWidth="1"/>
    <col min="11821" max="11823" width="9.42578125" style="1" bestFit="1" customWidth="1"/>
    <col min="11824" max="11824" width="9.5703125" style="1" bestFit="1" customWidth="1"/>
    <col min="11825" max="11825" width="10.28515625" style="1" bestFit="1" customWidth="1"/>
    <col min="11826" max="11830" width="9.42578125" style="1" bestFit="1" customWidth="1"/>
    <col min="11831" max="11832" width="9.140625" style="1"/>
    <col min="11833" max="11833" width="17.140625" style="1" customWidth="1"/>
    <col min="11834" max="11836" width="9.140625" style="1"/>
    <col min="11837" max="11837" width="21" style="1" customWidth="1"/>
    <col min="11838" max="11847" width="9.140625" style="1"/>
    <col min="11848" max="11856" width="9.28515625" style="1" bestFit="1" customWidth="1"/>
    <col min="11857" max="11862" width="9.140625" style="1"/>
    <col min="11863" max="11863" width="13" style="1" customWidth="1"/>
    <col min="11864" max="11867" width="9.28515625" style="1" bestFit="1" customWidth="1"/>
    <col min="11868" max="12053" width="9.140625" style="1"/>
    <col min="12054" max="12054" width="5.140625" style="1" customWidth="1"/>
    <col min="12055" max="12055" width="36.7109375" style="1" customWidth="1"/>
    <col min="12056" max="12056" width="9.28515625" style="1" bestFit="1" customWidth="1"/>
    <col min="12057" max="12057" width="9.7109375" style="1" customWidth="1"/>
    <col min="12058" max="12062" width="9.28515625" style="1" bestFit="1" customWidth="1"/>
    <col min="12063" max="12064" width="9.42578125" style="1" bestFit="1" customWidth="1"/>
    <col min="12065" max="12065" width="9.42578125" style="1" customWidth="1"/>
    <col min="12066" max="12066" width="9.42578125" style="1" bestFit="1" customWidth="1"/>
    <col min="12067" max="12067" width="9.85546875" style="1" bestFit="1" customWidth="1"/>
    <col min="12068" max="12071" width="9.85546875" style="1" customWidth="1"/>
    <col min="12072" max="12072" width="10.28515625" style="1" bestFit="1" customWidth="1"/>
    <col min="12073" max="12076" width="9.7109375" style="1" customWidth="1"/>
    <col min="12077" max="12079" width="9.42578125" style="1" bestFit="1" customWidth="1"/>
    <col min="12080" max="12080" width="9.5703125" style="1" bestFit="1" customWidth="1"/>
    <col min="12081" max="12081" width="10.28515625" style="1" bestFit="1" customWidth="1"/>
    <col min="12082" max="12086" width="9.42578125" style="1" bestFit="1" customWidth="1"/>
    <col min="12087" max="12088" width="9.140625" style="1"/>
    <col min="12089" max="12089" width="17.140625" style="1" customWidth="1"/>
    <col min="12090" max="12092" width="9.140625" style="1"/>
    <col min="12093" max="12093" width="21" style="1" customWidth="1"/>
    <col min="12094" max="12103" width="9.140625" style="1"/>
    <col min="12104" max="12112" width="9.28515625" style="1" bestFit="1" customWidth="1"/>
    <col min="12113" max="12118" width="9.140625" style="1"/>
    <col min="12119" max="12119" width="13" style="1" customWidth="1"/>
    <col min="12120" max="12123" width="9.28515625" style="1" bestFit="1" customWidth="1"/>
    <col min="12124" max="12309" width="9.140625" style="1"/>
    <col min="12310" max="12310" width="5.140625" style="1" customWidth="1"/>
    <col min="12311" max="12311" width="36.7109375" style="1" customWidth="1"/>
    <col min="12312" max="12312" width="9.28515625" style="1" bestFit="1" customWidth="1"/>
    <col min="12313" max="12313" width="9.7109375" style="1" customWidth="1"/>
    <col min="12314" max="12318" width="9.28515625" style="1" bestFit="1" customWidth="1"/>
    <col min="12319" max="12320" width="9.42578125" style="1" bestFit="1" customWidth="1"/>
    <col min="12321" max="12321" width="9.42578125" style="1" customWidth="1"/>
    <col min="12322" max="12322" width="9.42578125" style="1" bestFit="1" customWidth="1"/>
    <col min="12323" max="12323" width="9.85546875" style="1" bestFit="1" customWidth="1"/>
    <col min="12324" max="12327" width="9.85546875" style="1" customWidth="1"/>
    <col min="12328" max="12328" width="10.28515625" style="1" bestFit="1" customWidth="1"/>
    <col min="12329" max="12332" width="9.7109375" style="1" customWidth="1"/>
    <col min="12333" max="12335" width="9.42578125" style="1" bestFit="1" customWidth="1"/>
    <col min="12336" max="12336" width="9.5703125" style="1" bestFit="1" customWidth="1"/>
    <col min="12337" max="12337" width="10.28515625" style="1" bestFit="1" customWidth="1"/>
    <col min="12338" max="12342" width="9.42578125" style="1" bestFit="1" customWidth="1"/>
    <col min="12343" max="12344" width="9.140625" style="1"/>
    <col min="12345" max="12345" width="17.140625" style="1" customWidth="1"/>
    <col min="12346" max="12348" width="9.140625" style="1"/>
    <col min="12349" max="12349" width="21" style="1" customWidth="1"/>
    <col min="12350" max="12359" width="9.140625" style="1"/>
    <col min="12360" max="12368" width="9.28515625" style="1" bestFit="1" customWidth="1"/>
    <col min="12369" max="12374" width="9.140625" style="1"/>
    <col min="12375" max="12375" width="13" style="1" customWidth="1"/>
    <col min="12376" max="12379" width="9.28515625" style="1" bestFit="1" customWidth="1"/>
    <col min="12380" max="12565" width="9.140625" style="1"/>
    <col min="12566" max="12566" width="5.140625" style="1" customWidth="1"/>
    <col min="12567" max="12567" width="36.7109375" style="1" customWidth="1"/>
    <col min="12568" max="12568" width="9.28515625" style="1" bestFit="1" customWidth="1"/>
    <col min="12569" max="12569" width="9.7109375" style="1" customWidth="1"/>
    <col min="12570" max="12574" width="9.28515625" style="1" bestFit="1" customWidth="1"/>
    <col min="12575" max="12576" width="9.42578125" style="1" bestFit="1" customWidth="1"/>
    <col min="12577" max="12577" width="9.42578125" style="1" customWidth="1"/>
    <col min="12578" max="12578" width="9.42578125" style="1" bestFit="1" customWidth="1"/>
    <col min="12579" max="12579" width="9.85546875" style="1" bestFit="1" customWidth="1"/>
    <col min="12580" max="12583" width="9.85546875" style="1" customWidth="1"/>
    <col min="12584" max="12584" width="10.28515625" style="1" bestFit="1" customWidth="1"/>
    <col min="12585" max="12588" width="9.7109375" style="1" customWidth="1"/>
    <col min="12589" max="12591" width="9.42578125" style="1" bestFit="1" customWidth="1"/>
    <col min="12592" max="12592" width="9.5703125" style="1" bestFit="1" customWidth="1"/>
    <col min="12593" max="12593" width="10.28515625" style="1" bestFit="1" customWidth="1"/>
    <col min="12594" max="12598" width="9.42578125" style="1" bestFit="1" customWidth="1"/>
    <col min="12599" max="12600" width="9.140625" style="1"/>
    <col min="12601" max="12601" width="17.140625" style="1" customWidth="1"/>
    <col min="12602" max="12604" width="9.140625" style="1"/>
    <col min="12605" max="12605" width="21" style="1" customWidth="1"/>
    <col min="12606" max="12615" width="9.140625" style="1"/>
    <col min="12616" max="12624" width="9.28515625" style="1" bestFit="1" customWidth="1"/>
    <col min="12625" max="12630" width="9.140625" style="1"/>
    <col min="12631" max="12631" width="13" style="1" customWidth="1"/>
    <col min="12632" max="12635" width="9.28515625" style="1" bestFit="1" customWidth="1"/>
    <col min="12636" max="12821" width="9.140625" style="1"/>
    <col min="12822" max="12822" width="5.140625" style="1" customWidth="1"/>
    <col min="12823" max="12823" width="36.7109375" style="1" customWidth="1"/>
    <col min="12824" max="12824" width="9.28515625" style="1" bestFit="1" customWidth="1"/>
    <col min="12825" max="12825" width="9.7109375" style="1" customWidth="1"/>
    <col min="12826" max="12830" width="9.28515625" style="1" bestFit="1" customWidth="1"/>
    <col min="12831" max="12832" width="9.42578125" style="1" bestFit="1" customWidth="1"/>
    <col min="12833" max="12833" width="9.42578125" style="1" customWidth="1"/>
    <col min="12834" max="12834" width="9.42578125" style="1" bestFit="1" customWidth="1"/>
    <col min="12835" max="12835" width="9.85546875" style="1" bestFit="1" customWidth="1"/>
    <col min="12836" max="12839" width="9.85546875" style="1" customWidth="1"/>
    <col min="12840" max="12840" width="10.28515625" style="1" bestFit="1" customWidth="1"/>
    <col min="12841" max="12844" width="9.7109375" style="1" customWidth="1"/>
    <col min="12845" max="12847" width="9.42578125" style="1" bestFit="1" customWidth="1"/>
    <col min="12848" max="12848" width="9.5703125" style="1" bestFit="1" customWidth="1"/>
    <col min="12849" max="12849" width="10.28515625" style="1" bestFit="1" customWidth="1"/>
    <col min="12850" max="12854" width="9.42578125" style="1" bestFit="1" customWidth="1"/>
    <col min="12855" max="12856" width="9.140625" style="1"/>
    <col min="12857" max="12857" width="17.140625" style="1" customWidth="1"/>
    <col min="12858" max="12860" width="9.140625" style="1"/>
    <col min="12861" max="12861" width="21" style="1" customWidth="1"/>
    <col min="12862" max="12871" width="9.140625" style="1"/>
    <col min="12872" max="12880" width="9.28515625" style="1" bestFit="1" customWidth="1"/>
    <col min="12881" max="12886" width="9.140625" style="1"/>
    <col min="12887" max="12887" width="13" style="1" customWidth="1"/>
    <col min="12888" max="12891" width="9.28515625" style="1" bestFit="1" customWidth="1"/>
    <col min="12892" max="13077" width="9.140625" style="1"/>
    <col min="13078" max="13078" width="5.140625" style="1" customWidth="1"/>
    <col min="13079" max="13079" width="36.7109375" style="1" customWidth="1"/>
    <col min="13080" max="13080" width="9.28515625" style="1" bestFit="1" customWidth="1"/>
    <col min="13081" max="13081" width="9.7109375" style="1" customWidth="1"/>
    <col min="13082" max="13086" width="9.28515625" style="1" bestFit="1" customWidth="1"/>
    <col min="13087" max="13088" width="9.42578125" style="1" bestFit="1" customWidth="1"/>
    <col min="13089" max="13089" width="9.42578125" style="1" customWidth="1"/>
    <col min="13090" max="13090" width="9.42578125" style="1" bestFit="1" customWidth="1"/>
    <col min="13091" max="13091" width="9.85546875" style="1" bestFit="1" customWidth="1"/>
    <col min="13092" max="13095" width="9.85546875" style="1" customWidth="1"/>
    <col min="13096" max="13096" width="10.28515625" style="1" bestFit="1" customWidth="1"/>
    <col min="13097" max="13100" width="9.7109375" style="1" customWidth="1"/>
    <col min="13101" max="13103" width="9.42578125" style="1" bestFit="1" customWidth="1"/>
    <col min="13104" max="13104" width="9.5703125" style="1" bestFit="1" customWidth="1"/>
    <col min="13105" max="13105" width="10.28515625" style="1" bestFit="1" customWidth="1"/>
    <col min="13106" max="13110" width="9.42578125" style="1" bestFit="1" customWidth="1"/>
    <col min="13111" max="13112" width="9.140625" style="1"/>
    <col min="13113" max="13113" width="17.140625" style="1" customWidth="1"/>
    <col min="13114" max="13116" width="9.140625" style="1"/>
    <col min="13117" max="13117" width="21" style="1" customWidth="1"/>
    <col min="13118" max="13127" width="9.140625" style="1"/>
    <col min="13128" max="13136" width="9.28515625" style="1" bestFit="1" customWidth="1"/>
    <col min="13137" max="13142" width="9.140625" style="1"/>
    <col min="13143" max="13143" width="13" style="1" customWidth="1"/>
    <col min="13144" max="13147" width="9.28515625" style="1" bestFit="1" customWidth="1"/>
    <col min="13148" max="13333" width="9.140625" style="1"/>
    <col min="13334" max="13334" width="5.140625" style="1" customWidth="1"/>
    <col min="13335" max="13335" width="36.7109375" style="1" customWidth="1"/>
    <col min="13336" max="13336" width="9.28515625" style="1" bestFit="1" customWidth="1"/>
    <col min="13337" max="13337" width="9.7109375" style="1" customWidth="1"/>
    <col min="13338" max="13342" width="9.28515625" style="1" bestFit="1" customWidth="1"/>
    <col min="13343" max="13344" width="9.42578125" style="1" bestFit="1" customWidth="1"/>
    <col min="13345" max="13345" width="9.42578125" style="1" customWidth="1"/>
    <col min="13346" max="13346" width="9.42578125" style="1" bestFit="1" customWidth="1"/>
    <col min="13347" max="13347" width="9.85546875" style="1" bestFit="1" customWidth="1"/>
    <col min="13348" max="13351" width="9.85546875" style="1" customWidth="1"/>
    <col min="13352" max="13352" width="10.28515625" style="1" bestFit="1" customWidth="1"/>
    <col min="13353" max="13356" width="9.7109375" style="1" customWidth="1"/>
    <col min="13357" max="13359" width="9.42578125" style="1" bestFit="1" customWidth="1"/>
    <col min="13360" max="13360" width="9.5703125" style="1" bestFit="1" customWidth="1"/>
    <col min="13361" max="13361" width="10.28515625" style="1" bestFit="1" customWidth="1"/>
    <col min="13362" max="13366" width="9.42578125" style="1" bestFit="1" customWidth="1"/>
    <col min="13367" max="13368" width="9.140625" style="1"/>
    <col min="13369" max="13369" width="17.140625" style="1" customWidth="1"/>
    <col min="13370" max="13372" width="9.140625" style="1"/>
    <col min="13373" max="13373" width="21" style="1" customWidth="1"/>
    <col min="13374" max="13383" width="9.140625" style="1"/>
    <col min="13384" max="13392" width="9.28515625" style="1" bestFit="1" customWidth="1"/>
    <col min="13393" max="13398" width="9.140625" style="1"/>
    <col min="13399" max="13399" width="13" style="1" customWidth="1"/>
    <col min="13400" max="13403" width="9.28515625" style="1" bestFit="1" customWidth="1"/>
    <col min="13404" max="13589" width="9.140625" style="1"/>
    <col min="13590" max="13590" width="5.140625" style="1" customWidth="1"/>
    <col min="13591" max="13591" width="36.7109375" style="1" customWidth="1"/>
    <col min="13592" max="13592" width="9.28515625" style="1" bestFit="1" customWidth="1"/>
    <col min="13593" max="13593" width="9.7109375" style="1" customWidth="1"/>
    <col min="13594" max="13598" width="9.28515625" style="1" bestFit="1" customWidth="1"/>
    <col min="13599" max="13600" width="9.42578125" style="1" bestFit="1" customWidth="1"/>
    <col min="13601" max="13601" width="9.42578125" style="1" customWidth="1"/>
    <col min="13602" max="13602" width="9.42578125" style="1" bestFit="1" customWidth="1"/>
    <col min="13603" max="13603" width="9.85546875" style="1" bestFit="1" customWidth="1"/>
    <col min="13604" max="13607" width="9.85546875" style="1" customWidth="1"/>
    <col min="13608" max="13608" width="10.28515625" style="1" bestFit="1" customWidth="1"/>
    <col min="13609" max="13612" width="9.7109375" style="1" customWidth="1"/>
    <col min="13613" max="13615" width="9.42578125" style="1" bestFit="1" customWidth="1"/>
    <col min="13616" max="13616" width="9.5703125" style="1" bestFit="1" customWidth="1"/>
    <col min="13617" max="13617" width="10.28515625" style="1" bestFit="1" customWidth="1"/>
    <col min="13618" max="13622" width="9.42578125" style="1" bestFit="1" customWidth="1"/>
    <col min="13623" max="13624" width="9.140625" style="1"/>
    <col min="13625" max="13625" width="17.140625" style="1" customWidth="1"/>
    <col min="13626" max="13628" width="9.140625" style="1"/>
    <col min="13629" max="13629" width="21" style="1" customWidth="1"/>
    <col min="13630" max="13639" width="9.140625" style="1"/>
    <col min="13640" max="13648" width="9.28515625" style="1" bestFit="1" customWidth="1"/>
    <col min="13649" max="13654" width="9.140625" style="1"/>
    <col min="13655" max="13655" width="13" style="1" customWidth="1"/>
    <col min="13656" max="13659" width="9.28515625" style="1" bestFit="1" customWidth="1"/>
    <col min="13660" max="13845" width="9.140625" style="1"/>
    <col min="13846" max="13846" width="5.140625" style="1" customWidth="1"/>
    <col min="13847" max="13847" width="36.7109375" style="1" customWidth="1"/>
    <col min="13848" max="13848" width="9.28515625" style="1" bestFit="1" customWidth="1"/>
    <col min="13849" max="13849" width="9.7109375" style="1" customWidth="1"/>
    <col min="13850" max="13854" width="9.28515625" style="1" bestFit="1" customWidth="1"/>
    <col min="13855" max="13856" width="9.42578125" style="1" bestFit="1" customWidth="1"/>
    <col min="13857" max="13857" width="9.42578125" style="1" customWidth="1"/>
    <col min="13858" max="13858" width="9.42578125" style="1" bestFit="1" customWidth="1"/>
    <col min="13859" max="13859" width="9.85546875" style="1" bestFit="1" customWidth="1"/>
    <col min="13860" max="13863" width="9.85546875" style="1" customWidth="1"/>
    <col min="13864" max="13864" width="10.28515625" style="1" bestFit="1" customWidth="1"/>
    <col min="13865" max="13868" width="9.7109375" style="1" customWidth="1"/>
    <col min="13869" max="13871" width="9.42578125" style="1" bestFit="1" customWidth="1"/>
    <col min="13872" max="13872" width="9.5703125" style="1" bestFit="1" customWidth="1"/>
    <col min="13873" max="13873" width="10.28515625" style="1" bestFit="1" customWidth="1"/>
    <col min="13874" max="13878" width="9.42578125" style="1" bestFit="1" customWidth="1"/>
    <col min="13879" max="13880" width="9.140625" style="1"/>
    <col min="13881" max="13881" width="17.140625" style="1" customWidth="1"/>
    <col min="13882" max="13884" width="9.140625" style="1"/>
    <col min="13885" max="13885" width="21" style="1" customWidth="1"/>
    <col min="13886" max="13895" width="9.140625" style="1"/>
    <col min="13896" max="13904" width="9.28515625" style="1" bestFit="1" customWidth="1"/>
    <col min="13905" max="13910" width="9.140625" style="1"/>
    <col min="13911" max="13911" width="13" style="1" customWidth="1"/>
    <col min="13912" max="13915" width="9.28515625" style="1" bestFit="1" customWidth="1"/>
    <col min="13916" max="14101" width="9.140625" style="1"/>
    <col min="14102" max="14102" width="5.140625" style="1" customWidth="1"/>
    <col min="14103" max="14103" width="36.7109375" style="1" customWidth="1"/>
    <col min="14104" max="14104" width="9.28515625" style="1" bestFit="1" customWidth="1"/>
    <col min="14105" max="14105" width="9.7109375" style="1" customWidth="1"/>
    <col min="14106" max="14110" width="9.28515625" style="1" bestFit="1" customWidth="1"/>
    <col min="14111" max="14112" width="9.42578125" style="1" bestFit="1" customWidth="1"/>
    <col min="14113" max="14113" width="9.42578125" style="1" customWidth="1"/>
    <col min="14114" max="14114" width="9.42578125" style="1" bestFit="1" customWidth="1"/>
    <col min="14115" max="14115" width="9.85546875" style="1" bestFit="1" customWidth="1"/>
    <col min="14116" max="14119" width="9.85546875" style="1" customWidth="1"/>
    <col min="14120" max="14120" width="10.28515625" style="1" bestFit="1" customWidth="1"/>
    <col min="14121" max="14124" width="9.7109375" style="1" customWidth="1"/>
    <col min="14125" max="14127" width="9.42578125" style="1" bestFit="1" customWidth="1"/>
    <col min="14128" max="14128" width="9.5703125" style="1" bestFit="1" customWidth="1"/>
    <col min="14129" max="14129" width="10.28515625" style="1" bestFit="1" customWidth="1"/>
    <col min="14130" max="14134" width="9.42578125" style="1" bestFit="1" customWidth="1"/>
    <col min="14135" max="14136" width="9.140625" style="1"/>
    <col min="14137" max="14137" width="17.140625" style="1" customWidth="1"/>
    <col min="14138" max="14140" width="9.140625" style="1"/>
    <col min="14141" max="14141" width="21" style="1" customWidth="1"/>
    <col min="14142" max="14151" width="9.140625" style="1"/>
    <col min="14152" max="14160" width="9.28515625" style="1" bestFit="1" customWidth="1"/>
    <col min="14161" max="14166" width="9.140625" style="1"/>
    <col min="14167" max="14167" width="13" style="1" customWidth="1"/>
    <col min="14168" max="14171" width="9.28515625" style="1" bestFit="1" customWidth="1"/>
    <col min="14172" max="14357" width="9.140625" style="1"/>
    <col min="14358" max="14358" width="5.140625" style="1" customWidth="1"/>
    <col min="14359" max="14359" width="36.7109375" style="1" customWidth="1"/>
    <col min="14360" max="14360" width="9.28515625" style="1" bestFit="1" customWidth="1"/>
    <col min="14361" max="14361" width="9.7109375" style="1" customWidth="1"/>
    <col min="14362" max="14366" width="9.28515625" style="1" bestFit="1" customWidth="1"/>
    <col min="14367" max="14368" width="9.42578125" style="1" bestFit="1" customWidth="1"/>
    <col min="14369" max="14369" width="9.42578125" style="1" customWidth="1"/>
    <col min="14370" max="14370" width="9.42578125" style="1" bestFit="1" customWidth="1"/>
    <col min="14371" max="14371" width="9.85546875" style="1" bestFit="1" customWidth="1"/>
    <col min="14372" max="14375" width="9.85546875" style="1" customWidth="1"/>
    <col min="14376" max="14376" width="10.28515625" style="1" bestFit="1" customWidth="1"/>
    <col min="14377" max="14380" width="9.7109375" style="1" customWidth="1"/>
    <col min="14381" max="14383" width="9.42578125" style="1" bestFit="1" customWidth="1"/>
    <col min="14384" max="14384" width="9.5703125" style="1" bestFit="1" customWidth="1"/>
    <col min="14385" max="14385" width="10.28515625" style="1" bestFit="1" customWidth="1"/>
    <col min="14386" max="14390" width="9.42578125" style="1" bestFit="1" customWidth="1"/>
    <col min="14391" max="14392" width="9.140625" style="1"/>
    <col min="14393" max="14393" width="17.140625" style="1" customWidth="1"/>
    <col min="14394" max="14396" width="9.140625" style="1"/>
    <col min="14397" max="14397" width="21" style="1" customWidth="1"/>
    <col min="14398" max="14407" width="9.140625" style="1"/>
    <col min="14408" max="14416" width="9.28515625" style="1" bestFit="1" customWidth="1"/>
    <col min="14417" max="14422" width="9.140625" style="1"/>
    <col min="14423" max="14423" width="13" style="1" customWidth="1"/>
    <col min="14424" max="14427" width="9.28515625" style="1" bestFit="1" customWidth="1"/>
    <col min="14428" max="14613" width="9.140625" style="1"/>
    <col min="14614" max="14614" width="5.140625" style="1" customWidth="1"/>
    <col min="14615" max="14615" width="36.7109375" style="1" customWidth="1"/>
    <col min="14616" max="14616" width="9.28515625" style="1" bestFit="1" customWidth="1"/>
    <col min="14617" max="14617" width="9.7109375" style="1" customWidth="1"/>
    <col min="14618" max="14622" width="9.28515625" style="1" bestFit="1" customWidth="1"/>
    <col min="14623" max="14624" width="9.42578125" style="1" bestFit="1" customWidth="1"/>
    <col min="14625" max="14625" width="9.42578125" style="1" customWidth="1"/>
    <col min="14626" max="14626" width="9.42578125" style="1" bestFit="1" customWidth="1"/>
    <col min="14627" max="14627" width="9.85546875" style="1" bestFit="1" customWidth="1"/>
    <col min="14628" max="14631" width="9.85546875" style="1" customWidth="1"/>
    <col min="14632" max="14632" width="10.28515625" style="1" bestFit="1" customWidth="1"/>
    <col min="14633" max="14636" width="9.7109375" style="1" customWidth="1"/>
    <col min="14637" max="14639" width="9.42578125" style="1" bestFit="1" customWidth="1"/>
    <col min="14640" max="14640" width="9.5703125" style="1" bestFit="1" customWidth="1"/>
    <col min="14641" max="14641" width="10.28515625" style="1" bestFit="1" customWidth="1"/>
    <col min="14642" max="14646" width="9.42578125" style="1" bestFit="1" customWidth="1"/>
    <col min="14647" max="14648" width="9.140625" style="1"/>
    <col min="14649" max="14649" width="17.140625" style="1" customWidth="1"/>
    <col min="14650" max="14652" width="9.140625" style="1"/>
    <col min="14653" max="14653" width="21" style="1" customWidth="1"/>
    <col min="14654" max="14663" width="9.140625" style="1"/>
    <col min="14664" max="14672" width="9.28515625" style="1" bestFit="1" customWidth="1"/>
    <col min="14673" max="14678" width="9.140625" style="1"/>
    <col min="14679" max="14679" width="13" style="1" customWidth="1"/>
    <col min="14680" max="14683" width="9.28515625" style="1" bestFit="1" customWidth="1"/>
    <col min="14684" max="14869" width="9.140625" style="1"/>
    <col min="14870" max="14870" width="5.140625" style="1" customWidth="1"/>
    <col min="14871" max="14871" width="36.7109375" style="1" customWidth="1"/>
    <col min="14872" max="14872" width="9.28515625" style="1" bestFit="1" customWidth="1"/>
    <col min="14873" max="14873" width="9.7109375" style="1" customWidth="1"/>
    <col min="14874" max="14878" width="9.28515625" style="1" bestFit="1" customWidth="1"/>
    <col min="14879" max="14880" width="9.42578125" style="1" bestFit="1" customWidth="1"/>
    <col min="14881" max="14881" width="9.42578125" style="1" customWidth="1"/>
    <col min="14882" max="14882" width="9.42578125" style="1" bestFit="1" customWidth="1"/>
    <col min="14883" max="14883" width="9.85546875" style="1" bestFit="1" customWidth="1"/>
    <col min="14884" max="14887" width="9.85546875" style="1" customWidth="1"/>
    <col min="14888" max="14888" width="10.28515625" style="1" bestFit="1" customWidth="1"/>
    <col min="14889" max="14892" width="9.7109375" style="1" customWidth="1"/>
    <col min="14893" max="14895" width="9.42578125" style="1" bestFit="1" customWidth="1"/>
    <col min="14896" max="14896" width="9.5703125" style="1" bestFit="1" customWidth="1"/>
    <col min="14897" max="14897" width="10.28515625" style="1" bestFit="1" customWidth="1"/>
    <col min="14898" max="14902" width="9.42578125" style="1" bestFit="1" customWidth="1"/>
    <col min="14903" max="14904" width="9.140625" style="1"/>
    <col min="14905" max="14905" width="17.140625" style="1" customWidth="1"/>
    <col min="14906" max="14908" width="9.140625" style="1"/>
    <col min="14909" max="14909" width="21" style="1" customWidth="1"/>
    <col min="14910" max="14919" width="9.140625" style="1"/>
    <col min="14920" max="14928" width="9.28515625" style="1" bestFit="1" customWidth="1"/>
    <col min="14929" max="14934" width="9.140625" style="1"/>
    <col min="14935" max="14935" width="13" style="1" customWidth="1"/>
    <col min="14936" max="14939" width="9.28515625" style="1" bestFit="1" customWidth="1"/>
    <col min="14940" max="15125" width="9.140625" style="1"/>
    <col min="15126" max="15126" width="5.140625" style="1" customWidth="1"/>
    <col min="15127" max="15127" width="36.7109375" style="1" customWidth="1"/>
    <col min="15128" max="15128" width="9.28515625" style="1" bestFit="1" customWidth="1"/>
    <col min="15129" max="15129" width="9.7109375" style="1" customWidth="1"/>
    <col min="15130" max="15134" width="9.28515625" style="1" bestFit="1" customWidth="1"/>
    <col min="15135" max="15136" width="9.42578125" style="1" bestFit="1" customWidth="1"/>
    <col min="15137" max="15137" width="9.42578125" style="1" customWidth="1"/>
    <col min="15138" max="15138" width="9.42578125" style="1" bestFit="1" customWidth="1"/>
    <col min="15139" max="15139" width="9.85546875" style="1" bestFit="1" customWidth="1"/>
    <col min="15140" max="15143" width="9.85546875" style="1" customWidth="1"/>
    <col min="15144" max="15144" width="10.28515625" style="1" bestFit="1" customWidth="1"/>
    <col min="15145" max="15148" width="9.7109375" style="1" customWidth="1"/>
    <col min="15149" max="15151" width="9.42578125" style="1" bestFit="1" customWidth="1"/>
    <col min="15152" max="15152" width="9.5703125" style="1" bestFit="1" customWidth="1"/>
    <col min="15153" max="15153" width="10.28515625" style="1" bestFit="1" customWidth="1"/>
    <col min="15154" max="15158" width="9.42578125" style="1" bestFit="1" customWidth="1"/>
    <col min="15159" max="15160" width="9.140625" style="1"/>
    <col min="15161" max="15161" width="17.140625" style="1" customWidth="1"/>
    <col min="15162" max="15164" width="9.140625" style="1"/>
    <col min="15165" max="15165" width="21" style="1" customWidth="1"/>
    <col min="15166" max="15175" width="9.140625" style="1"/>
    <col min="15176" max="15184" width="9.28515625" style="1" bestFit="1" customWidth="1"/>
    <col min="15185" max="15190" width="9.140625" style="1"/>
    <col min="15191" max="15191" width="13" style="1" customWidth="1"/>
    <col min="15192" max="15195" width="9.28515625" style="1" bestFit="1" customWidth="1"/>
    <col min="15196" max="15381" width="9.140625" style="1"/>
    <col min="15382" max="15382" width="5.140625" style="1" customWidth="1"/>
    <col min="15383" max="15383" width="36.7109375" style="1" customWidth="1"/>
    <col min="15384" max="15384" width="9.28515625" style="1" bestFit="1" customWidth="1"/>
    <col min="15385" max="15385" width="9.7109375" style="1" customWidth="1"/>
    <col min="15386" max="15390" width="9.28515625" style="1" bestFit="1" customWidth="1"/>
    <col min="15391" max="15392" width="9.42578125" style="1" bestFit="1" customWidth="1"/>
    <col min="15393" max="15393" width="9.42578125" style="1" customWidth="1"/>
    <col min="15394" max="15394" width="9.42578125" style="1" bestFit="1" customWidth="1"/>
    <col min="15395" max="15395" width="9.85546875" style="1" bestFit="1" customWidth="1"/>
    <col min="15396" max="15399" width="9.85546875" style="1" customWidth="1"/>
    <col min="15400" max="15400" width="10.28515625" style="1" bestFit="1" customWidth="1"/>
    <col min="15401" max="15404" width="9.7109375" style="1" customWidth="1"/>
    <col min="15405" max="15407" width="9.42578125" style="1" bestFit="1" customWidth="1"/>
    <col min="15408" max="15408" width="9.5703125" style="1" bestFit="1" customWidth="1"/>
    <col min="15409" max="15409" width="10.28515625" style="1" bestFit="1" customWidth="1"/>
    <col min="15410" max="15414" width="9.42578125" style="1" bestFit="1" customWidth="1"/>
    <col min="15415" max="15416" width="9.140625" style="1"/>
    <col min="15417" max="15417" width="17.140625" style="1" customWidth="1"/>
    <col min="15418" max="15420" width="9.140625" style="1"/>
    <col min="15421" max="15421" width="21" style="1" customWidth="1"/>
    <col min="15422" max="15431" width="9.140625" style="1"/>
    <col min="15432" max="15440" width="9.28515625" style="1" bestFit="1" customWidth="1"/>
    <col min="15441" max="15446" width="9.140625" style="1"/>
    <col min="15447" max="15447" width="13" style="1" customWidth="1"/>
    <col min="15448" max="15451" width="9.28515625" style="1" bestFit="1" customWidth="1"/>
    <col min="15452" max="15637" width="9.140625" style="1"/>
    <col min="15638" max="15638" width="5.140625" style="1" customWidth="1"/>
    <col min="15639" max="15639" width="36.7109375" style="1" customWidth="1"/>
    <col min="15640" max="15640" width="9.28515625" style="1" bestFit="1" customWidth="1"/>
    <col min="15641" max="15641" width="9.7109375" style="1" customWidth="1"/>
    <col min="15642" max="15646" width="9.28515625" style="1" bestFit="1" customWidth="1"/>
    <col min="15647" max="15648" width="9.42578125" style="1" bestFit="1" customWidth="1"/>
    <col min="15649" max="15649" width="9.42578125" style="1" customWidth="1"/>
    <col min="15650" max="15650" width="9.42578125" style="1" bestFit="1" customWidth="1"/>
    <col min="15651" max="15651" width="9.85546875" style="1" bestFit="1" customWidth="1"/>
    <col min="15652" max="15655" width="9.85546875" style="1" customWidth="1"/>
    <col min="15656" max="15656" width="10.28515625" style="1" bestFit="1" customWidth="1"/>
    <col min="15657" max="15660" width="9.7109375" style="1" customWidth="1"/>
    <col min="15661" max="15663" width="9.42578125" style="1" bestFit="1" customWidth="1"/>
    <col min="15664" max="15664" width="9.5703125" style="1" bestFit="1" customWidth="1"/>
    <col min="15665" max="15665" width="10.28515625" style="1" bestFit="1" customWidth="1"/>
    <col min="15666" max="15670" width="9.42578125" style="1" bestFit="1" customWidth="1"/>
    <col min="15671" max="15672" width="9.140625" style="1"/>
    <col min="15673" max="15673" width="17.140625" style="1" customWidth="1"/>
    <col min="15674" max="15676" width="9.140625" style="1"/>
    <col min="15677" max="15677" width="21" style="1" customWidth="1"/>
    <col min="15678" max="15687" width="9.140625" style="1"/>
    <col min="15688" max="15696" width="9.28515625" style="1" bestFit="1" customWidth="1"/>
    <col min="15697" max="15702" width="9.140625" style="1"/>
    <col min="15703" max="15703" width="13" style="1" customWidth="1"/>
    <col min="15704" max="15707" width="9.28515625" style="1" bestFit="1" customWidth="1"/>
    <col min="15708" max="15893" width="9.140625" style="1"/>
    <col min="15894" max="15894" width="5.140625" style="1" customWidth="1"/>
    <col min="15895" max="15895" width="36.7109375" style="1" customWidth="1"/>
    <col min="15896" max="15896" width="9.28515625" style="1" bestFit="1" customWidth="1"/>
    <col min="15897" max="15897" width="9.7109375" style="1" customWidth="1"/>
    <col min="15898" max="15902" width="9.28515625" style="1" bestFit="1" customWidth="1"/>
    <col min="15903" max="15904" width="9.42578125" style="1" bestFit="1" customWidth="1"/>
    <col min="15905" max="15905" width="9.42578125" style="1" customWidth="1"/>
    <col min="15906" max="15906" width="9.42578125" style="1" bestFit="1" customWidth="1"/>
    <col min="15907" max="15907" width="9.85546875" style="1" bestFit="1" customWidth="1"/>
    <col min="15908" max="15911" width="9.85546875" style="1" customWidth="1"/>
    <col min="15912" max="15912" width="10.28515625" style="1" bestFit="1" customWidth="1"/>
    <col min="15913" max="15916" width="9.7109375" style="1" customWidth="1"/>
    <col min="15917" max="15919" width="9.42578125" style="1" bestFit="1" customWidth="1"/>
    <col min="15920" max="15920" width="9.5703125" style="1" bestFit="1" customWidth="1"/>
    <col min="15921" max="15921" width="10.28515625" style="1" bestFit="1" customWidth="1"/>
    <col min="15922" max="15926" width="9.42578125" style="1" bestFit="1" customWidth="1"/>
    <col min="15927" max="15928" width="9.140625" style="1"/>
    <col min="15929" max="15929" width="17.140625" style="1" customWidth="1"/>
    <col min="15930" max="15932" width="9.140625" style="1"/>
    <col min="15933" max="15933" width="21" style="1" customWidth="1"/>
    <col min="15934" max="15943" width="9.140625" style="1"/>
    <col min="15944" max="15952" width="9.28515625" style="1" bestFit="1" customWidth="1"/>
    <col min="15953" max="15958" width="9.140625" style="1"/>
    <col min="15959" max="15959" width="13" style="1" customWidth="1"/>
    <col min="15960" max="15963" width="9.28515625" style="1" bestFit="1" customWidth="1"/>
    <col min="15964" max="16149" width="9.140625" style="1"/>
    <col min="16150" max="16150" width="5.140625" style="1" customWidth="1"/>
    <col min="16151" max="16151" width="36.7109375" style="1" customWidth="1"/>
    <col min="16152" max="16152" width="9.28515625" style="1" bestFit="1" customWidth="1"/>
    <col min="16153" max="16153" width="9.7109375" style="1" customWidth="1"/>
    <col min="16154" max="16158" width="9.28515625" style="1" bestFit="1" customWidth="1"/>
    <col min="16159" max="16160" width="9.42578125" style="1" bestFit="1" customWidth="1"/>
    <col min="16161" max="16161" width="9.42578125" style="1" customWidth="1"/>
    <col min="16162" max="16162" width="9.42578125" style="1" bestFit="1" customWidth="1"/>
    <col min="16163" max="16163" width="9.85546875" style="1" bestFit="1" customWidth="1"/>
    <col min="16164" max="16167" width="9.85546875" style="1" customWidth="1"/>
    <col min="16168" max="16168" width="10.28515625" style="1" bestFit="1" customWidth="1"/>
    <col min="16169" max="16172" width="9.7109375" style="1" customWidth="1"/>
    <col min="16173" max="16175" width="9.42578125" style="1" bestFit="1" customWidth="1"/>
    <col min="16176" max="16176" width="9.5703125" style="1" bestFit="1" customWidth="1"/>
    <col min="16177" max="16177" width="10.28515625" style="1" bestFit="1" customWidth="1"/>
    <col min="16178" max="16182" width="9.42578125" style="1" bestFit="1" customWidth="1"/>
    <col min="16183" max="16184" width="9.140625" style="1"/>
    <col min="16185" max="16185" width="17.140625" style="1" customWidth="1"/>
    <col min="16186" max="16188" width="9.140625" style="1"/>
    <col min="16189" max="16189" width="21" style="1" customWidth="1"/>
    <col min="16190" max="16199" width="9.140625" style="1"/>
    <col min="16200" max="16208" width="9.28515625" style="1" bestFit="1" customWidth="1"/>
    <col min="16209" max="16214" width="9.140625" style="1"/>
    <col min="16215" max="16215" width="13" style="1" customWidth="1"/>
    <col min="16216" max="16219" width="9.28515625" style="1" bestFit="1" customWidth="1"/>
    <col min="16220" max="16384" width="9.140625" style="1"/>
  </cols>
  <sheetData>
    <row r="1" spans="1:57" ht="12.75" customHeight="1">
      <c r="B1" s="215" t="s">
        <v>602</v>
      </c>
      <c r="M1" s="365">
        <f>DCF!C25</f>
        <v>2</v>
      </c>
      <c r="U1" s="1">
        <f>M1</f>
        <v>2</v>
      </c>
      <c r="AH1" s="1010" t="s">
        <v>603</v>
      </c>
      <c r="AI1" s="1010"/>
      <c r="AJ1" s="1010"/>
      <c r="AK1" s="1010"/>
      <c r="AL1" s="1010"/>
      <c r="AM1" s="1010"/>
      <c r="AN1" s="1010"/>
    </row>
    <row r="2" spans="1:57" ht="12.75" customHeight="1"/>
    <row r="3" spans="1:57" s="9" customFormat="1" ht="12.75" customHeight="1">
      <c r="A3" s="366"/>
      <c r="B3" s="367" t="s">
        <v>416</v>
      </c>
      <c r="C3" s="368" t="s">
        <v>0</v>
      </c>
      <c r="D3" s="368" t="s">
        <v>1</v>
      </c>
      <c r="E3" s="368" t="s">
        <v>2</v>
      </c>
      <c r="F3" s="368" t="s">
        <v>3</v>
      </c>
      <c r="G3" s="368" t="s">
        <v>4</v>
      </c>
      <c r="H3" s="368" t="s">
        <v>5</v>
      </c>
      <c r="I3" s="368" t="s">
        <v>6</v>
      </c>
      <c r="J3" s="368" t="s">
        <v>7</v>
      </c>
      <c r="K3" s="368" t="s">
        <v>8</v>
      </c>
      <c r="L3" s="368" t="s">
        <v>9</v>
      </c>
      <c r="M3" s="368" t="s">
        <v>10</v>
      </c>
      <c r="N3" s="368" t="s">
        <v>11</v>
      </c>
      <c r="O3" s="368" t="s">
        <v>417</v>
      </c>
      <c r="P3" s="368" t="s">
        <v>418</v>
      </c>
      <c r="Q3" s="368" t="s">
        <v>419</v>
      </c>
      <c r="R3" s="368" t="s">
        <v>420</v>
      </c>
      <c r="S3" s="368" t="s">
        <v>12</v>
      </c>
      <c r="T3" s="369" t="s">
        <v>421</v>
      </c>
      <c r="U3" s="369" t="s">
        <v>422</v>
      </c>
      <c r="V3" s="369" t="s">
        <v>634</v>
      </c>
      <c r="W3" s="369" t="s">
        <v>676</v>
      </c>
      <c r="X3" s="368" t="s">
        <v>687</v>
      </c>
      <c r="Y3" s="369" t="s">
        <v>715</v>
      </c>
      <c r="Z3" s="369" t="s">
        <v>716</v>
      </c>
      <c r="AA3" s="369" t="s">
        <v>718</v>
      </c>
      <c r="AB3" s="369" t="s">
        <v>717</v>
      </c>
      <c r="AC3" s="368" t="s">
        <v>877</v>
      </c>
      <c r="AD3" s="369" t="s">
        <v>799</v>
      </c>
      <c r="AE3" s="369" t="s">
        <v>866</v>
      </c>
      <c r="AF3" s="369" t="s">
        <v>867</v>
      </c>
      <c r="AG3" s="369" t="s">
        <v>868</v>
      </c>
      <c r="AH3" s="368" t="s">
        <v>876</v>
      </c>
      <c r="AI3" s="369" t="s">
        <v>869</v>
      </c>
      <c r="AJ3" s="369" t="s">
        <v>870</v>
      </c>
      <c r="AK3" s="369" t="s">
        <v>871</v>
      </c>
      <c r="AL3" s="369" t="s">
        <v>872</v>
      </c>
      <c r="AM3" s="368" t="s">
        <v>932</v>
      </c>
      <c r="AN3" s="368" t="s">
        <v>13</v>
      </c>
      <c r="AO3" s="368" t="s">
        <v>14</v>
      </c>
      <c r="AP3" s="368" t="s">
        <v>15</v>
      </c>
      <c r="AQ3" s="368" t="s">
        <v>16</v>
      </c>
      <c r="AR3" s="368" t="s">
        <v>741</v>
      </c>
      <c r="AS3" s="368" t="s">
        <v>742</v>
      </c>
      <c r="AT3" s="368" t="s">
        <v>743</v>
      </c>
      <c r="AU3" s="368" t="s">
        <v>744</v>
      </c>
      <c r="AV3" s="368" t="s">
        <v>745</v>
      </c>
      <c r="AW3" s="368" t="s">
        <v>746</v>
      </c>
      <c r="AX3" s="368" t="s">
        <v>747</v>
      </c>
      <c r="AY3" s="368" t="s">
        <v>748</v>
      </c>
      <c r="AZ3" s="368" t="s">
        <v>749</v>
      </c>
      <c r="BA3" s="368" t="s">
        <v>750</v>
      </c>
      <c r="BB3" s="134"/>
      <c r="BD3" s="289"/>
      <c r="BE3" s="135"/>
    </row>
    <row r="4" spans="1:57" ht="12.75" customHeight="1">
      <c r="B4" s="196"/>
      <c r="C4" s="188"/>
      <c r="D4" s="188"/>
      <c r="E4" s="188"/>
      <c r="F4" s="188"/>
      <c r="G4" s="188"/>
      <c r="H4" s="188"/>
      <c r="I4" s="188"/>
      <c r="J4" s="188"/>
      <c r="K4" s="188"/>
      <c r="L4" s="188"/>
      <c r="M4" s="188"/>
      <c r="N4" s="188"/>
      <c r="O4" s="188"/>
      <c r="P4" s="188"/>
      <c r="Q4" s="188"/>
      <c r="R4" s="188"/>
      <c r="S4" s="188"/>
      <c r="T4" s="188"/>
      <c r="U4" s="188"/>
      <c r="V4" s="188"/>
      <c r="W4" s="188"/>
      <c r="X4" s="188"/>
      <c r="Y4" s="188"/>
      <c r="Z4" s="188"/>
      <c r="AA4" s="188"/>
      <c r="AB4" s="188"/>
      <c r="AC4" s="188"/>
      <c r="AD4" s="188"/>
      <c r="AE4" s="188"/>
      <c r="AF4" s="188"/>
      <c r="AG4" s="188"/>
      <c r="AH4" s="188"/>
      <c r="AI4" s="188"/>
      <c r="AJ4" s="188"/>
      <c r="AK4" s="188"/>
      <c r="AL4" s="188"/>
      <c r="AM4" s="188"/>
      <c r="AN4" s="188"/>
      <c r="AO4" s="188"/>
      <c r="AP4" s="188"/>
      <c r="AQ4" s="188"/>
      <c r="AR4" s="188"/>
      <c r="AS4" s="188"/>
      <c r="AT4" s="188"/>
      <c r="AU4" s="188"/>
      <c r="AV4" s="188"/>
      <c r="AW4" s="188"/>
      <c r="AX4" s="188"/>
      <c r="AY4" s="188"/>
      <c r="AZ4" s="188"/>
      <c r="BA4" s="188"/>
      <c r="BB4" s="188"/>
    </row>
    <row r="5" spans="1:57" ht="12.75" customHeight="1">
      <c r="B5" s="370" t="s">
        <v>507</v>
      </c>
      <c r="C5" s="371"/>
      <c r="D5" s="371"/>
      <c r="E5" s="371"/>
      <c r="F5" s="371"/>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A5" s="371"/>
      <c r="BB5" s="186"/>
    </row>
    <row r="6" spans="1:57" s="116" customFormat="1" ht="12.75" customHeight="1">
      <c r="A6" s="372"/>
      <c r="B6" s="231" t="s">
        <v>426</v>
      </c>
      <c r="C6" s="116">
        <v>868131.28630942095</v>
      </c>
      <c r="D6" s="116">
        <f>C6*(1+D7)</f>
        <v>895525.3153546789</v>
      </c>
      <c r="E6" s="116">
        <f>D6*(1+E7)</f>
        <v>923783.76760316291</v>
      </c>
      <c r="F6" s="116">
        <f t="shared" ref="F6:K6" si="0">E6*(1+F7)</f>
        <v>952933.92007473181</v>
      </c>
      <c r="G6" s="116">
        <f t="shared" si="0"/>
        <v>983003.91052020271</v>
      </c>
      <c r="H6" s="116">
        <f t="shared" si="0"/>
        <v>1014022.764581862</v>
      </c>
      <c r="I6" s="116">
        <f t="shared" si="0"/>
        <v>1046020.4238110301</v>
      </c>
      <c r="J6" s="116">
        <f t="shared" si="0"/>
        <v>1079027.7745697254</v>
      </c>
      <c r="K6" s="116">
        <f t="shared" si="0"/>
        <v>1113076.6778443248</v>
      </c>
      <c r="L6" s="116">
        <v>1148200</v>
      </c>
      <c r="M6" s="116">
        <f>L6*(1+M7)</f>
        <v>1158878.26</v>
      </c>
      <c r="N6" s="116">
        <f>M6*(1+N7)</f>
        <v>1169655.8278180002</v>
      </c>
      <c r="O6" s="116">
        <f>S6</f>
        <v>1180533.6270167078</v>
      </c>
      <c r="P6" s="116">
        <f>S6</f>
        <v>1180533.6270167078</v>
      </c>
      <c r="Q6" s="116">
        <f>S6</f>
        <v>1180533.6270167078</v>
      </c>
      <c r="R6" s="116">
        <f>S6</f>
        <v>1180533.6270167078</v>
      </c>
      <c r="S6" s="116">
        <f>N6*(1+S7)</f>
        <v>1180533.6270167078</v>
      </c>
      <c r="T6" s="116">
        <f>(X6-S6)/4+S6</f>
        <v>1183278.3676995216</v>
      </c>
      <c r="U6" s="116">
        <f>(X6-S6)/4+T6</f>
        <v>1186023.1083823354</v>
      </c>
      <c r="V6" s="116">
        <f>(X6-S6)/4+U6</f>
        <v>1188767.8490651492</v>
      </c>
      <c r="W6" s="116">
        <f>(X6-S6)/4+V6</f>
        <v>1191512.589747963</v>
      </c>
      <c r="X6" s="116">
        <f>S6*(1+X7)</f>
        <v>1191512.5897479632</v>
      </c>
      <c r="Y6" s="116">
        <f>(AC6-X6)/4+X6</f>
        <v>1194282.8565191273</v>
      </c>
      <c r="Z6" s="116">
        <f>(AC6-X6)/4+Y6</f>
        <v>1197053.1232902913</v>
      </c>
      <c r="AA6" s="116">
        <f>(AC6-X6)/4+Z6</f>
        <v>1199823.3900614553</v>
      </c>
      <c r="AB6" s="116">
        <f>(AC6-X6)/4+AA6</f>
        <v>1202593.6568326193</v>
      </c>
      <c r="AC6" s="116">
        <f>X6*(1+AC7)</f>
        <v>1202593.6568326193</v>
      </c>
      <c r="AD6" s="116">
        <f>(AH6-AC6)/4+AC6</f>
        <v>1205389.6870847552</v>
      </c>
      <c r="AE6" s="116">
        <f>(AH6-AC6)/4+AD6</f>
        <v>1208185.717336891</v>
      </c>
      <c r="AF6" s="116">
        <f>(AH6-AC6)/4+AE6</f>
        <v>1210981.7475890268</v>
      </c>
      <c r="AG6" s="116">
        <f>(AH6-AC6)/4+AF6</f>
        <v>1213777.7778411626</v>
      </c>
      <c r="AH6" s="116">
        <f>AC6*(1+AH7)</f>
        <v>1213777.7778411629</v>
      </c>
      <c r="AI6" s="696">
        <f>(AM6-AH6)/4+AH6</f>
        <v>1216599.8111746437</v>
      </c>
      <c r="AJ6" s="696">
        <f>(AM6-AH6)/4+AI6</f>
        <v>1219421.8445081245</v>
      </c>
      <c r="AK6" s="696">
        <f>(AM6-AH6)/4+AJ6</f>
        <v>1222243.8778416053</v>
      </c>
      <c r="AL6" s="696">
        <f>(AM6-AH6)/4+AK6</f>
        <v>1225065.9111750862</v>
      </c>
      <c r="AM6" s="116">
        <f>AH6*(1+AM7)</f>
        <v>1225065.9111750857</v>
      </c>
      <c r="AN6" s="116">
        <f>AM6*(1+AN7)</f>
        <v>1236459.0241490141</v>
      </c>
      <c r="AO6" s="116">
        <f>AN6*(1+AO7)</f>
        <v>1247958.0930736</v>
      </c>
      <c r="AP6" s="116">
        <f>AO6*(1+AP7)</f>
        <v>1259564.1033391845</v>
      </c>
      <c r="AQ6" s="116">
        <f>AP6*(1+AQ7)</f>
        <v>1271278.0495002391</v>
      </c>
      <c r="AR6" s="116">
        <f t="shared" ref="AR6:BA6" si="1">AQ6*(1+AR7)</f>
        <v>1283100.9353605914</v>
      </c>
      <c r="AS6" s="116">
        <f t="shared" si="1"/>
        <v>1295033.7740594449</v>
      </c>
      <c r="AT6" s="116">
        <f t="shared" si="1"/>
        <v>1307077.5881581979</v>
      </c>
      <c r="AU6" s="116">
        <f t="shared" si="1"/>
        <v>1319233.4097280693</v>
      </c>
      <c r="AV6" s="116">
        <f t="shared" si="1"/>
        <v>1331502.2804385405</v>
      </c>
      <c r="AW6" s="116">
        <f t="shared" si="1"/>
        <v>1343885.2516466191</v>
      </c>
      <c r="AX6" s="116">
        <f t="shared" si="1"/>
        <v>1356383.3844869328</v>
      </c>
      <c r="AY6" s="116">
        <f t="shared" si="1"/>
        <v>1368997.7499626614</v>
      </c>
      <c r="AZ6" s="116">
        <f t="shared" si="1"/>
        <v>1381729.4290373144</v>
      </c>
      <c r="BA6" s="116">
        <f t="shared" si="1"/>
        <v>1394579.5127273614</v>
      </c>
      <c r="BC6" s="270" t="s">
        <v>626</v>
      </c>
    </row>
    <row r="7" spans="1:57" s="217" customFormat="1" ht="12.75" customHeight="1">
      <c r="A7" s="373"/>
      <c r="B7" s="216" t="s">
        <v>427</v>
      </c>
      <c r="D7" s="217">
        <f>(L6/C6)^(1/9)-1</f>
        <v>3.1555168529537436E-2</v>
      </c>
      <c r="E7" s="217">
        <f>D7</f>
        <v>3.1555168529537436E-2</v>
      </c>
      <c r="F7" s="217">
        <f t="shared" ref="F7:K7" si="2">E7</f>
        <v>3.1555168529537436E-2</v>
      </c>
      <c r="G7" s="217">
        <f t="shared" si="2"/>
        <v>3.1555168529537436E-2</v>
      </c>
      <c r="H7" s="217">
        <f t="shared" si="2"/>
        <v>3.1555168529537436E-2</v>
      </c>
      <c r="I7" s="217">
        <f t="shared" si="2"/>
        <v>3.1555168529537436E-2</v>
      </c>
      <c r="J7" s="217">
        <f t="shared" si="2"/>
        <v>3.1555168529537436E-2</v>
      </c>
      <c r="K7" s="217">
        <f t="shared" si="2"/>
        <v>3.1555168529537436E-2</v>
      </c>
      <c r="L7" s="217">
        <f>L6/K6-1</f>
        <v>3.1555168529537214E-2</v>
      </c>
      <c r="M7" s="217">
        <v>9.2999999999999992E-3</v>
      </c>
      <c r="N7" s="217">
        <f>M7</f>
        <v>9.2999999999999992E-3</v>
      </c>
      <c r="O7" s="217">
        <v>9.2999999999999992E-3</v>
      </c>
      <c r="P7" s="217">
        <v>9.2999999999999992E-3</v>
      </c>
      <c r="Q7" s="217">
        <v>9.2999999999999992E-3</v>
      </c>
      <c r="R7" s="217">
        <v>9.2999999999999992E-3</v>
      </c>
      <c r="S7" s="217">
        <f>N7</f>
        <v>9.2999999999999992E-3</v>
      </c>
      <c r="X7" s="217">
        <f>S7</f>
        <v>9.2999999999999992E-3</v>
      </c>
      <c r="AC7" s="217">
        <v>9.2999999999999992E-3</v>
      </c>
      <c r="AH7" s="217">
        <v>9.2999999999999992E-3</v>
      </c>
      <c r="AM7" s="217">
        <v>9.2999999999999992E-3</v>
      </c>
      <c r="AN7" s="217">
        <v>9.2999999999999992E-3</v>
      </c>
      <c r="AO7" s="217">
        <v>9.2999999999999992E-3</v>
      </c>
      <c r="AP7" s="217">
        <v>9.2999999999999992E-3</v>
      </c>
      <c r="AQ7" s="217">
        <v>9.2999999999999992E-3</v>
      </c>
      <c r="AR7" s="217">
        <v>9.2999999999999992E-3</v>
      </c>
      <c r="AS7" s="217">
        <v>9.2999999999999992E-3</v>
      </c>
      <c r="AT7" s="217">
        <v>9.2999999999999992E-3</v>
      </c>
      <c r="AU7" s="217">
        <v>9.2999999999999992E-3</v>
      </c>
      <c r="AV7" s="217">
        <v>9.2999999999999992E-3</v>
      </c>
      <c r="AW7" s="217">
        <v>9.2999999999999992E-3</v>
      </c>
      <c r="AX7" s="217">
        <v>9.2999999999999992E-3</v>
      </c>
      <c r="AY7" s="217">
        <v>9.2999999999999992E-3</v>
      </c>
      <c r="AZ7" s="217">
        <v>9.2999999999999992E-3</v>
      </c>
      <c r="BA7" s="217">
        <v>9.2999999999999992E-3</v>
      </c>
    </row>
    <row r="8" spans="1:57" s="217" customFormat="1" ht="12.75" customHeight="1">
      <c r="A8" s="373"/>
      <c r="B8" s="216"/>
    </row>
    <row r="9" spans="1:57" s="12" customFormat="1" ht="12.75" customHeight="1">
      <c r="A9" s="374"/>
      <c r="B9" s="194" t="s">
        <v>428</v>
      </c>
      <c r="G9" s="12">
        <f t="shared" ref="G9:AP9" si="3">+G13*G6</f>
        <v>712677.83512714691</v>
      </c>
      <c r="H9" s="12">
        <f t="shared" si="3"/>
        <v>735166.5043218499</v>
      </c>
      <c r="I9" s="12">
        <f t="shared" si="3"/>
        <v>758364.80726299679</v>
      </c>
      <c r="J9" s="12">
        <f t="shared" si="3"/>
        <v>809270.83092729398</v>
      </c>
      <c r="K9" s="12">
        <f t="shared" si="3"/>
        <v>912722.87583234627</v>
      </c>
      <c r="L9" s="12">
        <f t="shared" si="3"/>
        <v>941524</v>
      </c>
      <c r="M9" s="12">
        <f t="shared" si="3"/>
        <v>950280.17319999996</v>
      </c>
      <c r="N9" s="12">
        <f t="shared" si="3"/>
        <v>959117.77881076012</v>
      </c>
      <c r="O9" s="12">
        <f t="shared" si="3"/>
        <v>968037.57415370038</v>
      </c>
      <c r="P9" s="12">
        <f t="shared" si="3"/>
        <v>968037.57415370038</v>
      </c>
      <c r="Q9" s="12">
        <f t="shared" si="3"/>
        <v>968037.57415370038</v>
      </c>
      <c r="R9" s="12">
        <f t="shared" si="3"/>
        <v>968037.57415370038</v>
      </c>
      <c r="S9" s="12">
        <f t="shared" si="3"/>
        <v>968037.57415370038</v>
      </c>
      <c r="T9" s="12">
        <f t="shared" si="3"/>
        <v>976204.65335210529</v>
      </c>
      <c r="U9" s="12">
        <f t="shared" si="3"/>
        <v>978469.06441542669</v>
      </c>
      <c r="V9" s="12">
        <f t="shared" si="3"/>
        <v>980733.47547874809</v>
      </c>
      <c r="W9" s="12">
        <f t="shared" si="3"/>
        <v>982997.88654206938</v>
      </c>
      <c r="X9" s="12">
        <f t="shared" si="3"/>
        <v>982997.88654206961</v>
      </c>
      <c r="Y9" s="696">
        <f>(AC9-X9)/4+X9</f>
        <v>986786.59869932069</v>
      </c>
      <c r="Z9" s="696">
        <f>(AC9-X9)/4+Y9</f>
        <v>990575.31085657177</v>
      </c>
      <c r="AA9" s="696">
        <f>(AC9-X9)/4+Z9</f>
        <v>994364.02301382285</v>
      </c>
      <c r="AB9" s="696">
        <f>(AC9-X9)/4+AA9</f>
        <v>998152.73517107393</v>
      </c>
      <c r="AC9" s="12">
        <f t="shared" si="3"/>
        <v>998152.73517107405</v>
      </c>
      <c r="AD9" s="116">
        <v>964000</v>
      </c>
      <c r="AE9" s="696">
        <v>1062000</v>
      </c>
      <c r="AF9" s="696">
        <v>1062000</v>
      </c>
      <c r="AG9" s="696">
        <v>1062000</v>
      </c>
      <c r="AH9" s="12">
        <f t="shared" si="3"/>
        <v>1041018.9483391526</v>
      </c>
      <c r="AI9" s="696">
        <v>1062000</v>
      </c>
      <c r="AJ9" s="696">
        <v>1062000</v>
      </c>
      <c r="AK9" s="696">
        <v>1062000</v>
      </c>
      <c r="AL9" s="696">
        <v>1081000</v>
      </c>
      <c r="AM9" s="12">
        <f t="shared" si="3"/>
        <v>1070439.4394473254</v>
      </c>
      <c r="AN9" s="12">
        <f t="shared" si="3"/>
        <v>1083485.6737945583</v>
      </c>
      <c r="AO9" s="12">
        <f t="shared" si="3"/>
        <v>1096681.9857935316</v>
      </c>
      <c r="AP9" s="12">
        <f t="shared" si="3"/>
        <v>1110030.0385197594</v>
      </c>
      <c r="AQ9" s="12">
        <f>+AQ13*AQ6</f>
        <v>1123531.5130017437</v>
      </c>
      <c r="AR9" s="12">
        <f t="shared" ref="AR9:BA9" si="4">+AR13*AR6</f>
        <v>1137188.1084110616</v>
      </c>
      <c r="AS9" s="12">
        <f t="shared" si="4"/>
        <v>1151001.5422544328</v>
      </c>
      <c r="AT9" s="12">
        <f t="shared" si="4"/>
        <v>1164973.5505677948</v>
      </c>
      <c r="AU9" s="12">
        <f t="shared" si="4"/>
        <v>1179105.8881123955</v>
      </c>
      <c r="AV9" s="12">
        <f t="shared" si="4"/>
        <v>1193400.3285729371</v>
      </c>
      <c r="AW9" s="12">
        <f t="shared" si="4"/>
        <v>1207858.6647577821</v>
      </c>
      <c r="AX9" s="12">
        <f t="shared" si="4"/>
        <v>1222482.7088012467</v>
      </c>
      <c r="AY9" s="12">
        <f t="shared" si="4"/>
        <v>1237274.2923680053</v>
      </c>
      <c r="AZ9" s="12">
        <f t="shared" si="4"/>
        <v>1252235.266859621</v>
      </c>
      <c r="BA9" s="12">
        <f t="shared" si="4"/>
        <v>1267367.5036232339</v>
      </c>
    </row>
    <row r="10" spans="1:57" s="12" customFormat="1" ht="12.75" hidden="1" customHeight="1" outlineLevel="1">
      <c r="A10" s="375"/>
      <c r="B10" s="376"/>
      <c r="C10" s="377"/>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8"/>
      <c r="AD10" s="378"/>
      <c r="AE10" s="378"/>
      <c r="AF10" s="378"/>
      <c r="AG10" s="378"/>
      <c r="AH10" s="378"/>
      <c r="AI10" s="378"/>
      <c r="AJ10" s="378"/>
      <c r="AK10" s="378"/>
      <c r="AL10" s="378"/>
      <c r="AM10" s="378"/>
      <c r="AN10" s="378">
        <f>AN11+0.5%</f>
        <v>0.88128110000673987</v>
      </c>
      <c r="AO10" s="378">
        <f t="shared" ref="AO10:BA10" si="5">AN10+0.5%</f>
        <v>0.88628110000673987</v>
      </c>
      <c r="AP10" s="378">
        <f t="shared" si="5"/>
        <v>0.89128110000673988</v>
      </c>
      <c r="AQ10" s="378">
        <f t="shared" si="5"/>
        <v>0.89628110000673988</v>
      </c>
      <c r="AR10" s="378">
        <f t="shared" si="5"/>
        <v>0.90128110000673989</v>
      </c>
      <c r="AS10" s="378">
        <f t="shared" si="5"/>
        <v>0.90628110000673989</v>
      </c>
      <c r="AT10" s="378">
        <f t="shared" si="5"/>
        <v>0.9112811000067399</v>
      </c>
      <c r="AU10" s="378">
        <f t="shared" si="5"/>
        <v>0.9162811000067399</v>
      </c>
      <c r="AV10" s="378">
        <f t="shared" si="5"/>
        <v>0.92128110000673991</v>
      </c>
      <c r="AW10" s="378">
        <f t="shared" si="5"/>
        <v>0.92628110000673991</v>
      </c>
      <c r="AX10" s="378">
        <f t="shared" si="5"/>
        <v>0.93128110000673991</v>
      </c>
      <c r="AY10" s="378">
        <f t="shared" si="5"/>
        <v>0.93628110000673992</v>
      </c>
      <c r="AZ10" s="378">
        <f t="shared" si="5"/>
        <v>0.94128110000673992</v>
      </c>
      <c r="BA10" s="378">
        <f t="shared" si="5"/>
        <v>0.94628110000673993</v>
      </c>
    </row>
    <row r="11" spans="1:57" s="12" customFormat="1" ht="12.75" hidden="1" customHeight="1" outlineLevel="1">
      <c r="A11" s="375"/>
      <c r="B11" s="376"/>
      <c r="C11" s="377"/>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8"/>
      <c r="AD11" s="378"/>
      <c r="AE11" s="378"/>
      <c r="AF11" s="378"/>
      <c r="AG11" s="378"/>
      <c r="AH11" s="378"/>
      <c r="AI11" s="378"/>
      <c r="AJ11" s="378"/>
      <c r="AK11" s="378"/>
      <c r="AL11" s="378"/>
      <c r="AM11" s="378"/>
      <c r="AN11" s="378">
        <f>AM13+0.25%</f>
        <v>0.87628110000673987</v>
      </c>
      <c r="AO11" s="378">
        <f t="shared" ref="AO11:BA11" si="6">AN11+0.25%</f>
        <v>0.87878110000673981</v>
      </c>
      <c r="AP11" s="378">
        <f t="shared" si="6"/>
        <v>0.88128110000673976</v>
      </c>
      <c r="AQ11" s="378">
        <f t="shared" si="6"/>
        <v>0.88378110000673971</v>
      </c>
      <c r="AR11" s="378">
        <f t="shared" si="6"/>
        <v>0.88628110000673965</v>
      </c>
      <c r="AS11" s="378">
        <f t="shared" si="6"/>
        <v>0.8887811000067396</v>
      </c>
      <c r="AT11" s="378">
        <f t="shared" si="6"/>
        <v>0.89128110000673955</v>
      </c>
      <c r="AU11" s="378">
        <f t="shared" si="6"/>
        <v>0.89378110000673949</v>
      </c>
      <c r="AV11" s="378">
        <f t="shared" si="6"/>
        <v>0.89628110000673944</v>
      </c>
      <c r="AW11" s="378">
        <f t="shared" si="6"/>
        <v>0.89878110000673939</v>
      </c>
      <c r="AX11" s="378">
        <f t="shared" si="6"/>
        <v>0.90128110000673933</v>
      </c>
      <c r="AY11" s="378">
        <f t="shared" si="6"/>
        <v>0.90378110000673928</v>
      </c>
      <c r="AZ11" s="378">
        <f t="shared" si="6"/>
        <v>0.90628110000673923</v>
      </c>
      <c r="BA11" s="378">
        <f t="shared" si="6"/>
        <v>0.90878110000673917</v>
      </c>
    </row>
    <row r="12" spans="1:57" s="12" customFormat="1" ht="12.75" hidden="1" customHeight="1" outlineLevel="1">
      <c r="A12" s="375"/>
      <c r="B12" s="376"/>
      <c r="C12" s="377"/>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8"/>
      <c r="AD12" s="378"/>
      <c r="AE12" s="378"/>
      <c r="AF12" s="378"/>
      <c r="AG12" s="378"/>
      <c r="AH12" s="378"/>
      <c r="AI12" s="378"/>
      <c r="AJ12" s="378"/>
      <c r="AK12" s="378"/>
      <c r="AL12" s="378"/>
      <c r="AM12" s="378"/>
      <c r="AN12" s="378">
        <f>AN11-0.5%</f>
        <v>0.87128110000673986</v>
      </c>
      <c r="AO12" s="378">
        <f t="shared" ref="AO12:BA12" si="7">AN12</f>
        <v>0.87128110000673986</v>
      </c>
      <c r="AP12" s="378">
        <f t="shared" si="7"/>
        <v>0.87128110000673986</v>
      </c>
      <c r="AQ12" s="378">
        <f t="shared" si="7"/>
        <v>0.87128110000673986</v>
      </c>
      <c r="AR12" s="378">
        <f t="shared" si="7"/>
        <v>0.87128110000673986</v>
      </c>
      <c r="AS12" s="378">
        <f t="shared" si="7"/>
        <v>0.87128110000673986</v>
      </c>
      <c r="AT12" s="378">
        <f t="shared" si="7"/>
        <v>0.87128110000673986</v>
      </c>
      <c r="AU12" s="378">
        <f t="shared" si="7"/>
        <v>0.87128110000673986</v>
      </c>
      <c r="AV12" s="378">
        <f t="shared" si="7"/>
        <v>0.87128110000673986</v>
      </c>
      <c r="AW12" s="378">
        <f t="shared" si="7"/>
        <v>0.87128110000673986</v>
      </c>
      <c r="AX12" s="378">
        <f t="shared" si="7"/>
        <v>0.87128110000673986</v>
      </c>
      <c r="AY12" s="378">
        <f t="shared" si="7"/>
        <v>0.87128110000673986</v>
      </c>
      <c r="AZ12" s="378">
        <f t="shared" si="7"/>
        <v>0.87128110000673986</v>
      </c>
      <c r="BA12" s="378">
        <f t="shared" si="7"/>
        <v>0.87128110000673986</v>
      </c>
    </row>
    <row r="13" spans="1:57" s="217" customFormat="1" ht="12.75" customHeight="1" collapsed="1">
      <c r="A13" s="379" t="s">
        <v>578</v>
      </c>
      <c r="B13" s="380" t="s">
        <v>429</v>
      </c>
      <c r="C13" s="381"/>
      <c r="D13" s="381"/>
      <c r="E13" s="381"/>
      <c r="F13" s="381"/>
      <c r="G13" s="382">
        <v>0.72499999999999998</v>
      </c>
      <c r="H13" s="382">
        <v>0.72499999999999998</v>
      </c>
      <c r="I13" s="382">
        <v>0.72499999999999998</v>
      </c>
      <c r="J13" s="382">
        <v>0.75</v>
      </c>
      <c r="K13" s="382">
        <v>0.82</v>
      </c>
      <c r="L13" s="381">
        <f t="shared" ref="L13:S13" si="8">K13</f>
        <v>0.82</v>
      </c>
      <c r="M13" s="381">
        <f t="shared" si="8"/>
        <v>0.82</v>
      </c>
      <c r="N13" s="381">
        <f t="shared" si="8"/>
        <v>0.82</v>
      </c>
      <c r="O13" s="381">
        <f t="shared" si="8"/>
        <v>0.82</v>
      </c>
      <c r="P13" s="381">
        <f t="shared" si="8"/>
        <v>0.82</v>
      </c>
      <c r="Q13" s="381">
        <f t="shared" si="8"/>
        <v>0.82</v>
      </c>
      <c r="R13" s="381">
        <f t="shared" si="8"/>
        <v>0.82</v>
      </c>
      <c r="S13" s="381">
        <f t="shared" si="8"/>
        <v>0.82</v>
      </c>
      <c r="T13" s="381">
        <f>X13</f>
        <v>0.82499999999999996</v>
      </c>
      <c r="U13" s="381">
        <f>T13</f>
        <v>0.82499999999999996</v>
      </c>
      <c r="V13" s="381">
        <f>U13</f>
        <v>0.82499999999999996</v>
      </c>
      <c r="W13" s="381">
        <f>V13</f>
        <v>0.82499999999999996</v>
      </c>
      <c r="X13" s="382">
        <v>0.82499999999999996</v>
      </c>
      <c r="Y13" s="715">
        <f>Y9/Y6</f>
        <v>0.82625869852592715</v>
      </c>
      <c r="Z13" s="715">
        <f>Z9/Z6</f>
        <v>0.82751157119394803</v>
      </c>
      <c r="AA13" s="715">
        <f>AA9/AA6</f>
        <v>0.82875865835795315</v>
      </c>
      <c r="AB13" s="715">
        <f>AB9/AB6</f>
        <v>0.82999999999999985</v>
      </c>
      <c r="AC13" s="382">
        <v>0.83</v>
      </c>
      <c r="AD13" s="381">
        <f>AD9/AD6</f>
        <v>0.7997413702214774</v>
      </c>
      <c r="AE13" s="381">
        <f>AE9/AE6</f>
        <v>0.87900393520698394</v>
      </c>
      <c r="AF13" s="381">
        <f>AF9/AF6</f>
        <v>0.87697440701675466</v>
      </c>
      <c r="AG13" s="381">
        <f>AG9/AG6</f>
        <v>0.87495422917437482</v>
      </c>
      <c r="AH13" s="382">
        <f>AVERAGE(AD13:AG13)</f>
        <v>0.85766848540489771</v>
      </c>
      <c r="AI13" s="715">
        <f>AI9/AI6</f>
        <v>0.87292467929501361</v>
      </c>
      <c r="AJ13" s="715">
        <f>AJ9/AJ6</f>
        <v>0.87090452314176525</v>
      </c>
      <c r="AK13" s="715">
        <f>AK9/AK6</f>
        <v>0.86889369564723495</v>
      </c>
      <c r="AL13" s="715">
        <f>AL9/AL6</f>
        <v>0.8824015019429462</v>
      </c>
      <c r="AM13" s="382">
        <f>AVERAGE(AI13:AL13)</f>
        <v>0.87378110000673992</v>
      </c>
      <c r="AN13" s="383">
        <f>CHOOSE($U$1,AN10,AN11,AN12)</f>
        <v>0.87628110000673987</v>
      </c>
      <c r="AO13" s="383">
        <f>CHOOSE($U$1,AO10,AO11,AO12)</f>
        <v>0.87878110000673981</v>
      </c>
      <c r="AP13" s="383">
        <f>CHOOSE($U$1,AP10,AP11,AP12)</f>
        <v>0.88128110000673976</v>
      </c>
      <c r="AQ13" s="383">
        <f>CHOOSE($U$1,AQ10,AQ11,AQ12)</f>
        <v>0.88378110000673971</v>
      </c>
      <c r="AR13" s="383">
        <f t="shared" ref="AR13:BA13" si="9">CHOOSE($U$1,AR10,AR11,AR12)</f>
        <v>0.88628110000673965</v>
      </c>
      <c r="AS13" s="383">
        <f t="shared" si="9"/>
        <v>0.8887811000067396</v>
      </c>
      <c r="AT13" s="383">
        <f t="shared" si="9"/>
        <v>0.89128110000673955</v>
      </c>
      <c r="AU13" s="383">
        <f t="shared" si="9"/>
        <v>0.89378110000673949</v>
      </c>
      <c r="AV13" s="383">
        <f t="shared" si="9"/>
        <v>0.89628110000673944</v>
      </c>
      <c r="AW13" s="383">
        <f t="shared" si="9"/>
        <v>0.89878110000673939</v>
      </c>
      <c r="AX13" s="383">
        <f t="shared" si="9"/>
        <v>0.90128110000673933</v>
      </c>
      <c r="AY13" s="383">
        <f t="shared" si="9"/>
        <v>0.90378110000673928</v>
      </c>
      <c r="AZ13" s="383">
        <f t="shared" si="9"/>
        <v>0.90628110000673923</v>
      </c>
      <c r="BA13" s="383">
        <f t="shared" si="9"/>
        <v>0.90878110000673917</v>
      </c>
    </row>
    <row r="14" spans="1:57" s="217" customFormat="1" ht="12.75" hidden="1" customHeight="1" outlineLevel="1">
      <c r="A14" s="373"/>
      <c r="B14" s="219"/>
    </row>
    <row r="15" spans="1:57" ht="12.75" hidden="1" customHeight="1" outlineLevel="1">
      <c r="B15" s="21" t="s">
        <v>430</v>
      </c>
      <c r="G15" s="12">
        <f t="shared" ref="G15:BA15" si="10">+G6-G9</f>
        <v>270326.0753930558</v>
      </c>
      <c r="H15" s="12">
        <f t="shared" si="10"/>
        <v>278856.26026001212</v>
      </c>
      <c r="I15" s="12">
        <f t="shared" si="10"/>
        <v>287655.61654803331</v>
      </c>
      <c r="J15" s="12">
        <f t="shared" si="10"/>
        <v>269756.9436424314</v>
      </c>
      <c r="K15" s="12">
        <f t="shared" si="10"/>
        <v>200353.80201197858</v>
      </c>
      <c r="L15" s="12">
        <f t="shared" si="10"/>
        <v>206676</v>
      </c>
      <c r="M15" s="12">
        <f t="shared" si="10"/>
        <v>208598.08680000005</v>
      </c>
      <c r="N15" s="12">
        <f t="shared" si="10"/>
        <v>210538.0490072401</v>
      </c>
      <c r="O15" s="12">
        <f t="shared" si="10"/>
        <v>212496.05286300741</v>
      </c>
      <c r="P15" s="12">
        <f t="shared" si="10"/>
        <v>212496.05286300741</v>
      </c>
      <c r="Q15" s="12">
        <f t="shared" si="10"/>
        <v>212496.05286300741</v>
      </c>
      <c r="R15" s="12">
        <f t="shared" si="10"/>
        <v>212496.05286300741</v>
      </c>
      <c r="S15" s="12">
        <f t="shared" si="10"/>
        <v>212496.05286300741</v>
      </c>
      <c r="T15" s="12">
        <f t="shared" si="10"/>
        <v>207073.7143474163</v>
      </c>
      <c r="U15" s="12">
        <f t="shared" si="10"/>
        <v>207554.04396690871</v>
      </c>
      <c r="V15" s="12">
        <f t="shared" si="10"/>
        <v>208034.37358640111</v>
      </c>
      <c r="W15" s="12">
        <f t="shared" si="10"/>
        <v>208514.70320589363</v>
      </c>
      <c r="X15" s="12">
        <f t="shared" si="10"/>
        <v>208514.70320589363</v>
      </c>
      <c r="Y15" s="12">
        <f>+Y6-Y9</f>
        <v>207496.25781980657</v>
      </c>
      <c r="Z15" s="12">
        <f>+Z6-Z9</f>
        <v>206477.81243371952</v>
      </c>
      <c r="AA15" s="12">
        <f>+AA6-AA9</f>
        <v>205459.36704763246</v>
      </c>
      <c r="AB15" s="12">
        <f>+AB6-AB9</f>
        <v>204440.92166154541</v>
      </c>
      <c r="AC15" s="12">
        <f t="shared" si="10"/>
        <v>204440.92166154529</v>
      </c>
      <c r="AD15" s="12"/>
      <c r="AE15" s="12"/>
      <c r="AF15" s="12"/>
      <c r="AG15" s="12"/>
      <c r="AH15" s="12">
        <f t="shared" si="10"/>
        <v>172758.82950201025</v>
      </c>
      <c r="AI15" s="692"/>
      <c r="AJ15" s="692"/>
      <c r="AK15" s="692"/>
      <c r="AL15" s="692"/>
      <c r="AM15" s="12">
        <f t="shared" si="10"/>
        <v>154626.47172776028</v>
      </c>
      <c r="AN15" s="12">
        <f t="shared" si="10"/>
        <v>152973.35035445588</v>
      </c>
      <c r="AO15" s="12">
        <f t="shared" si="10"/>
        <v>151276.10728006833</v>
      </c>
      <c r="AP15" s="12">
        <f t="shared" si="10"/>
        <v>149534.06481942511</v>
      </c>
      <c r="AQ15" s="12">
        <f t="shared" si="10"/>
        <v>147746.53649849538</v>
      </c>
      <c r="AR15" s="12">
        <f t="shared" si="10"/>
        <v>145912.82694952982</v>
      </c>
      <c r="AS15" s="12">
        <f t="shared" si="10"/>
        <v>144032.2318050121</v>
      </c>
      <c r="AT15" s="12">
        <f t="shared" si="10"/>
        <v>142104.03759040311</v>
      </c>
      <c r="AU15" s="12">
        <f t="shared" si="10"/>
        <v>140127.52161567379</v>
      </c>
      <c r="AV15" s="12">
        <f t="shared" si="10"/>
        <v>138101.95186560345</v>
      </c>
      <c r="AW15" s="12">
        <f t="shared" si="10"/>
        <v>136026.58688883693</v>
      </c>
      <c r="AX15" s="12">
        <f t="shared" si="10"/>
        <v>133900.67568568606</v>
      </c>
      <c r="AY15" s="12">
        <f t="shared" si="10"/>
        <v>131723.45759465615</v>
      </c>
      <c r="AZ15" s="12">
        <f t="shared" si="10"/>
        <v>129494.16217769333</v>
      </c>
      <c r="BA15" s="12">
        <f t="shared" si="10"/>
        <v>127212.00910412753</v>
      </c>
      <c r="BB15" s="12"/>
    </row>
    <row r="16" spans="1:57" s="77" customFormat="1" ht="12.75" hidden="1" customHeight="1" outlineLevel="1">
      <c r="A16" s="384"/>
      <c r="B16" s="218" t="s">
        <v>431</v>
      </c>
      <c r="G16" s="77">
        <f t="shared" ref="G16:BA16" si="11">G15/G6</f>
        <v>0.27500000000000008</v>
      </c>
      <c r="H16" s="77">
        <f t="shared" si="11"/>
        <v>0.27500000000000008</v>
      </c>
      <c r="I16" s="77">
        <f t="shared" si="11"/>
        <v>0.27500000000000002</v>
      </c>
      <c r="J16" s="77">
        <f t="shared" si="11"/>
        <v>0.25000000000000006</v>
      </c>
      <c r="K16" s="77">
        <f t="shared" si="11"/>
        <v>0.1800000000000001</v>
      </c>
      <c r="L16" s="77">
        <f t="shared" si="11"/>
        <v>0.18</v>
      </c>
      <c r="M16" s="77">
        <f t="shared" si="11"/>
        <v>0.18000000000000005</v>
      </c>
      <c r="N16" s="77">
        <f t="shared" si="11"/>
        <v>0.18000000000000005</v>
      </c>
      <c r="O16" s="77">
        <f t="shared" si="11"/>
        <v>0.18000000000000002</v>
      </c>
      <c r="P16" s="77">
        <f t="shared" si="11"/>
        <v>0.18000000000000002</v>
      </c>
      <c r="Q16" s="77">
        <f t="shared" si="11"/>
        <v>0.18000000000000002</v>
      </c>
      <c r="R16" s="77">
        <f t="shared" si="11"/>
        <v>0.18000000000000002</v>
      </c>
      <c r="S16" s="77">
        <f t="shared" si="11"/>
        <v>0.18000000000000002</v>
      </c>
      <c r="T16" s="77">
        <f t="shared" si="11"/>
        <v>0.17500000000000002</v>
      </c>
      <c r="U16" s="77">
        <f t="shared" si="11"/>
        <v>0.17500000000000002</v>
      </c>
      <c r="V16" s="77">
        <f t="shared" si="11"/>
        <v>0.17499999999999999</v>
      </c>
      <c r="W16" s="77">
        <f t="shared" si="11"/>
        <v>0.1750000000000001</v>
      </c>
      <c r="X16" s="77">
        <f t="shared" si="11"/>
        <v>0.17500000000000004</v>
      </c>
      <c r="Y16" s="77">
        <f>Y15/Y6</f>
        <v>0.17374130147407285</v>
      </c>
      <c r="Z16" s="77">
        <f>Z15/Z6</f>
        <v>0.17248842880605195</v>
      </c>
      <c r="AA16" s="77">
        <f>AA15/AA6</f>
        <v>0.17124134164204682</v>
      </c>
      <c r="AB16" s="77">
        <f>AB15/AB6</f>
        <v>0.1700000000000001</v>
      </c>
      <c r="AC16" s="77">
        <f t="shared" si="11"/>
        <v>0.17</v>
      </c>
      <c r="AH16" s="77">
        <f t="shared" si="11"/>
        <v>0.14233151459510227</v>
      </c>
      <c r="AI16" s="694"/>
      <c r="AJ16" s="694"/>
      <c r="AK16" s="694"/>
      <c r="AL16" s="694"/>
      <c r="AM16" s="77">
        <f t="shared" si="11"/>
        <v>0.12621889999326016</v>
      </c>
      <c r="AN16" s="77">
        <f t="shared" si="11"/>
        <v>0.12371889999326012</v>
      </c>
      <c r="AO16" s="77">
        <f t="shared" si="11"/>
        <v>0.12121889999326013</v>
      </c>
      <c r="AP16" s="77">
        <f t="shared" si="11"/>
        <v>0.1187188999932602</v>
      </c>
      <c r="AQ16" s="77">
        <f t="shared" si="11"/>
        <v>0.11621889999326036</v>
      </c>
      <c r="AR16" s="77">
        <f t="shared" si="11"/>
        <v>0.11371889999326028</v>
      </c>
      <c r="AS16" s="77">
        <f t="shared" si="11"/>
        <v>0.11121889999326048</v>
      </c>
      <c r="AT16" s="77">
        <f t="shared" si="11"/>
        <v>0.10871889999326038</v>
      </c>
      <c r="AU16" s="77">
        <f t="shared" si="11"/>
        <v>0.10621889999326045</v>
      </c>
      <c r="AV16" s="77">
        <f t="shared" si="11"/>
        <v>0.10371889999326063</v>
      </c>
      <c r="AW16" s="77">
        <f t="shared" si="11"/>
        <v>0.10121889999326056</v>
      </c>
      <c r="AX16" s="77">
        <f t="shared" si="11"/>
        <v>9.871889999326075E-2</v>
      </c>
      <c r="AY16" s="77">
        <f t="shared" si="11"/>
        <v>9.6218899993260637E-2</v>
      </c>
      <c r="AZ16" s="77">
        <f t="shared" si="11"/>
        <v>9.3718899993260746E-2</v>
      </c>
      <c r="BA16" s="77">
        <f t="shared" si="11"/>
        <v>9.1218899993260785E-2</v>
      </c>
    </row>
    <row r="17" spans="1:55" s="77" customFormat="1" ht="12.75" customHeight="1" collapsed="1">
      <c r="A17" s="384"/>
      <c r="B17" s="182"/>
      <c r="AI17" s="694"/>
      <c r="AJ17" s="694"/>
      <c r="AK17" s="694"/>
      <c r="AL17" s="694"/>
    </row>
    <row r="18" spans="1:55" s="116" customFormat="1" ht="12.75" customHeight="1">
      <c r="A18" s="372"/>
      <c r="B18" s="231" t="s">
        <v>432</v>
      </c>
      <c r="C18" s="116">
        <f>C6*C19</f>
        <v>329889.88879757997</v>
      </c>
      <c r="D18" s="116">
        <f>D6*D19</f>
        <v>349254.87298832479</v>
      </c>
      <c r="E18" s="116">
        <f>E6*E19</f>
        <v>367204.04762225726</v>
      </c>
      <c r="F18" s="116">
        <f>F6*F19</f>
        <v>382126.50194996747</v>
      </c>
      <c r="G18" s="116">
        <f>G9*G19</f>
        <v>359902.30673920922</v>
      </c>
      <c r="H18" s="116">
        <f>H9*H19</f>
        <v>371259.08468253422</v>
      </c>
      <c r="I18" s="116">
        <f>I9*I19</f>
        <v>409516.99592201831</v>
      </c>
      <c r="J18" s="116">
        <v>484000</v>
      </c>
      <c r="K18" s="116">
        <v>508000</v>
      </c>
      <c r="L18" s="116">
        <v>521750</v>
      </c>
      <c r="M18" s="116">
        <v>554000</v>
      </c>
      <c r="N18" s="116">
        <v>600750</v>
      </c>
      <c r="O18" s="116">
        <v>622000</v>
      </c>
      <c r="P18" s="116">
        <v>634000</v>
      </c>
      <c r="Q18" s="116">
        <v>644000</v>
      </c>
      <c r="R18" s="116">
        <v>679000</v>
      </c>
      <c r="S18" s="116">
        <f>S9*S19</f>
        <v>644750</v>
      </c>
      <c r="T18" s="385">
        <v>670000</v>
      </c>
      <c r="U18" s="385">
        <v>684000</v>
      </c>
      <c r="V18" s="385">
        <v>683000</v>
      </c>
      <c r="W18" s="385">
        <v>693000</v>
      </c>
      <c r="X18" s="116">
        <f>AVERAGE(T18:W18)</f>
        <v>682500</v>
      </c>
      <c r="Y18" s="385">
        <v>697000</v>
      </c>
      <c r="Z18" s="385">
        <v>700000</v>
      </c>
      <c r="AA18" s="385">
        <v>694000</v>
      </c>
      <c r="AB18" s="385">
        <v>676000</v>
      </c>
      <c r="AC18" s="116">
        <f>AVERAGE(Y18:AB18)</f>
        <v>691750</v>
      </c>
      <c r="AD18" s="385">
        <v>697000</v>
      </c>
      <c r="AE18" s="385">
        <v>733000</v>
      </c>
      <c r="AF18" s="385">
        <v>757000</v>
      </c>
      <c r="AG18" s="385">
        <v>783000</v>
      </c>
      <c r="AH18" s="696">
        <f>AVERAGE(AD18:AG18)</f>
        <v>742500</v>
      </c>
      <c r="AI18" s="385">
        <v>802000</v>
      </c>
      <c r="AJ18" s="385">
        <v>838000</v>
      </c>
      <c r="AK18" s="385">
        <v>860000</v>
      </c>
      <c r="AL18" s="385">
        <v>864000</v>
      </c>
      <c r="AM18" s="696">
        <f>AVERAGE(AI18:AL18)</f>
        <v>841000</v>
      </c>
      <c r="AN18" s="116">
        <f t="shared" ref="AN18:AQ18" si="12">AN9*AN19</f>
        <v>856667.3151740476</v>
      </c>
      <c r="AO18" s="116">
        <f t="shared" si="12"/>
        <v>872584.50327265915</v>
      </c>
      <c r="AP18" s="116">
        <f t="shared" si="12"/>
        <v>888755.14701639896</v>
      </c>
      <c r="AQ18" s="116">
        <f t="shared" si="12"/>
        <v>905182.87685132178</v>
      </c>
      <c r="AR18" s="116">
        <f t="shared" ref="AR18:BA18" si="13">AR9*AR19</f>
        <v>921871.37155189295</v>
      </c>
      <c r="AS18" s="116">
        <f t="shared" si="13"/>
        <v>938824.35883122694</v>
      </c>
      <c r="AT18" s="116">
        <f t="shared" si="13"/>
        <v>956045.61595873546</v>
      </c>
      <c r="AU18" s="116">
        <f t="shared" si="13"/>
        <v>973538.97038526332</v>
      </c>
      <c r="AV18" s="116">
        <f t="shared" si="13"/>
        <v>991308.30037581117</v>
      </c>
      <c r="AW18" s="116">
        <f t="shared" si="13"/>
        <v>1009357.5356499261</v>
      </c>
      <c r="AX18" s="116">
        <f t="shared" si="13"/>
        <v>1027690.6580298517</v>
      </c>
      <c r="AY18" s="116">
        <f t="shared" si="13"/>
        <v>1046311.7020965352</v>
      </c>
      <c r="AZ18" s="116">
        <f t="shared" si="13"/>
        <v>1065224.7558535717</v>
      </c>
      <c r="BA18" s="116">
        <f t="shared" si="13"/>
        <v>1084433.9613991929</v>
      </c>
      <c r="BC18" s="116" t="s">
        <v>627</v>
      </c>
    </row>
    <row r="19" spans="1:55" s="217" customFormat="1" ht="12.75" customHeight="1">
      <c r="A19" s="373"/>
      <c r="B19" s="220" t="s">
        <v>433</v>
      </c>
      <c r="C19" s="217">
        <v>0.38</v>
      </c>
      <c r="D19" s="217">
        <v>0.39</v>
      </c>
      <c r="E19" s="217">
        <v>0.39750000000000002</v>
      </c>
      <c r="F19" s="217">
        <v>0.40100000000000002</v>
      </c>
      <c r="G19" s="217">
        <v>0.505</v>
      </c>
      <c r="H19" s="217">
        <v>0.505</v>
      </c>
      <c r="I19" s="217">
        <v>0.54</v>
      </c>
      <c r="J19" s="217">
        <f t="shared" ref="J19:R19" si="14">J18/J9</f>
        <v>0.59806925135978761</v>
      </c>
      <c r="K19" s="217">
        <f t="shared" si="14"/>
        <v>0.55657638638314588</v>
      </c>
      <c r="L19" s="217">
        <f t="shared" si="14"/>
        <v>0.55415475335732278</v>
      </c>
      <c r="M19" s="217">
        <f t="shared" si="14"/>
        <v>0.58298596100815714</v>
      </c>
      <c r="N19" s="217">
        <f t="shared" si="14"/>
        <v>0.62635685968087107</v>
      </c>
      <c r="O19" s="217">
        <f t="shared" si="14"/>
        <v>0.64253704257686362</v>
      </c>
      <c r="P19" s="217">
        <f t="shared" si="14"/>
        <v>0.65493325561693183</v>
      </c>
      <c r="Q19" s="217">
        <f t="shared" si="14"/>
        <v>0.66526343315032188</v>
      </c>
      <c r="R19" s="217">
        <f t="shared" si="14"/>
        <v>0.70141905451718722</v>
      </c>
      <c r="S19" s="217">
        <f>AVERAGE(O19:R19)</f>
        <v>0.66603819646532614</v>
      </c>
      <c r="T19" s="217">
        <f t="shared" ref="T19:AG19" si="15">T18/T9</f>
        <v>0.68633149585934117</v>
      </c>
      <c r="U19" s="217">
        <f t="shared" si="15"/>
        <v>0.69905122693750843</v>
      </c>
      <c r="V19" s="217">
        <f t="shared" si="15"/>
        <v>0.6964175457216768</v>
      </c>
      <c r="W19" s="217">
        <f t="shared" si="15"/>
        <v>0.70498625631616929</v>
      </c>
      <c r="X19" s="217">
        <f t="shared" si="15"/>
        <v>0.69430464637198475</v>
      </c>
      <c r="Y19" s="217">
        <f t="shared" si="15"/>
        <v>0.70633306220282355</v>
      </c>
      <c r="Z19" s="217">
        <f t="shared" si="15"/>
        <v>0.70666005131371079</v>
      </c>
      <c r="AA19" s="217">
        <f t="shared" si="15"/>
        <v>0.69793353735441066</v>
      </c>
      <c r="AB19" s="217">
        <f t="shared" si="15"/>
        <v>0.67725106206730978</v>
      </c>
      <c r="AC19" s="217">
        <f t="shared" si="15"/>
        <v>0.69303021033293122</v>
      </c>
      <c r="AD19" s="217">
        <f t="shared" si="15"/>
        <v>0.72302904564315351</v>
      </c>
      <c r="AE19" s="217">
        <f t="shared" si="15"/>
        <v>0.69020715630885121</v>
      </c>
      <c r="AF19" s="217">
        <f t="shared" si="15"/>
        <v>0.7128060263653484</v>
      </c>
      <c r="AG19" s="217">
        <f t="shared" si="15"/>
        <v>0.73728813559322037</v>
      </c>
      <c r="AH19" s="217">
        <f t="shared" ref="AH19" si="16">AH18/AH9</f>
        <v>0.71324350165248063</v>
      </c>
      <c r="AI19" s="217">
        <f t="shared" ref="AI19:AM19" si="17">AI18/AI9</f>
        <v>0.7551789077212806</v>
      </c>
      <c r="AJ19" s="217">
        <f t="shared" si="17"/>
        <v>0.78907721280602638</v>
      </c>
      <c r="AK19" s="217">
        <f t="shared" si="17"/>
        <v>0.80979284369114879</v>
      </c>
      <c r="AL19" s="217">
        <f t="shared" si="17"/>
        <v>0.79925994449583715</v>
      </c>
      <c r="AM19" s="217">
        <f t="shared" si="17"/>
        <v>0.78565864541969188</v>
      </c>
      <c r="AN19" s="217">
        <f t="shared" ref="AN19:BA19" si="18">AM19+0.5%</f>
        <v>0.79065864541969189</v>
      </c>
      <c r="AO19" s="217">
        <f t="shared" si="18"/>
        <v>0.79565864541969189</v>
      </c>
      <c r="AP19" s="217">
        <f t="shared" si="18"/>
        <v>0.80065864541969189</v>
      </c>
      <c r="AQ19" s="217">
        <f t="shared" si="18"/>
        <v>0.8056586454196919</v>
      </c>
      <c r="AR19" s="217">
        <f t="shared" si="18"/>
        <v>0.8106586454196919</v>
      </c>
      <c r="AS19" s="217">
        <f t="shared" si="18"/>
        <v>0.81565864541969191</v>
      </c>
      <c r="AT19" s="217">
        <f t="shared" si="18"/>
        <v>0.82065864541969191</v>
      </c>
      <c r="AU19" s="217">
        <f t="shared" si="18"/>
        <v>0.82565864541969192</v>
      </c>
      <c r="AV19" s="217">
        <f t="shared" si="18"/>
        <v>0.83065864541969192</v>
      </c>
      <c r="AW19" s="217">
        <f t="shared" si="18"/>
        <v>0.83565864541969193</v>
      </c>
      <c r="AX19" s="217">
        <f t="shared" si="18"/>
        <v>0.84065864541969193</v>
      </c>
      <c r="AY19" s="217">
        <f t="shared" si="18"/>
        <v>0.84565864541969193</v>
      </c>
      <c r="AZ19" s="217">
        <f t="shared" si="18"/>
        <v>0.85065864541969194</v>
      </c>
      <c r="BA19" s="217">
        <f t="shared" si="18"/>
        <v>0.85565864541969194</v>
      </c>
    </row>
    <row r="20" spans="1:55" s="77" customFormat="1" ht="12.75" customHeight="1">
      <c r="A20" s="384"/>
      <c r="B20" s="182"/>
      <c r="G20" s="2"/>
      <c r="H20" s="2"/>
      <c r="I20" s="2"/>
      <c r="L20" s="189"/>
      <c r="AH20" s="116"/>
      <c r="AI20" s="694"/>
      <c r="AJ20" s="694"/>
      <c r="AK20" s="694"/>
      <c r="AL20" s="694"/>
    </row>
    <row r="21" spans="1:55" s="116" customFormat="1" ht="12.75" customHeight="1">
      <c r="A21" s="372"/>
      <c r="B21" s="231" t="s">
        <v>434</v>
      </c>
      <c r="C21" s="116">
        <f t="shared" ref="C21:AP21" si="19">C23*C18</f>
        <v>287004.20325389458</v>
      </c>
      <c r="D21" s="116">
        <f t="shared" si="19"/>
        <v>305598.01386478421</v>
      </c>
      <c r="E21" s="116">
        <f t="shared" si="19"/>
        <v>323139.56190758641</v>
      </c>
      <c r="F21" s="116">
        <f t="shared" si="19"/>
        <v>338181.95422572119</v>
      </c>
      <c r="G21" s="116">
        <f t="shared" si="19"/>
        <v>320313.05299789621</v>
      </c>
      <c r="H21" s="116">
        <f t="shared" si="19"/>
        <v>332276.88079086813</v>
      </c>
      <c r="I21" s="116">
        <f t="shared" si="19"/>
        <v>368565.29632981651</v>
      </c>
      <c r="J21" s="116">
        <f t="shared" si="19"/>
        <v>438020</v>
      </c>
      <c r="K21" s="116">
        <f t="shared" si="19"/>
        <v>462280</v>
      </c>
      <c r="L21" s="116">
        <f t="shared" si="19"/>
        <v>476879.5</v>
      </c>
      <c r="M21" s="116">
        <f t="shared" si="19"/>
        <v>506356</v>
      </c>
      <c r="N21" s="116">
        <f t="shared" si="19"/>
        <v>551477</v>
      </c>
      <c r="O21" s="116">
        <f t="shared" si="19"/>
        <v>571295.09321681224</v>
      </c>
      <c r="P21" s="116">
        <f t="shared" si="19"/>
        <v>582316.86350395333</v>
      </c>
      <c r="Q21" s="116">
        <f t="shared" si="19"/>
        <v>591501.67207657092</v>
      </c>
      <c r="R21" s="116">
        <f t="shared" si="19"/>
        <v>623648.50208073237</v>
      </c>
      <c r="S21" s="116">
        <f t="shared" si="19"/>
        <v>592190.53271951724</v>
      </c>
      <c r="T21" s="116">
        <f t="shared" si="19"/>
        <v>615717.17436537659</v>
      </c>
      <c r="U21" s="116">
        <f t="shared" si="19"/>
        <v>628582.90636704117</v>
      </c>
      <c r="V21" s="116">
        <f t="shared" si="19"/>
        <v>627663.92550977948</v>
      </c>
      <c r="W21" s="116">
        <f t="shared" si="19"/>
        <v>636853.73408239707</v>
      </c>
      <c r="X21" s="116">
        <f t="shared" si="19"/>
        <v>627204.43508114852</v>
      </c>
      <c r="Y21" s="116">
        <f>Y23*Y18</f>
        <v>640878.15751144395</v>
      </c>
      <c r="Z21" s="116">
        <f>Z23*Z18</f>
        <v>643636.60008322925</v>
      </c>
      <c r="AA21" s="116">
        <f>AA23*AA18</f>
        <v>638119.71493965876</v>
      </c>
      <c r="AB21" s="116">
        <f>AB23*AB18</f>
        <v>621569.05950894707</v>
      </c>
      <c r="AC21" s="116">
        <f t="shared" si="19"/>
        <v>636050.88301081979</v>
      </c>
      <c r="AD21" s="116">
        <f t="shared" si="19"/>
        <v>641226.65751144406</v>
      </c>
      <c r="AE21" s="116">
        <f t="shared" si="19"/>
        <v>674345.96837286721</v>
      </c>
      <c r="AF21" s="116">
        <f t="shared" si="19"/>
        <v>696425.50894714938</v>
      </c>
      <c r="AG21" s="116">
        <f t="shared" si="19"/>
        <v>720345.01123595505</v>
      </c>
      <c r="AH21" s="116">
        <f t="shared" si="19"/>
        <v>683085.78651685396</v>
      </c>
      <c r="AI21" s="696">
        <f t="shared" ref="AI21:AL21" si="20">AI23*AI18</f>
        <v>738225.64752392843</v>
      </c>
      <c r="AJ21" s="696">
        <f t="shared" si="20"/>
        <v>771362.95838535158</v>
      </c>
      <c r="AK21" s="696">
        <f t="shared" si="20"/>
        <v>791613.53724511026</v>
      </c>
      <c r="AL21" s="696">
        <f t="shared" si="20"/>
        <v>795295.46067415725</v>
      </c>
      <c r="AM21" s="116">
        <f t="shared" si="19"/>
        <v>774124.40095713688</v>
      </c>
      <c r="AN21" s="116">
        <f t="shared" si="19"/>
        <v>788974.19831712137</v>
      </c>
      <c r="AO21" s="116">
        <f t="shared" si="19"/>
        <v>804069.9161090136</v>
      </c>
      <c r="AP21" s="116">
        <f t="shared" si="19"/>
        <v>819415.23234197765</v>
      </c>
      <c r="AQ21" s="116">
        <f>AQ23*AQ18</f>
        <v>835013.87621646991</v>
      </c>
      <c r="AR21" s="116">
        <f t="shared" ref="AR21:BA21" si="21">AR23*AR18</f>
        <v>850869.62880003708</v>
      </c>
      <c r="AS21" s="116">
        <f t="shared" si="21"/>
        <v>866986.32371168002</v>
      </c>
      <c r="AT21" s="116">
        <f t="shared" si="21"/>
        <v>883367.84781489614</v>
      </c>
      <c r="AU21" s="116">
        <f t="shared" si="21"/>
        <v>900018.14191949565</v>
      </c>
      <c r="AV21" s="116">
        <f t="shared" si="21"/>
        <v>916941.20149231225</v>
      </c>
      <c r="AW21" s="116">
        <f t="shared" si="21"/>
        <v>934141.07737690711</v>
      </c>
      <c r="AX21" s="116">
        <f t="shared" si="21"/>
        <v>951621.87652238039</v>
      </c>
      <c r="AY21" s="116">
        <f t="shared" si="21"/>
        <v>969387.76272140513</v>
      </c>
      <c r="AZ21" s="116">
        <f t="shared" si="21"/>
        <v>987442.95735758881</v>
      </c>
      <c r="BA21" s="116">
        <f t="shared" si="21"/>
        <v>1005791.7401622856</v>
      </c>
    </row>
    <row r="22" spans="1:55" s="116" customFormat="1" ht="12.75" customHeight="1">
      <c r="A22" s="372"/>
      <c r="B22" s="231" t="s">
        <v>435</v>
      </c>
      <c r="C22" s="116">
        <f t="shared" ref="C22:AP22" si="22">C24*C18</f>
        <v>42885.685543685395</v>
      </c>
      <c r="D22" s="116">
        <f t="shared" si="22"/>
        <v>43656.859123540598</v>
      </c>
      <c r="E22" s="116">
        <f t="shared" si="22"/>
        <v>44064.485714670867</v>
      </c>
      <c r="F22" s="116">
        <f t="shared" si="22"/>
        <v>43944.547724246258</v>
      </c>
      <c r="G22" s="116">
        <f t="shared" si="22"/>
        <v>39589.253741313012</v>
      </c>
      <c r="H22" s="116">
        <f t="shared" si="22"/>
        <v>47521.162839364384</v>
      </c>
      <c r="I22" s="116">
        <f t="shared" si="22"/>
        <v>40951.699592201825</v>
      </c>
      <c r="J22" s="116">
        <f t="shared" si="22"/>
        <v>45979.999999999985</v>
      </c>
      <c r="K22" s="116">
        <f t="shared" si="22"/>
        <v>45719.999999999985</v>
      </c>
      <c r="L22" s="116">
        <f t="shared" si="22"/>
        <v>44870.5</v>
      </c>
      <c r="M22" s="116">
        <f t="shared" si="22"/>
        <v>47643.999999999993</v>
      </c>
      <c r="N22" s="116">
        <v>49273</v>
      </c>
      <c r="O22" s="116">
        <f t="shared" si="22"/>
        <v>50704.906783187682</v>
      </c>
      <c r="P22" s="116">
        <f t="shared" si="22"/>
        <v>51683.136496046609</v>
      </c>
      <c r="Q22" s="116">
        <f t="shared" si="22"/>
        <v>52498.327923429046</v>
      </c>
      <c r="R22" s="116">
        <f t="shared" si="22"/>
        <v>55351.497919267582</v>
      </c>
      <c r="S22" s="116">
        <f t="shared" si="22"/>
        <v>52559.467280482728</v>
      </c>
      <c r="T22" s="116">
        <f t="shared" si="22"/>
        <v>54282.825634623383</v>
      </c>
      <c r="U22" s="116">
        <f t="shared" si="22"/>
        <v>55417.0936329588</v>
      </c>
      <c r="V22" s="116">
        <f t="shared" si="22"/>
        <v>55336.074490220555</v>
      </c>
      <c r="W22" s="116">
        <f t="shared" si="22"/>
        <v>56146.265917602992</v>
      </c>
      <c r="X22" s="116">
        <f t="shared" si="22"/>
        <v>55295.564918851429</v>
      </c>
      <c r="Y22" s="116">
        <f>Y24*Y18</f>
        <v>56121.842488555965</v>
      </c>
      <c r="Z22" s="116">
        <f>Z24*Z18</f>
        <v>56363.399916770701</v>
      </c>
      <c r="AA22" s="116">
        <f>AA24*AA18</f>
        <v>55880.285060341237</v>
      </c>
      <c r="AB22" s="116">
        <f>AB24*AB18</f>
        <v>54430.940491052846</v>
      </c>
      <c r="AC22" s="116">
        <f t="shared" si="22"/>
        <v>55699.116989180191</v>
      </c>
      <c r="AD22" s="116">
        <f t="shared" si="22"/>
        <v>55773.342488555965</v>
      </c>
      <c r="AE22" s="116">
        <f t="shared" si="22"/>
        <v>58654.031627132747</v>
      </c>
      <c r="AF22" s="116">
        <f t="shared" si="22"/>
        <v>60574.491052850601</v>
      </c>
      <c r="AG22" s="116">
        <f t="shared" si="22"/>
        <v>62654.988764044938</v>
      </c>
      <c r="AH22" s="116">
        <f t="shared" si="22"/>
        <v>59414.213483146064</v>
      </c>
      <c r="AI22" s="696">
        <f t="shared" ref="AI22:AL22" si="23">AI24*AI18</f>
        <v>63774.352476071574</v>
      </c>
      <c r="AJ22" s="696">
        <f t="shared" si="23"/>
        <v>66637.041614648348</v>
      </c>
      <c r="AK22" s="696">
        <f t="shared" si="23"/>
        <v>68386.462754889712</v>
      </c>
      <c r="AL22" s="696">
        <f t="shared" si="23"/>
        <v>68704.539325842692</v>
      </c>
      <c r="AM22" s="116">
        <f t="shared" si="22"/>
        <v>66875.599042863076</v>
      </c>
      <c r="AN22" s="116">
        <f t="shared" si="22"/>
        <v>67693.116856926208</v>
      </c>
      <c r="AO22" s="116">
        <f t="shared" si="22"/>
        <v>68514.587163645541</v>
      </c>
      <c r="AP22" s="116">
        <f t="shared" si="22"/>
        <v>69339.914674421336</v>
      </c>
      <c r="AQ22" s="116">
        <f>AQ24*AQ18</f>
        <v>70169.000634851822</v>
      </c>
      <c r="AR22" s="116">
        <f t="shared" ref="AR22:BA22" si="24">AR24*AR18</f>
        <v>71001.742751855883</v>
      </c>
      <c r="AS22" s="116">
        <f t="shared" si="24"/>
        <v>71838.035119546927</v>
      </c>
      <c r="AT22" s="116">
        <f t="shared" si="24"/>
        <v>72677.768143839377</v>
      </c>
      <c r="AU22" s="116">
        <f t="shared" si="24"/>
        <v>73520.828465767656</v>
      </c>
      <c r="AV22" s="116">
        <f t="shared" si="24"/>
        <v>74367.098883498897</v>
      </c>
      <c r="AW22" s="116">
        <f t="shared" si="24"/>
        <v>75216.458273018899</v>
      </c>
      <c r="AX22" s="116">
        <f t="shared" si="24"/>
        <v>76068.781507471344</v>
      </c>
      <c r="AY22" s="116">
        <f t="shared" si="24"/>
        <v>76923.939375130052</v>
      </c>
      <c r="AZ22" s="116">
        <f t="shared" si="24"/>
        <v>77781.798495982905</v>
      </c>
      <c r="BA22" s="116">
        <f t="shared" si="24"/>
        <v>78642.221236907295</v>
      </c>
      <c r="BC22" s="270" t="s">
        <v>626</v>
      </c>
    </row>
    <row r="23" spans="1:55" s="2" customFormat="1" ht="12.75" customHeight="1">
      <c r="A23" s="386"/>
      <c r="B23" s="200" t="s">
        <v>436</v>
      </c>
      <c r="C23" s="2">
        <v>0.87</v>
      </c>
      <c r="D23" s="2">
        <f>C23+0.5%</f>
        <v>0.875</v>
      </c>
      <c r="E23" s="2">
        <f t="shared" ref="E23:K23" si="25">D23+0.5%</f>
        <v>0.88</v>
      </c>
      <c r="F23" s="2">
        <f t="shared" si="25"/>
        <v>0.88500000000000001</v>
      </c>
      <c r="G23" s="2">
        <f t="shared" si="25"/>
        <v>0.89</v>
      </c>
      <c r="H23" s="2">
        <f t="shared" si="25"/>
        <v>0.89500000000000002</v>
      </c>
      <c r="I23" s="2">
        <f t="shared" si="25"/>
        <v>0.9</v>
      </c>
      <c r="J23" s="2">
        <f t="shared" si="25"/>
        <v>0.90500000000000003</v>
      </c>
      <c r="K23" s="2">
        <f t="shared" si="25"/>
        <v>0.91</v>
      </c>
      <c r="L23" s="2">
        <f t="shared" ref="L23:AP23" si="26">1-L24</f>
        <v>0.91400000000000003</v>
      </c>
      <c r="M23" s="2">
        <f t="shared" si="26"/>
        <v>0.91400000000000003</v>
      </c>
      <c r="N23" s="2">
        <f t="shared" si="26"/>
        <v>0.91798085726175616</v>
      </c>
      <c r="O23" s="2">
        <f t="shared" si="26"/>
        <v>0.9184808572617561</v>
      </c>
      <c r="P23" s="2">
        <f t="shared" si="26"/>
        <v>0.9184808572617561</v>
      </c>
      <c r="Q23" s="2">
        <f t="shared" si="26"/>
        <v>0.9184808572617561</v>
      </c>
      <c r="R23" s="2">
        <f t="shared" si="26"/>
        <v>0.9184808572617561</v>
      </c>
      <c r="S23" s="2">
        <f t="shared" si="26"/>
        <v>0.9184808572617561</v>
      </c>
      <c r="T23" s="2">
        <f>1-T24</f>
        <v>0.91898085726175616</v>
      </c>
      <c r="U23" s="2">
        <f>1-U24</f>
        <v>0.91898085726175616</v>
      </c>
      <c r="V23" s="2">
        <f>1-V24</f>
        <v>0.91898085726175616</v>
      </c>
      <c r="W23" s="2">
        <f>1-W24</f>
        <v>0.91898085726175616</v>
      </c>
      <c r="X23" s="2">
        <f t="shared" si="26"/>
        <v>0.91898085726175616</v>
      </c>
      <c r="Y23" s="2">
        <f>1-Y24</f>
        <v>0.9194808572617561</v>
      </c>
      <c r="Z23" s="2">
        <f>1-Z24</f>
        <v>0.9194808572617561</v>
      </c>
      <c r="AA23" s="2">
        <f>1-AA24</f>
        <v>0.9194808572617561</v>
      </c>
      <c r="AB23" s="2">
        <f>1-AB24</f>
        <v>0.9194808572617561</v>
      </c>
      <c r="AC23" s="2">
        <f t="shared" si="26"/>
        <v>0.9194808572617561</v>
      </c>
      <c r="AD23" s="2">
        <f>1-AD24</f>
        <v>0.91998085726175616</v>
      </c>
      <c r="AE23" s="2">
        <f>1-AE24</f>
        <v>0.91998085726175616</v>
      </c>
      <c r="AF23" s="2">
        <f>1-AF24</f>
        <v>0.91998085726175616</v>
      </c>
      <c r="AG23" s="2">
        <f>1-AG24</f>
        <v>0.91998085726175616</v>
      </c>
      <c r="AH23" s="2">
        <f t="shared" si="26"/>
        <v>0.91998085726175616</v>
      </c>
      <c r="AI23" s="690">
        <f>1-AI24</f>
        <v>0.9204808572617561</v>
      </c>
      <c r="AJ23" s="690">
        <f>1-AJ24</f>
        <v>0.9204808572617561</v>
      </c>
      <c r="AK23" s="690">
        <f>1-AK24</f>
        <v>0.9204808572617561</v>
      </c>
      <c r="AL23" s="690">
        <f>1-AL24</f>
        <v>0.9204808572617561</v>
      </c>
      <c r="AM23" s="2">
        <f t="shared" si="26"/>
        <v>0.9204808572617561</v>
      </c>
      <c r="AN23" s="2">
        <f t="shared" si="26"/>
        <v>0.92098085726175616</v>
      </c>
      <c r="AO23" s="2">
        <f t="shared" si="26"/>
        <v>0.9214808572617561</v>
      </c>
      <c r="AP23" s="2">
        <f t="shared" si="26"/>
        <v>0.92198085726175616</v>
      </c>
      <c r="AQ23" s="2">
        <f>1-AQ24</f>
        <v>0.9224808572617561</v>
      </c>
      <c r="AR23" s="2">
        <f t="shared" ref="AR23:BA23" si="27">1-AR24</f>
        <v>0.92298085726175616</v>
      </c>
      <c r="AS23" s="2">
        <f t="shared" si="27"/>
        <v>0.92348085726175611</v>
      </c>
      <c r="AT23" s="2">
        <f t="shared" si="27"/>
        <v>0.92398085726175616</v>
      </c>
      <c r="AU23" s="2">
        <f t="shared" si="27"/>
        <v>0.92448085726175611</v>
      </c>
      <c r="AV23" s="2">
        <f t="shared" si="27"/>
        <v>0.92498085726175616</v>
      </c>
      <c r="AW23" s="2">
        <f t="shared" si="27"/>
        <v>0.92548085726175611</v>
      </c>
      <c r="AX23" s="2">
        <f t="shared" si="27"/>
        <v>0.92598085726175616</v>
      </c>
      <c r="AY23" s="2">
        <f t="shared" si="27"/>
        <v>0.92648085726175611</v>
      </c>
      <c r="AZ23" s="2">
        <f t="shared" si="27"/>
        <v>0.92698085726175616</v>
      </c>
      <c r="BA23" s="2">
        <f t="shared" si="27"/>
        <v>0.92748085726175611</v>
      </c>
    </row>
    <row r="24" spans="1:55" s="77" customFormat="1" ht="12.75" customHeight="1">
      <c r="A24" s="384"/>
      <c r="B24" s="182" t="s">
        <v>437</v>
      </c>
      <c r="C24" s="77">
        <f>1-C23</f>
        <v>0.13</v>
      </c>
      <c r="D24" s="77">
        <f>1-D23</f>
        <v>0.125</v>
      </c>
      <c r="E24" s="77">
        <f>1-E23</f>
        <v>0.12</v>
      </c>
      <c r="F24" s="77">
        <f>1-F23</f>
        <v>0.11499999999999999</v>
      </c>
      <c r="G24" s="77">
        <f>1-G23</f>
        <v>0.10999999999999999</v>
      </c>
      <c r="H24" s="77">
        <v>0.128</v>
      </c>
      <c r="I24" s="77">
        <f>1-I23</f>
        <v>9.9999999999999978E-2</v>
      </c>
      <c r="J24" s="77">
        <f>1-J23</f>
        <v>9.4999999999999973E-2</v>
      </c>
      <c r="K24" s="77">
        <f>1-K23</f>
        <v>8.9999999999999969E-2</v>
      </c>
      <c r="L24" s="77">
        <v>8.5999999999999993E-2</v>
      </c>
      <c r="M24" s="77">
        <v>8.5999999999999993E-2</v>
      </c>
      <c r="N24" s="77">
        <f>N22/N18</f>
        <v>8.2019142738243858E-2</v>
      </c>
      <c r="O24" s="119">
        <f>S24</f>
        <v>8.1519142738243858E-2</v>
      </c>
      <c r="P24" s="119">
        <f>S24</f>
        <v>8.1519142738243858E-2</v>
      </c>
      <c r="Q24" s="119">
        <f>S24</f>
        <v>8.1519142738243858E-2</v>
      </c>
      <c r="R24" s="119">
        <f>S24</f>
        <v>8.1519142738243858E-2</v>
      </c>
      <c r="S24" s="77">
        <f>N24-0.05%</f>
        <v>8.1519142738243858E-2</v>
      </c>
      <c r="T24" s="119">
        <f>X24</f>
        <v>8.1019142738243857E-2</v>
      </c>
      <c r="U24" s="119">
        <f>X24</f>
        <v>8.1019142738243857E-2</v>
      </c>
      <c r="V24" s="119">
        <f>X24</f>
        <v>8.1019142738243857E-2</v>
      </c>
      <c r="W24" s="119">
        <f>X24</f>
        <v>8.1019142738243857E-2</v>
      </c>
      <c r="X24" s="77">
        <f>S24-0.05%</f>
        <v>8.1019142738243857E-2</v>
      </c>
      <c r="Y24" s="119">
        <f>AC24</f>
        <v>8.0519142738243857E-2</v>
      </c>
      <c r="Z24" s="119">
        <f>AC24</f>
        <v>8.0519142738243857E-2</v>
      </c>
      <c r="AA24" s="119">
        <f>AC24</f>
        <v>8.0519142738243857E-2</v>
      </c>
      <c r="AB24" s="119">
        <f>AC24</f>
        <v>8.0519142738243857E-2</v>
      </c>
      <c r="AC24" s="77">
        <f>X24-0.05%</f>
        <v>8.0519142738243857E-2</v>
      </c>
      <c r="AD24" s="119">
        <f>AH24</f>
        <v>8.0019142738243856E-2</v>
      </c>
      <c r="AE24" s="119">
        <f>AH24</f>
        <v>8.0019142738243856E-2</v>
      </c>
      <c r="AF24" s="119">
        <f>AH24</f>
        <v>8.0019142738243856E-2</v>
      </c>
      <c r="AG24" s="119">
        <f>AH24</f>
        <v>8.0019142738243856E-2</v>
      </c>
      <c r="AH24" s="77">
        <f>AC24-0.05%</f>
        <v>8.0019142738243856E-2</v>
      </c>
      <c r="AI24" s="119">
        <f>AM24</f>
        <v>7.9519142738243856E-2</v>
      </c>
      <c r="AJ24" s="119">
        <f>AM24</f>
        <v>7.9519142738243856E-2</v>
      </c>
      <c r="AK24" s="119">
        <f>AM24</f>
        <v>7.9519142738243856E-2</v>
      </c>
      <c r="AL24" s="119">
        <f>AM24</f>
        <v>7.9519142738243856E-2</v>
      </c>
      <c r="AM24" s="77">
        <f>AH24-0.05%</f>
        <v>7.9519142738243856E-2</v>
      </c>
      <c r="AN24" s="77">
        <f>AM24-0.05%</f>
        <v>7.9019142738243855E-2</v>
      </c>
      <c r="AO24" s="77">
        <f>AN24-0.05%</f>
        <v>7.8519142738243855E-2</v>
      </c>
      <c r="AP24" s="77">
        <f>AO24-0.05%</f>
        <v>7.8019142738243855E-2</v>
      </c>
      <c r="AQ24" s="77">
        <f>AP24-0.05%</f>
        <v>7.7519142738243854E-2</v>
      </c>
      <c r="AR24" s="77">
        <f t="shared" ref="AR24:BA24" si="28">AQ24-0.05%</f>
        <v>7.7019142738243854E-2</v>
      </c>
      <c r="AS24" s="77">
        <f t="shared" si="28"/>
        <v>7.6519142738243853E-2</v>
      </c>
      <c r="AT24" s="77">
        <f t="shared" si="28"/>
        <v>7.6019142738243853E-2</v>
      </c>
      <c r="AU24" s="77">
        <f t="shared" si="28"/>
        <v>7.5519142738243852E-2</v>
      </c>
      <c r="AV24" s="77">
        <f t="shared" si="28"/>
        <v>7.5019142738243852E-2</v>
      </c>
      <c r="AW24" s="77">
        <f t="shared" si="28"/>
        <v>7.4519142738243851E-2</v>
      </c>
      <c r="AX24" s="77">
        <f t="shared" si="28"/>
        <v>7.4019142738243851E-2</v>
      </c>
      <c r="AY24" s="77">
        <f t="shared" si="28"/>
        <v>7.3519142738243851E-2</v>
      </c>
      <c r="AZ24" s="77">
        <f t="shared" si="28"/>
        <v>7.301914273824385E-2</v>
      </c>
      <c r="BA24" s="77">
        <f t="shared" si="28"/>
        <v>7.251914273824385E-2</v>
      </c>
    </row>
    <row r="25" spans="1:55" ht="12.75" customHeight="1"/>
    <row r="26" spans="1:55" ht="12.75" customHeight="1">
      <c r="B26" s="370" t="s">
        <v>629</v>
      </c>
      <c r="C26" s="387"/>
      <c r="D26" s="387"/>
      <c r="E26" s="387"/>
      <c r="F26" s="387"/>
      <c r="G26" s="387"/>
      <c r="H26" s="387"/>
      <c r="I26" s="387"/>
      <c r="J26" s="387"/>
      <c r="K26" s="387"/>
      <c r="L26" s="387"/>
      <c r="M26" s="387"/>
      <c r="N26" s="387"/>
      <c r="O26" s="387"/>
      <c r="P26" s="387"/>
      <c r="Q26" s="387"/>
      <c r="R26" s="387"/>
      <c r="S26" s="387"/>
      <c r="T26" s="387"/>
      <c r="U26" s="387"/>
      <c r="V26" s="387"/>
      <c r="W26" s="387"/>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387"/>
      <c r="BB26" s="187"/>
    </row>
    <row r="27" spans="1:55" s="116" customFormat="1" ht="12.75" customHeight="1">
      <c r="A27" s="372"/>
      <c r="B27" s="231" t="s">
        <v>438</v>
      </c>
      <c r="C27" s="116">
        <f t="shared" ref="C27:AP27" si="29">C28*C21</f>
        <v>287004.20325389458</v>
      </c>
      <c r="D27" s="116">
        <f t="shared" si="29"/>
        <v>305598.01386478421</v>
      </c>
      <c r="E27" s="116">
        <f t="shared" si="29"/>
        <v>323139.56190758641</v>
      </c>
      <c r="F27" s="116">
        <f t="shared" si="29"/>
        <v>338181.95422572119</v>
      </c>
      <c r="G27" s="116">
        <f t="shared" si="29"/>
        <v>320313.05299789621</v>
      </c>
      <c r="H27" s="116">
        <f t="shared" si="29"/>
        <v>332276.88079086813</v>
      </c>
      <c r="I27" s="116">
        <f t="shared" si="29"/>
        <v>368565.29632981651</v>
      </c>
      <c r="J27" s="116">
        <f t="shared" si="29"/>
        <v>438020</v>
      </c>
      <c r="K27" s="116">
        <f t="shared" si="29"/>
        <v>462280</v>
      </c>
      <c r="L27" s="116">
        <f t="shared" si="29"/>
        <v>476879.5</v>
      </c>
      <c r="M27" s="116">
        <f t="shared" si="29"/>
        <v>506356</v>
      </c>
      <c r="N27" s="116">
        <f t="shared" si="29"/>
        <v>551477</v>
      </c>
      <c r="O27" s="116">
        <f t="shared" si="29"/>
        <v>571295.09321681224</v>
      </c>
      <c r="P27" s="116">
        <f t="shared" si="29"/>
        <v>582316.86350395333</v>
      </c>
      <c r="Q27" s="116">
        <f t="shared" si="29"/>
        <v>591501.67207657092</v>
      </c>
      <c r="R27" s="116">
        <f t="shared" si="29"/>
        <v>623648.50208073237</v>
      </c>
      <c r="S27" s="116">
        <f t="shared" si="29"/>
        <v>592190.53271951724</v>
      </c>
      <c r="T27" s="116">
        <f t="shared" si="29"/>
        <v>615717.17436537659</v>
      </c>
      <c r="U27" s="116">
        <f t="shared" si="29"/>
        <v>628582.90636704117</v>
      </c>
      <c r="V27" s="116">
        <f t="shared" si="29"/>
        <v>627663.92550977948</v>
      </c>
      <c r="W27" s="116">
        <f t="shared" si="29"/>
        <v>636853.73408239707</v>
      </c>
      <c r="X27" s="116">
        <f t="shared" si="29"/>
        <v>627204.43508114852</v>
      </c>
      <c r="Y27" s="116">
        <f>Y28*Y21</f>
        <v>640878.15751144395</v>
      </c>
      <c r="Z27" s="116">
        <f>Z28*Z21</f>
        <v>643636.60008322925</v>
      </c>
      <c r="AA27" s="116">
        <f>AA28*AA21</f>
        <v>638119.71493965876</v>
      </c>
      <c r="AB27" s="116">
        <f>AB28*AB21</f>
        <v>621569.05950894707</v>
      </c>
      <c r="AC27" s="116">
        <f t="shared" si="29"/>
        <v>636050.88301081979</v>
      </c>
      <c r="AD27" s="116">
        <f>AD28*AD21</f>
        <v>641226.65751144406</v>
      </c>
      <c r="AE27" s="116">
        <f>AE28*AE21</f>
        <v>674345.96837286721</v>
      </c>
      <c r="AF27" s="116">
        <f>AF28*AF21</f>
        <v>696425.50894714938</v>
      </c>
      <c r="AG27" s="116">
        <f>AG28*AG21</f>
        <v>720345.01123595505</v>
      </c>
      <c r="AH27" s="116">
        <f t="shared" si="29"/>
        <v>683085.78651685396</v>
      </c>
      <c r="AI27" s="696">
        <f>AI28*AI21</f>
        <v>738225.64752392843</v>
      </c>
      <c r="AJ27" s="696">
        <f>AJ28*AJ21</f>
        <v>771362.95838535158</v>
      </c>
      <c r="AK27" s="696">
        <f>AK28*AK21</f>
        <v>791613.53724511026</v>
      </c>
      <c r="AL27" s="696">
        <f>AL28*AL21</f>
        <v>795295.46067415725</v>
      </c>
      <c r="AM27" s="116">
        <f t="shared" si="29"/>
        <v>774124.40095713688</v>
      </c>
      <c r="AN27" s="116">
        <f t="shared" si="29"/>
        <v>788974.19831712137</v>
      </c>
      <c r="AO27" s="116">
        <f t="shared" si="29"/>
        <v>804069.9161090136</v>
      </c>
      <c r="AP27" s="116">
        <f t="shared" si="29"/>
        <v>819415.23234197765</v>
      </c>
      <c r="AQ27" s="116">
        <f>AQ28*AQ21</f>
        <v>835013.87621646991</v>
      </c>
      <c r="AR27" s="116">
        <f t="shared" ref="AR27:BA27" si="30">AR28*AR21</f>
        <v>850869.62880003708</v>
      </c>
      <c r="AS27" s="116">
        <f t="shared" si="30"/>
        <v>866986.32371168002</v>
      </c>
      <c r="AT27" s="116">
        <f t="shared" si="30"/>
        <v>883367.84781489614</v>
      </c>
      <c r="AU27" s="116">
        <f t="shared" si="30"/>
        <v>900018.14191949565</v>
      </c>
      <c r="AV27" s="116">
        <f t="shared" si="30"/>
        <v>916941.20149231225</v>
      </c>
      <c r="AW27" s="116">
        <f t="shared" si="30"/>
        <v>934141.07737690711</v>
      </c>
      <c r="AX27" s="116">
        <f t="shared" si="30"/>
        <v>951621.87652238039</v>
      </c>
      <c r="AY27" s="116">
        <f t="shared" si="30"/>
        <v>969387.76272140513</v>
      </c>
      <c r="AZ27" s="116">
        <f t="shared" si="30"/>
        <v>987442.95735758881</v>
      </c>
      <c r="BA27" s="116">
        <f t="shared" si="30"/>
        <v>1005791.7401622856</v>
      </c>
    </row>
    <row r="28" spans="1:55" s="222" customFormat="1" ht="12.75" customHeight="1">
      <c r="A28" s="388"/>
      <c r="B28" s="216" t="s">
        <v>439</v>
      </c>
      <c r="C28" s="31">
        <f>1</f>
        <v>1</v>
      </c>
      <c r="D28" s="31">
        <f>1</f>
        <v>1</v>
      </c>
      <c r="E28" s="31">
        <f>1</f>
        <v>1</v>
      </c>
      <c r="F28" s="31">
        <f>1</f>
        <v>1</v>
      </c>
      <c r="G28" s="31">
        <f>1</f>
        <v>1</v>
      </c>
      <c r="H28" s="31">
        <f>1</f>
        <v>1</v>
      </c>
      <c r="I28" s="31">
        <f>1</f>
        <v>1</v>
      </c>
      <c r="J28" s="31">
        <f>1</f>
        <v>1</v>
      </c>
      <c r="K28" s="31">
        <f>1</f>
        <v>1</v>
      </c>
      <c r="L28" s="31">
        <f>1</f>
        <v>1</v>
      </c>
      <c r="M28" s="31">
        <f>1</f>
        <v>1</v>
      </c>
      <c r="N28" s="31">
        <f>1</f>
        <v>1</v>
      </c>
      <c r="O28" s="31">
        <f>1</f>
        <v>1</v>
      </c>
      <c r="P28" s="31">
        <f>1</f>
        <v>1</v>
      </c>
      <c r="Q28" s="31">
        <f>1</f>
        <v>1</v>
      </c>
      <c r="R28" s="31">
        <f>1</f>
        <v>1</v>
      </c>
      <c r="S28" s="31">
        <f>1</f>
        <v>1</v>
      </c>
      <c r="T28" s="31">
        <f>1</f>
        <v>1</v>
      </c>
      <c r="U28" s="31">
        <f>1</f>
        <v>1</v>
      </c>
      <c r="V28" s="31">
        <f>1</f>
        <v>1</v>
      </c>
      <c r="W28" s="31">
        <f>1</f>
        <v>1</v>
      </c>
      <c r="X28" s="31">
        <f>1</f>
        <v>1</v>
      </c>
      <c r="Y28" s="31">
        <f>1</f>
        <v>1</v>
      </c>
      <c r="Z28" s="31">
        <f>1</f>
        <v>1</v>
      </c>
      <c r="AA28" s="31">
        <f>1</f>
        <v>1</v>
      </c>
      <c r="AB28" s="31">
        <f>1</f>
        <v>1</v>
      </c>
      <c r="AC28" s="31">
        <f>1</f>
        <v>1</v>
      </c>
      <c r="AD28" s="31">
        <f>1</f>
        <v>1</v>
      </c>
      <c r="AE28" s="31">
        <f>1</f>
        <v>1</v>
      </c>
      <c r="AF28" s="31">
        <f>1</f>
        <v>1</v>
      </c>
      <c r="AG28" s="31">
        <f>1</f>
        <v>1</v>
      </c>
      <c r="AH28" s="31">
        <f>1</f>
        <v>1</v>
      </c>
      <c r="AI28" s="31">
        <f>1</f>
        <v>1</v>
      </c>
      <c r="AJ28" s="31">
        <f>1</f>
        <v>1</v>
      </c>
      <c r="AK28" s="31">
        <f>1</f>
        <v>1</v>
      </c>
      <c r="AL28" s="31">
        <f>1</f>
        <v>1</v>
      </c>
      <c r="AM28" s="31">
        <f>1</f>
        <v>1</v>
      </c>
      <c r="AN28" s="31">
        <f>1</f>
        <v>1</v>
      </c>
      <c r="AO28" s="31">
        <f>1</f>
        <v>1</v>
      </c>
      <c r="AP28" s="31">
        <f>1</f>
        <v>1</v>
      </c>
      <c r="AQ28" s="31">
        <f>1</f>
        <v>1</v>
      </c>
      <c r="AR28" s="31">
        <f>1</f>
        <v>1</v>
      </c>
      <c r="AS28" s="31">
        <f>1</f>
        <v>1</v>
      </c>
      <c r="AT28" s="31">
        <f>1</f>
        <v>1</v>
      </c>
      <c r="AU28" s="31">
        <f>1</f>
        <v>1</v>
      </c>
      <c r="AV28" s="31">
        <f>1</f>
        <v>1</v>
      </c>
      <c r="AW28" s="31">
        <f>1</f>
        <v>1</v>
      </c>
      <c r="AX28" s="31">
        <f>1</f>
        <v>1</v>
      </c>
      <c r="AY28" s="31">
        <f>1</f>
        <v>1</v>
      </c>
      <c r="AZ28" s="31">
        <f>1</f>
        <v>1</v>
      </c>
      <c r="BA28" s="31">
        <f>1</f>
        <v>1</v>
      </c>
      <c r="BB28" s="31"/>
    </row>
    <row r="29" spans="1:55" s="2" customFormat="1" ht="12.75" customHeight="1">
      <c r="A29" s="386"/>
      <c r="B29" s="200"/>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row>
    <row r="30" spans="1:55" s="2" customFormat="1" ht="12.75" customHeight="1">
      <c r="A30" s="386"/>
      <c r="B30" s="389" t="s">
        <v>628</v>
      </c>
      <c r="C30" s="390"/>
      <c r="D30" s="390"/>
      <c r="E30" s="390"/>
      <c r="F30" s="390"/>
      <c r="G30" s="390"/>
      <c r="H30" s="390"/>
      <c r="I30" s="390"/>
      <c r="J30" s="390"/>
      <c r="K30" s="390"/>
      <c r="L30" s="390"/>
      <c r="M30" s="390"/>
      <c r="N30" s="390"/>
      <c r="O30" s="390"/>
      <c r="P30" s="390"/>
      <c r="Q30" s="390"/>
      <c r="R30" s="390"/>
      <c r="S30" s="390"/>
      <c r="T30" s="390"/>
      <c r="U30" s="390"/>
      <c r="V30" s="390"/>
      <c r="W30" s="390"/>
      <c r="X30" s="390"/>
      <c r="Y30" s="390"/>
      <c r="Z30" s="390"/>
      <c r="AA30" s="390"/>
      <c r="AB30" s="390"/>
      <c r="AC30" s="390"/>
      <c r="AD30" s="390"/>
      <c r="AE30" s="390"/>
      <c r="AF30" s="390"/>
      <c r="AG30" s="390"/>
      <c r="AH30" s="390"/>
      <c r="AI30" s="390"/>
      <c r="AJ30" s="390"/>
      <c r="AK30" s="390"/>
      <c r="AL30" s="390"/>
      <c r="AM30" s="390"/>
      <c r="AN30" s="390"/>
      <c r="AO30" s="390"/>
      <c r="AP30" s="390"/>
      <c r="AQ30" s="390"/>
      <c r="AR30" s="390"/>
      <c r="AS30" s="390"/>
      <c r="AT30" s="390"/>
      <c r="AU30" s="390"/>
      <c r="AV30" s="390"/>
      <c r="AW30" s="390"/>
      <c r="AX30" s="390"/>
      <c r="AY30" s="390"/>
      <c r="AZ30" s="390"/>
      <c r="BA30" s="390"/>
      <c r="BB30" s="17"/>
    </row>
    <row r="31" spans="1:55" s="77" customFormat="1" ht="12.75" customHeight="1">
      <c r="A31" s="384"/>
      <c r="B31" s="218" t="s">
        <v>63</v>
      </c>
      <c r="D31" s="77">
        <v>0.17433682294874481</v>
      </c>
      <c r="E31" s="77">
        <v>0.16523389155212706</v>
      </c>
      <c r="F31" s="77">
        <v>0.29356550131111314</v>
      </c>
      <c r="G31" s="77">
        <v>0.35742773839182196</v>
      </c>
      <c r="H31" s="77">
        <v>0.26198011390229309</v>
      </c>
      <c r="I31" s="77">
        <v>0.19221833807316113</v>
      </c>
      <c r="J31" s="77">
        <v>0.12671174525464246</v>
      </c>
      <c r="K31" s="77">
        <v>0.10279767239370359</v>
      </c>
      <c r="L31" s="77">
        <v>8.2030000000000006E-2</v>
      </c>
      <c r="M31" s="77">
        <v>6.7000000000000004E-2</v>
      </c>
      <c r="N31" s="77">
        <v>4.8107727426494828E-2</v>
      </c>
      <c r="O31" s="77">
        <f>O73/$T$27</f>
        <v>2.8799549645008967E-2</v>
      </c>
      <c r="P31" s="77">
        <f>P73/$T$27</f>
        <v>2.8759830527466602E-2</v>
      </c>
      <c r="Q31" s="77">
        <f>Q73/$T$27</f>
        <v>2.5478486641343924E-2</v>
      </c>
      <c r="R31" s="77">
        <f>R73/$T$27</f>
        <v>2.3738516904426663E-2</v>
      </c>
      <c r="S31" s="77">
        <f>AVERAGE(O31:R31)</f>
        <v>2.669409592956154E-2</v>
      </c>
      <c r="T31" s="77">
        <f>T73/$T$27</f>
        <v>3.0719207250963332E-2</v>
      </c>
      <c r="U31" s="77">
        <f>U73/$U$27</f>
        <v>2.0509081613194789E-2</v>
      </c>
      <c r="V31" s="77">
        <f>V73/V$27</f>
        <v>2.0541691160160042E-2</v>
      </c>
      <c r="W31" s="77">
        <f>V31</f>
        <v>2.0541691160160042E-2</v>
      </c>
      <c r="X31" s="77">
        <f>AVERAGE(T31:W31)</f>
        <v>2.3077917796119549E-2</v>
      </c>
      <c r="Y31" s="77">
        <f>Y73/Y$27</f>
        <v>1.7060473764893756E-2</v>
      </c>
      <c r="Z31" s="77">
        <f>Z73/Z$27</f>
        <v>1.7067796952624489E-2</v>
      </c>
      <c r="AA31" s="77">
        <f>AA73/AA$27</f>
        <v>1.5749450955177807E-2</v>
      </c>
      <c r="AB31" s="77">
        <f>AB73/AB$27</f>
        <v>1.1469529963050768E-2</v>
      </c>
      <c r="AC31" s="77">
        <f>X31-0.3%</f>
        <v>2.0077917796119549E-2</v>
      </c>
      <c r="AD31" s="77">
        <f>AD73/AD$27</f>
        <v>2.0528466351910409E-2</v>
      </c>
      <c r="AE31" s="77">
        <f>AE73/AE$27</f>
        <v>1.3611475396476114E-2</v>
      </c>
      <c r="AF31" s="77">
        <f>AF73/AF$27</f>
        <v>1.3228308696274459E-2</v>
      </c>
      <c r="AG31" s="77">
        <f>AG73/AG$27</f>
        <v>1.4226710777447998E-2</v>
      </c>
      <c r="AH31" s="77">
        <v>0.02</v>
      </c>
      <c r="AI31" s="694">
        <f>AI73/AI$27</f>
        <v>1.0895563896807327E-2</v>
      </c>
      <c r="AJ31" s="694">
        <f>AJ73/AJ$27</f>
        <v>1.4347436958291321E-2</v>
      </c>
      <c r="AK31" s="694">
        <f>AK73/AK$27</f>
        <v>1.0246130974987359E-2</v>
      </c>
      <c r="AL31" s="694">
        <f>AL73/AL$27</f>
        <v>1.0279884561593787E-2</v>
      </c>
      <c r="AM31" s="77">
        <f>AH31-0.3%</f>
        <v>1.7000000000000001E-2</v>
      </c>
      <c r="AN31" s="77">
        <f>AM31-0.3%</f>
        <v>1.4000000000000002E-2</v>
      </c>
      <c r="AO31" s="391">
        <f>AN31*0.75</f>
        <v>1.0500000000000002E-2</v>
      </c>
      <c r="AP31" s="77">
        <f>AO31*0.1</f>
        <v>1.0500000000000004E-3</v>
      </c>
      <c r="AQ31" s="77">
        <f>AP31*0.1</f>
        <v>1.0500000000000005E-4</v>
      </c>
      <c r="AR31" s="77">
        <f t="shared" ref="AR31:BA31" si="31">AQ31*0.1</f>
        <v>1.0500000000000005E-5</v>
      </c>
      <c r="AS31" s="77">
        <f t="shared" si="31"/>
        <v>1.0500000000000005E-6</v>
      </c>
      <c r="AT31" s="77">
        <f t="shared" si="31"/>
        <v>1.0500000000000005E-7</v>
      </c>
      <c r="AU31" s="77">
        <f t="shared" si="31"/>
        <v>1.0500000000000006E-8</v>
      </c>
      <c r="AV31" s="77">
        <f t="shared" si="31"/>
        <v>1.0500000000000007E-9</v>
      </c>
      <c r="AW31" s="77">
        <f t="shared" si="31"/>
        <v>1.0500000000000008E-10</v>
      </c>
      <c r="AX31" s="77">
        <f t="shared" si="31"/>
        <v>1.0500000000000009E-11</v>
      </c>
      <c r="AY31" s="77">
        <f t="shared" si="31"/>
        <v>1.050000000000001E-12</v>
      </c>
      <c r="AZ31" s="77">
        <f t="shared" si="31"/>
        <v>1.0500000000000011E-13</v>
      </c>
      <c r="BA31" s="77">
        <f t="shared" si="31"/>
        <v>1.0500000000000012E-14</v>
      </c>
    </row>
    <row r="32" spans="1:55" s="77" customFormat="1" ht="12.75" hidden="1" customHeight="1" outlineLevel="1">
      <c r="A32" s="392"/>
      <c r="B32" s="393" t="s">
        <v>423</v>
      </c>
      <c r="C32" s="394"/>
      <c r="D32" s="394"/>
      <c r="E32" s="394"/>
      <c r="F32" s="394"/>
      <c r="G32" s="394"/>
      <c r="H32" s="394"/>
      <c r="I32" s="394"/>
      <c r="J32" s="394"/>
      <c r="K32" s="394"/>
      <c r="L32" s="394"/>
      <c r="M32" s="394"/>
      <c r="N32" s="394"/>
      <c r="O32" s="394"/>
      <c r="P32" s="394"/>
      <c r="Q32" s="394"/>
      <c r="R32" s="394"/>
      <c r="S32" s="394"/>
      <c r="T32" s="394"/>
      <c r="U32" s="394"/>
      <c r="V32" s="394"/>
      <c r="W32" s="394"/>
      <c r="X32" s="394"/>
      <c r="Y32" s="394"/>
      <c r="Z32" s="394"/>
      <c r="AA32" s="394"/>
      <c r="AB32" s="394"/>
      <c r="AC32" s="394"/>
      <c r="AD32" s="394"/>
      <c r="AE32" s="394"/>
      <c r="AF32" s="394"/>
      <c r="AG32" s="394"/>
      <c r="AH32" s="394"/>
      <c r="AI32" s="716"/>
      <c r="AJ32" s="716"/>
      <c r="AK32" s="716"/>
      <c r="AL32" s="716"/>
      <c r="AM32" s="394"/>
      <c r="AN32" s="394">
        <f>AN33</f>
        <v>9.4885120467825435E-2</v>
      </c>
      <c r="AO32" s="394">
        <f>AN32</f>
        <v>9.4885120467825435E-2</v>
      </c>
      <c r="AP32" s="394">
        <f>AO32</f>
        <v>9.4885120467825435E-2</v>
      </c>
      <c r="AQ32" s="394">
        <f>AP32</f>
        <v>9.4885120467825435E-2</v>
      </c>
      <c r="AR32" s="642">
        <f t="shared" ref="AR32:AS34" si="32">AQ32*0.1</f>
        <v>9.4885120467825441E-3</v>
      </c>
      <c r="AS32" s="642">
        <f t="shared" si="32"/>
        <v>9.488512046782545E-4</v>
      </c>
      <c r="AT32" s="642">
        <f t="shared" ref="AT32:BA32" si="33">AS32*0.1</f>
        <v>9.488512046782545E-5</v>
      </c>
      <c r="AU32" s="642">
        <f t="shared" si="33"/>
        <v>9.4885120467825464E-6</v>
      </c>
      <c r="AV32" s="642">
        <f t="shared" si="33"/>
        <v>9.488512046782547E-7</v>
      </c>
      <c r="AW32" s="642">
        <f t="shared" si="33"/>
        <v>9.4885120467825473E-8</v>
      </c>
      <c r="AX32" s="642">
        <f t="shared" si="33"/>
        <v>9.4885120467825476E-9</v>
      </c>
      <c r="AY32" s="642">
        <f t="shared" si="33"/>
        <v>9.4885120467825484E-10</v>
      </c>
      <c r="AZ32" s="642">
        <f t="shared" si="33"/>
        <v>9.4885120467825484E-11</v>
      </c>
      <c r="BA32" s="642">
        <f t="shared" si="33"/>
        <v>9.4885120467825484E-12</v>
      </c>
    </row>
    <row r="33" spans="1:53" s="77" customFormat="1" ht="12.75" hidden="1" customHeight="1" outlineLevel="1">
      <c r="A33" s="392"/>
      <c r="B33" s="393" t="s">
        <v>424</v>
      </c>
      <c r="C33" s="394"/>
      <c r="D33" s="394"/>
      <c r="E33" s="394"/>
      <c r="F33" s="394"/>
      <c r="G33" s="394"/>
      <c r="H33" s="394"/>
      <c r="I33" s="394"/>
      <c r="J33" s="394"/>
      <c r="K33" s="394"/>
      <c r="L33" s="394"/>
      <c r="M33" s="394"/>
      <c r="N33" s="394"/>
      <c r="O33" s="394"/>
      <c r="P33" s="394"/>
      <c r="Q33" s="394"/>
      <c r="R33" s="394"/>
      <c r="S33" s="394"/>
      <c r="T33" s="394"/>
      <c r="U33" s="394"/>
      <c r="V33" s="394"/>
      <c r="W33" s="394"/>
      <c r="X33" s="394"/>
      <c r="Y33" s="394"/>
      <c r="Z33" s="394"/>
      <c r="AA33" s="394"/>
      <c r="AB33" s="394"/>
      <c r="AC33" s="394"/>
      <c r="AD33" s="394"/>
      <c r="AE33" s="394"/>
      <c r="AF33" s="394"/>
      <c r="AG33" s="394"/>
      <c r="AH33" s="394"/>
      <c r="AI33" s="716"/>
      <c r="AJ33" s="716"/>
      <c r="AK33" s="716"/>
      <c r="AL33" s="716"/>
      <c r="AM33" s="716"/>
      <c r="AN33" s="716">
        <f>AM35-0.095</f>
        <v>9.4885120467825435E-2</v>
      </c>
      <c r="AO33" s="716">
        <f>AN33-0.03</f>
        <v>6.4885120467825436E-2</v>
      </c>
      <c r="AP33" s="716">
        <f>AO33-0.03</f>
        <v>3.4885120467825437E-2</v>
      </c>
      <c r="AQ33" s="716">
        <f>AP33-0.03</f>
        <v>4.8851204678254379E-3</v>
      </c>
      <c r="AR33" s="642">
        <f t="shared" si="32"/>
        <v>4.8851204678254385E-4</v>
      </c>
      <c r="AS33" s="642">
        <f t="shared" si="32"/>
        <v>4.885120467825439E-5</v>
      </c>
      <c r="AT33" s="642">
        <f t="shared" ref="AT33:BA33" si="34">AS33*0.1</f>
        <v>4.8851204678254394E-6</v>
      </c>
      <c r="AU33" s="642">
        <f t="shared" si="34"/>
        <v>4.8851204678254392E-7</v>
      </c>
      <c r="AV33" s="642">
        <f t="shared" si="34"/>
        <v>4.8851204678254397E-8</v>
      </c>
      <c r="AW33" s="642">
        <f t="shared" si="34"/>
        <v>4.8851204678254402E-9</v>
      </c>
      <c r="AX33" s="642">
        <f t="shared" si="34"/>
        <v>4.8851204678254404E-10</v>
      </c>
      <c r="AY33" s="642">
        <f t="shared" si="34"/>
        <v>4.8851204678254409E-11</v>
      </c>
      <c r="AZ33" s="642">
        <f t="shared" si="34"/>
        <v>4.8851204678254412E-12</v>
      </c>
      <c r="BA33" s="642">
        <f t="shared" si="34"/>
        <v>4.8851204678254416E-13</v>
      </c>
    </row>
    <row r="34" spans="1:53" s="77" customFormat="1" ht="12.75" hidden="1" customHeight="1" outlineLevel="1">
      <c r="A34" s="392"/>
      <c r="B34" s="393" t="s">
        <v>425</v>
      </c>
      <c r="C34" s="394"/>
      <c r="D34" s="394"/>
      <c r="E34" s="394"/>
      <c r="F34" s="394"/>
      <c r="G34" s="394"/>
      <c r="H34" s="394"/>
      <c r="I34" s="394"/>
      <c r="J34" s="394"/>
      <c r="K34" s="394"/>
      <c r="L34" s="394"/>
      <c r="M34" s="394"/>
      <c r="N34" s="394"/>
      <c r="O34" s="394"/>
      <c r="P34" s="394"/>
      <c r="Q34" s="394"/>
      <c r="R34" s="394"/>
      <c r="S34" s="394"/>
      <c r="T34" s="394"/>
      <c r="U34" s="394"/>
      <c r="V34" s="394"/>
      <c r="W34" s="394"/>
      <c r="X34" s="394"/>
      <c r="Y34" s="394"/>
      <c r="Z34" s="394"/>
      <c r="AA34" s="394"/>
      <c r="AB34" s="394"/>
      <c r="AC34" s="394"/>
      <c r="AD34" s="394"/>
      <c r="AE34" s="394"/>
      <c r="AF34" s="394"/>
      <c r="AG34" s="394"/>
      <c r="AH34" s="394"/>
      <c r="AI34" s="716"/>
      <c r="AJ34" s="716"/>
      <c r="AK34" s="716"/>
      <c r="AL34" s="716"/>
      <c r="AM34" s="394"/>
      <c r="AN34" s="394">
        <f>AN33</f>
        <v>9.4885120467825435E-2</v>
      </c>
      <c r="AO34" s="394">
        <f>AN34*0.85</f>
        <v>8.0652352397651617E-2</v>
      </c>
      <c r="AP34" s="394">
        <f>AO34*0.85</f>
        <v>6.8554499538003869E-2</v>
      </c>
      <c r="AQ34" s="394">
        <f>AP34*0.85</f>
        <v>5.8271324607303283E-2</v>
      </c>
      <c r="AR34" s="397">
        <f t="shared" si="32"/>
        <v>5.8271324607303285E-3</v>
      </c>
      <c r="AS34" s="397">
        <f t="shared" si="32"/>
        <v>5.8271324607303283E-4</v>
      </c>
      <c r="AT34" s="397">
        <f t="shared" ref="AT34:BA34" si="35">AS34*0.1</f>
        <v>5.8271324607303288E-5</v>
      </c>
      <c r="AU34" s="397">
        <f t="shared" si="35"/>
        <v>5.8271324607303288E-6</v>
      </c>
      <c r="AV34" s="397">
        <f t="shared" si="35"/>
        <v>5.827132460730329E-7</v>
      </c>
      <c r="AW34" s="397">
        <f t="shared" si="35"/>
        <v>5.827132460730329E-8</v>
      </c>
      <c r="AX34" s="397">
        <f t="shared" si="35"/>
        <v>5.827132460730329E-9</v>
      </c>
      <c r="AY34" s="397">
        <f t="shared" si="35"/>
        <v>5.8271324607303299E-10</v>
      </c>
      <c r="AZ34" s="397">
        <f t="shared" si="35"/>
        <v>5.8271324607303299E-11</v>
      </c>
      <c r="BA34" s="397">
        <f t="shared" si="35"/>
        <v>5.8271324607303305E-12</v>
      </c>
    </row>
    <row r="35" spans="1:53" s="77" customFormat="1" ht="12.75" customHeight="1" collapsed="1">
      <c r="A35" s="379" t="s">
        <v>578</v>
      </c>
      <c r="B35" s="395" t="s">
        <v>878</v>
      </c>
      <c r="C35" s="394"/>
      <c r="D35" s="394">
        <v>0</v>
      </c>
      <c r="E35" s="394">
        <v>0</v>
      </c>
      <c r="F35" s="394">
        <v>0</v>
      </c>
      <c r="G35" s="394">
        <v>5.7500000000000002E-2</v>
      </c>
      <c r="H35" s="394">
        <v>0.18</v>
      </c>
      <c r="I35" s="394">
        <v>0.28499999999999998</v>
      </c>
      <c r="J35" s="394">
        <v>0.28999999999999998</v>
      </c>
      <c r="K35" s="394">
        <v>0.33</v>
      </c>
      <c r="L35" s="394">
        <v>0.36749999999999994</v>
      </c>
      <c r="M35" s="394">
        <v>0.38749999999999996</v>
      </c>
      <c r="N35" s="394">
        <v>0.39</v>
      </c>
      <c r="O35" s="394">
        <f>O74/$T$27</f>
        <v>0.35531643250794825</v>
      </c>
      <c r="P35" s="394">
        <f>P74/$T$27</f>
        <v>0.35727154746488671</v>
      </c>
      <c r="Q35" s="394">
        <f>Q74/$T$27</f>
        <v>0.35755145003539107</v>
      </c>
      <c r="R35" s="394">
        <f>R74/$T$27</f>
        <v>0.35124756054024053</v>
      </c>
      <c r="S35" s="394">
        <f>AVERAGE(O35:R35)</f>
        <v>0.35534674763711666</v>
      </c>
      <c r="T35" s="394">
        <f>T74/$T$27</f>
        <v>0.34677439414307026</v>
      </c>
      <c r="U35" s="394">
        <f>U74/$U$27</f>
        <v>0.30673477984806158</v>
      </c>
      <c r="V35" s="394">
        <f>V74/V$27</f>
        <v>0.31534835292819763</v>
      </c>
      <c r="W35" s="394">
        <f>W74/W$27</f>
        <v>0.32693422840222358</v>
      </c>
      <c r="X35" s="394">
        <f>AVERAGE(T35:W35)</f>
        <v>0.32394793883038825</v>
      </c>
      <c r="Y35" s="394">
        <f>Y74/Y$27</f>
        <v>0.31259740651029599</v>
      </c>
      <c r="Z35" s="394">
        <f>Z74/Z$27</f>
        <v>0.31584741139569411</v>
      </c>
      <c r="AA35" s="394">
        <f>AA74/AA$27</f>
        <v>0.33144306089922593</v>
      </c>
      <c r="AB35" s="394">
        <f>AB74/AB$27</f>
        <v>0.31009706350054667</v>
      </c>
      <c r="AC35" s="394">
        <f>AVERAGE(Y35:AB35)</f>
        <v>0.31749623557644069</v>
      </c>
      <c r="AD35" s="394">
        <f>AD74/AD$27</f>
        <v>0.33559386455757512</v>
      </c>
      <c r="AE35" s="394">
        <f>AE74/AE$27</f>
        <v>0.29897910626816299</v>
      </c>
      <c r="AF35" s="394">
        <f>AF74/AF$27</f>
        <v>0.27469999156228775</v>
      </c>
      <c r="AG35" s="394">
        <f>AG74/AG$27</f>
        <v>0.25678695474044538</v>
      </c>
      <c r="AH35" s="716">
        <f>AVERAGE(AD35:AG35)</f>
        <v>0.29151497928211784</v>
      </c>
      <c r="AI35" s="716">
        <f>AI74/AI$27</f>
        <v>0.22372341117248229</v>
      </c>
      <c r="AJ35" s="716">
        <f>AJ74/AJ$27</f>
        <v>0.21175024553996907</v>
      </c>
      <c r="AK35" s="716">
        <f>AK74/AK$27</f>
        <v>0.17419713755098293</v>
      </c>
      <c r="AL35" s="716">
        <f>AL74/AL$27</f>
        <v>0.14986968760786748</v>
      </c>
      <c r="AM35" s="716">
        <f>AVERAGE(AI35:AL35)</f>
        <v>0.18988512046782544</v>
      </c>
      <c r="AN35" s="396">
        <f t="shared" ref="AN35:BA35" si="36">CHOOSE($U$1,AN32,AN33,AN34)</f>
        <v>9.4885120467825435E-2</v>
      </c>
      <c r="AO35" s="396">
        <f t="shared" si="36"/>
        <v>6.4885120467825436E-2</v>
      </c>
      <c r="AP35" s="396">
        <f t="shared" si="36"/>
        <v>3.4885120467825437E-2</v>
      </c>
      <c r="AQ35" s="396">
        <f t="shared" si="36"/>
        <v>4.8851204678254379E-3</v>
      </c>
      <c r="AR35" s="396">
        <f t="shared" si="36"/>
        <v>4.8851204678254385E-4</v>
      </c>
      <c r="AS35" s="396">
        <f t="shared" si="36"/>
        <v>4.885120467825439E-5</v>
      </c>
      <c r="AT35" s="396">
        <f t="shared" si="36"/>
        <v>4.8851204678254394E-6</v>
      </c>
      <c r="AU35" s="396">
        <f t="shared" si="36"/>
        <v>4.8851204678254392E-7</v>
      </c>
      <c r="AV35" s="396">
        <f t="shared" si="36"/>
        <v>4.8851204678254397E-8</v>
      </c>
      <c r="AW35" s="396">
        <f t="shared" si="36"/>
        <v>4.8851204678254402E-9</v>
      </c>
      <c r="AX35" s="396">
        <f t="shared" si="36"/>
        <v>4.8851204678254404E-10</v>
      </c>
      <c r="AY35" s="396">
        <f t="shared" si="36"/>
        <v>4.8851204678254409E-11</v>
      </c>
      <c r="AZ35" s="396">
        <f t="shared" si="36"/>
        <v>4.8851204678254412E-12</v>
      </c>
      <c r="BA35" s="396">
        <f t="shared" si="36"/>
        <v>4.8851204678254416E-13</v>
      </c>
    </row>
    <row r="36" spans="1:53" s="77" customFormat="1" ht="12.75" customHeight="1" outlineLevel="1">
      <c r="A36" s="379"/>
      <c r="B36" s="393" t="s">
        <v>423</v>
      </c>
      <c r="C36" s="394"/>
      <c r="D36" s="394"/>
      <c r="E36" s="394"/>
      <c r="F36" s="394"/>
      <c r="G36" s="394"/>
      <c r="H36" s="394"/>
      <c r="I36" s="394"/>
      <c r="J36" s="394"/>
      <c r="K36" s="394"/>
      <c r="L36" s="394"/>
      <c r="M36" s="394"/>
      <c r="N36" s="394"/>
      <c r="O36" s="394"/>
      <c r="P36" s="394"/>
      <c r="Q36" s="394"/>
      <c r="R36" s="394"/>
      <c r="S36" s="394"/>
      <c r="T36" s="394"/>
      <c r="U36" s="394"/>
      <c r="V36" s="394"/>
      <c r="W36" s="394"/>
      <c r="X36" s="394"/>
      <c r="Y36" s="394"/>
      <c r="Z36" s="394"/>
      <c r="AA36" s="394"/>
      <c r="AB36" s="394"/>
      <c r="AC36" s="394"/>
      <c r="AD36" s="394"/>
      <c r="AE36" s="394"/>
      <c r="AF36" s="394"/>
      <c r="AG36" s="394"/>
      <c r="AH36" s="716"/>
      <c r="AI36" s="716"/>
      <c r="AJ36" s="716"/>
      <c r="AK36" s="716"/>
      <c r="AL36" s="716"/>
      <c r="AM36" s="394"/>
      <c r="AN36" s="394">
        <f>AN37</f>
        <v>0.11075395419170368</v>
      </c>
      <c r="AO36" s="394">
        <f>AO37*1.2</f>
        <v>9.3033321521031082E-2</v>
      </c>
      <c r="AP36" s="394">
        <f>AP37*1.2</f>
        <v>6.5123325064721752E-2</v>
      </c>
      <c r="AQ36" s="394">
        <f>AQ37*1.2</f>
        <v>4.5586327545305227E-2</v>
      </c>
      <c r="AR36" s="642">
        <f t="shared" ref="AR36:AS38" si="37">AQ36*0.1</f>
        <v>4.5586327545305231E-3</v>
      </c>
      <c r="AS36" s="642">
        <f t="shared" si="37"/>
        <v>4.5586327545305233E-4</v>
      </c>
      <c r="AT36" s="642">
        <f t="shared" ref="AT36:BA36" si="38">AS36*0.1</f>
        <v>4.5586327545305237E-5</v>
      </c>
      <c r="AU36" s="642">
        <f t="shared" si="38"/>
        <v>4.5586327545305237E-6</v>
      </c>
      <c r="AV36" s="642">
        <f t="shared" si="38"/>
        <v>4.5586327545305238E-7</v>
      </c>
      <c r="AW36" s="642">
        <f t="shared" si="38"/>
        <v>4.5586327545305244E-8</v>
      </c>
      <c r="AX36" s="642">
        <f t="shared" si="38"/>
        <v>4.5586327545305245E-9</v>
      </c>
      <c r="AY36" s="642">
        <f t="shared" si="38"/>
        <v>4.5586327545305248E-10</v>
      </c>
      <c r="AZ36" s="642">
        <f t="shared" si="38"/>
        <v>4.5586327545305248E-11</v>
      </c>
      <c r="BA36" s="642">
        <f t="shared" si="38"/>
        <v>4.5586327545305255E-12</v>
      </c>
    </row>
    <row r="37" spans="1:53" s="77" customFormat="1" ht="12.75" customHeight="1" outlineLevel="1">
      <c r="A37" s="379"/>
      <c r="B37" s="393" t="s">
        <v>424</v>
      </c>
      <c r="C37" s="394"/>
      <c r="D37" s="394"/>
      <c r="E37" s="394"/>
      <c r="F37" s="394"/>
      <c r="G37" s="394"/>
      <c r="H37" s="394"/>
      <c r="I37" s="394"/>
      <c r="J37" s="394"/>
      <c r="K37" s="394"/>
      <c r="L37" s="394"/>
      <c r="M37" s="394"/>
      <c r="N37" s="394"/>
      <c r="O37" s="394"/>
      <c r="P37" s="394"/>
      <c r="Q37" s="394"/>
      <c r="R37" s="394"/>
      <c r="S37" s="394"/>
      <c r="T37" s="394"/>
      <c r="U37" s="394"/>
      <c r="V37" s="394"/>
      <c r="W37" s="394"/>
      <c r="X37" s="394"/>
      <c r="Y37" s="394"/>
      <c r="Z37" s="394"/>
      <c r="AA37" s="394"/>
      <c r="AB37" s="394"/>
      <c r="AC37" s="394"/>
      <c r="AD37" s="394"/>
      <c r="AE37" s="394"/>
      <c r="AF37" s="394"/>
      <c r="AG37" s="394"/>
      <c r="AH37" s="716"/>
      <c r="AI37" s="716"/>
      <c r="AJ37" s="716"/>
      <c r="AK37" s="716"/>
      <c r="AL37" s="716"/>
      <c r="AM37" s="394"/>
      <c r="AN37" s="394">
        <f>AM39*0.65</f>
        <v>0.11075395419170368</v>
      </c>
      <c r="AO37" s="716">
        <f>AN37*0.7</f>
        <v>7.7527767934192568E-2</v>
      </c>
      <c r="AP37" s="716">
        <f>AO37*0.7</f>
        <v>5.4269437553934798E-2</v>
      </c>
      <c r="AQ37" s="716">
        <f>AP37*0.7</f>
        <v>3.7988606287754356E-2</v>
      </c>
      <c r="AR37" s="642">
        <f t="shared" si="37"/>
        <v>3.7988606287754356E-3</v>
      </c>
      <c r="AS37" s="642">
        <f t="shared" si="37"/>
        <v>3.7988606287754357E-4</v>
      </c>
      <c r="AT37" s="642">
        <f t="shared" ref="AT37:BA37" si="39">AS37*0.1</f>
        <v>3.7988606287754359E-5</v>
      </c>
      <c r="AU37" s="642">
        <f t="shared" si="39"/>
        <v>3.7988606287754359E-6</v>
      </c>
      <c r="AV37" s="642">
        <f t="shared" si="39"/>
        <v>3.7988606287754361E-7</v>
      </c>
      <c r="AW37" s="642">
        <f t="shared" si="39"/>
        <v>3.7988606287754361E-8</v>
      </c>
      <c r="AX37" s="642">
        <f t="shared" si="39"/>
        <v>3.7988606287754364E-9</v>
      </c>
      <c r="AY37" s="642">
        <f t="shared" si="39"/>
        <v>3.7988606287754364E-10</v>
      </c>
      <c r="AZ37" s="642">
        <f t="shared" si="39"/>
        <v>3.7988606287754369E-11</v>
      </c>
      <c r="BA37" s="642">
        <f t="shared" si="39"/>
        <v>3.7988606287754371E-12</v>
      </c>
    </row>
    <row r="38" spans="1:53" s="77" customFormat="1" ht="12.75" customHeight="1" outlineLevel="1">
      <c r="A38" s="379"/>
      <c r="B38" s="393" t="s">
        <v>425</v>
      </c>
      <c r="C38" s="394"/>
      <c r="D38" s="394"/>
      <c r="E38" s="394"/>
      <c r="F38" s="394"/>
      <c r="G38" s="394"/>
      <c r="H38" s="394"/>
      <c r="I38" s="394"/>
      <c r="J38" s="394"/>
      <c r="K38" s="394"/>
      <c r="L38" s="394"/>
      <c r="M38" s="394"/>
      <c r="N38" s="394"/>
      <c r="O38" s="394"/>
      <c r="P38" s="394"/>
      <c r="Q38" s="394"/>
      <c r="R38" s="394"/>
      <c r="S38" s="394"/>
      <c r="T38" s="394"/>
      <c r="U38" s="394"/>
      <c r="V38" s="394"/>
      <c r="W38" s="394"/>
      <c r="X38" s="394"/>
      <c r="Y38" s="394"/>
      <c r="Z38" s="394"/>
      <c r="AA38" s="394"/>
      <c r="AB38" s="394"/>
      <c r="AC38" s="394"/>
      <c r="AD38" s="394"/>
      <c r="AE38" s="394"/>
      <c r="AF38" s="394"/>
      <c r="AG38" s="394"/>
      <c r="AH38" s="716"/>
      <c r="AI38" s="716"/>
      <c r="AJ38" s="716"/>
      <c r="AK38" s="716"/>
      <c r="AL38" s="716"/>
      <c r="AM38" s="394"/>
      <c r="AN38" s="394">
        <f>AN37</f>
        <v>0.11075395419170368</v>
      </c>
      <c r="AO38" s="394">
        <f>AN38*0.85</f>
        <v>9.4140861062948125E-2</v>
      </c>
      <c r="AP38" s="394">
        <f>AO38*0.85</f>
        <v>8.0019731903505906E-2</v>
      </c>
      <c r="AQ38" s="394">
        <f>AP38*0.85</f>
        <v>6.8016772117980018E-2</v>
      </c>
      <c r="AR38" s="397">
        <f t="shared" si="37"/>
        <v>6.8016772117980018E-3</v>
      </c>
      <c r="AS38" s="397">
        <f t="shared" si="37"/>
        <v>6.801677211798002E-4</v>
      </c>
      <c r="AT38" s="397">
        <f t="shared" ref="AT38:BA38" si="40">AS38*0.1</f>
        <v>6.801677211798002E-5</v>
      </c>
      <c r="AU38" s="397">
        <f t="shared" si="40"/>
        <v>6.8016772117980025E-6</v>
      </c>
      <c r="AV38" s="397">
        <f t="shared" si="40"/>
        <v>6.8016772117980029E-7</v>
      </c>
      <c r="AW38" s="397">
        <f t="shared" si="40"/>
        <v>6.8016772117980029E-8</v>
      </c>
      <c r="AX38" s="397">
        <f t="shared" si="40"/>
        <v>6.8016772117980034E-9</v>
      </c>
      <c r="AY38" s="397">
        <f t="shared" si="40"/>
        <v>6.8016772117980038E-10</v>
      </c>
      <c r="AZ38" s="397">
        <f t="shared" si="40"/>
        <v>6.8016772117980046E-11</v>
      </c>
      <c r="BA38" s="397">
        <f t="shared" si="40"/>
        <v>6.8016772117980049E-12</v>
      </c>
    </row>
    <row r="39" spans="1:53" s="77" customFormat="1" ht="12.75" customHeight="1">
      <c r="A39" s="379" t="s">
        <v>578</v>
      </c>
      <c r="B39" s="395" t="s">
        <v>879</v>
      </c>
      <c r="C39" s="394"/>
      <c r="D39" s="394"/>
      <c r="E39" s="394"/>
      <c r="F39" s="394"/>
      <c r="G39" s="394">
        <v>0</v>
      </c>
      <c r="H39" s="394">
        <v>0</v>
      </c>
      <c r="I39" s="394">
        <v>0.1</v>
      </c>
      <c r="J39" s="394">
        <v>0.185</v>
      </c>
      <c r="K39" s="394">
        <v>0.25</v>
      </c>
      <c r="L39" s="394">
        <v>0.32500000000000001</v>
      </c>
      <c r="M39" s="394">
        <v>0.34749999999999998</v>
      </c>
      <c r="N39" s="394">
        <v>0.35250000000000004</v>
      </c>
      <c r="O39" s="394">
        <f>O75/$T$27</f>
        <v>0.30332162146721209</v>
      </c>
      <c r="P39" s="394">
        <f>P75/$T$27</f>
        <v>0.30278144146863589</v>
      </c>
      <c r="Q39" s="394">
        <f>Q75/$T$27</f>
        <v>0.31617690701241474</v>
      </c>
      <c r="R39" s="394">
        <f>R75/$T$27</f>
        <v>0.32833601844637972</v>
      </c>
      <c r="S39" s="394">
        <f>AVERAGE(O39:R39)</f>
        <v>0.3126539970986606</v>
      </c>
      <c r="T39" s="394">
        <f>T75/$T$27</f>
        <v>0.30677472254965821</v>
      </c>
      <c r="U39" s="394">
        <f>U75/$U$27</f>
        <v>0.32281593918324192</v>
      </c>
      <c r="V39" s="394">
        <f>V75/V$27</f>
        <v>0.32792399761541585</v>
      </c>
      <c r="W39" s="394">
        <f>W75/W$27</f>
        <v>0.28139786981937837</v>
      </c>
      <c r="X39" s="394">
        <f>AVERAGE(T39:W39)</f>
        <v>0.30972813229192359</v>
      </c>
      <c r="Y39" s="394">
        <f>Y75/Y$27</f>
        <v>0.2907523805316255</v>
      </c>
      <c r="Z39" s="394">
        <f>Z75/Z$27</f>
        <v>0.27652538092193901</v>
      </c>
      <c r="AA39" s="394">
        <f>AA75/AA$27</f>
        <v>0.24317813171816183</v>
      </c>
      <c r="AB39" s="394">
        <f>AB75/AB$27</f>
        <v>0.24924660480776892</v>
      </c>
      <c r="AC39" s="394">
        <f>AVERAGE(Y39:AB39)</f>
        <v>0.26492562449487378</v>
      </c>
      <c r="AD39" s="394">
        <f>AD75/AD$27</f>
        <v>0.24358271793903793</v>
      </c>
      <c r="AE39" s="394">
        <f>AE75/AE$27</f>
        <v>0.20719503594081223</v>
      </c>
      <c r="AF39" s="394">
        <f>AF75/AF$27</f>
        <v>0.2041195201632969</v>
      </c>
      <c r="AG39" s="394">
        <f>AG75/AG$27</f>
        <v>0.21186257752332349</v>
      </c>
      <c r="AH39" s="716">
        <f>AVERAGE(AD39:AG39)</f>
        <v>0.21668996289161765</v>
      </c>
      <c r="AI39" s="716">
        <f>AI75/AI$27</f>
        <v>0.18630590225086563</v>
      </c>
      <c r="AJ39" s="716">
        <f>AJ75/AJ$27</f>
        <v>0.17155933778881743</v>
      </c>
      <c r="AK39" s="716">
        <f>AK75/AK$27</f>
        <v>0.16369184048217325</v>
      </c>
      <c r="AL39" s="716">
        <f>AL75/AL$27</f>
        <v>0.16000571450401249</v>
      </c>
      <c r="AM39" s="716">
        <f>AVERAGE(AI39:AL39)</f>
        <v>0.1703906987564672</v>
      </c>
      <c r="AN39" s="396">
        <f t="shared" ref="AN39:BA39" si="41">CHOOSE($U$1,AN36,AN37,AN38)</f>
        <v>0.11075395419170368</v>
      </c>
      <c r="AO39" s="396">
        <f t="shared" si="41"/>
        <v>7.7527767934192568E-2</v>
      </c>
      <c r="AP39" s="396">
        <f t="shared" si="41"/>
        <v>5.4269437553934798E-2</v>
      </c>
      <c r="AQ39" s="396">
        <f t="shared" si="41"/>
        <v>3.7988606287754356E-2</v>
      </c>
      <c r="AR39" s="396">
        <f t="shared" si="41"/>
        <v>3.7988606287754356E-3</v>
      </c>
      <c r="AS39" s="396">
        <f t="shared" si="41"/>
        <v>3.7988606287754357E-4</v>
      </c>
      <c r="AT39" s="396">
        <f t="shared" si="41"/>
        <v>3.7988606287754359E-5</v>
      </c>
      <c r="AU39" s="396">
        <f t="shared" si="41"/>
        <v>3.7988606287754359E-6</v>
      </c>
      <c r="AV39" s="396">
        <f t="shared" si="41"/>
        <v>3.7988606287754361E-7</v>
      </c>
      <c r="AW39" s="396">
        <f t="shared" si="41"/>
        <v>3.7988606287754361E-8</v>
      </c>
      <c r="AX39" s="396">
        <f t="shared" si="41"/>
        <v>3.7988606287754364E-9</v>
      </c>
      <c r="AY39" s="396">
        <f t="shared" si="41"/>
        <v>3.7988606287754364E-10</v>
      </c>
      <c r="AZ39" s="396">
        <f t="shared" si="41"/>
        <v>3.7988606287754369E-11</v>
      </c>
      <c r="BA39" s="396">
        <f t="shared" si="41"/>
        <v>3.7988606287754371E-12</v>
      </c>
    </row>
    <row r="40" spans="1:53" s="77" customFormat="1" ht="12.75" customHeight="1" outlineLevel="1">
      <c r="A40" s="379"/>
      <c r="B40" s="393" t="s">
        <v>423</v>
      </c>
      <c r="C40" s="394"/>
      <c r="D40" s="394"/>
      <c r="E40" s="394"/>
      <c r="F40" s="394"/>
      <c r="G40" s="394"/>
      <c r="H40" s="394"/>
      <c r="I40" s="394"/>
      <c r="J40" s="394"/>
      <c r="K40" s="394"/>
      <c r="L40" s="394"/>
      <c r="M40" s="394"/>
      <c r="N40" s="394"/>
      <c r="O40" s="394"/>
      <c r="P40" s="394"/>
      <c r="Q40" s="394"/>
      <c r="R40" s="394"/>
      <c r="S40" s="394"/>
      <c r="T40" s="394"/>
      <c r="U40" s="394"/>
      <c r="V40" s="394"/>
      <c r="W40" s="394"/>
      <c r="X40" s="394"/>
      <c r="Y40" s="394"/>
      <c r="Z40" s="394"/>
      <c r="AA40" s="394"/>
      <c r="AB40" s="394"/>
      <c r="AC40" s="394"/>
      <c r="AD40" s="394"/>
      <c r="AE40" s="394"/>
      <c r="AF40" s="394"/>
      <c r="AG40" s="394"/>
      <c r="AH40" s="716"/>
      <c r="AI40" s="716"/>
      <c r="AJ40" s="716"/>
      <c r="AK40" s="716"/>
      <c r="AL40" s="716"/>
      <c r="AM40" s="394"/>
      <c r="AN40" s="394">
        <f>AN41</f>
        <v>5.5E-2</v>
      </c>
      <c r="AO40" s="394">
        <f>AO41</f>
        <v>3.3000000000000002E-2</v>
      </c>
      <c r="AP40" s="394">
        <f>AO40*1.03</f>
        <v>3.3989999999999999E-2</v>
      </c>
      <c r="AQ40" s="394">
        <f>AP40*1.03</f>
        <v>3.5009699999999998E-2</v>
      </c>
      <c r="AR40" s="394">
        <f>AQ40*1.03</f>
        <v>3.6059991E-2</v>
      </c>
      <c r="AS40" s="394">
        <f>AR40*1.03</f>
        <v>3.7141790729999999E-2</v>
      </c>
      <c r="AT40" s="642">
        <f t="shared" ref="AT40:BA40" si="42">AS40*0.1</f>
        <v>3.7141790729999999E-3</v>
      </c>
      <c r="AU40" s="642">
        <f t="shared" si="42"/>
        <v>3.7141790730000002E-4</v>
      </c>
      <c r="AV40" s="642">
        <f t="shared" si="42"/>
        <v>3.7141790730000008E-5</v>
      </c>
      <c r="AW40" s="642">
        <f t="shared" si="42"/>
        <v>3.714179073000001E-6</v>
      </c>
      <c r="AX40" s="642">
        <f t="shared" si="42"/>
        <v>3.7141790730000012E-7</v>
      </c>
      <c r="AY40" s="642">
        <f t="shared" si="42"/>
        <v>3.7141790730000015E-8</v>
      </c>
      <c r="AZ40" s="642">
        <f t="shared" si="42"/>
        <v>3.7141790730000016E-9</v>
      </c>
      <c r="BA40" s="642">
        <f t="shared" si="42"/>
        <v>3.7141790730000017E-10</v>
      </c>
    </row>
    <row r="41" spans="1:53" s="77" customFormat="1" ht="12.75" customHeight="1" outlineLevel="1">
      <c r="A41" s="379"/>
      <c r="B41" s="393" t="s">
        <v>424</v>
      </c>
      <c r="C41" s="394"/>
      <c r="D41" s="394"/>
      <c r="E41" s="394"/>
      <c r="F41" s="394"/>
      <c r="G41" s="394"/>
      <c r="H41" s="394"/>
      <c r="I41" s="394"/>
      <c r="J41" s="394"/>
      <c r="K41" s="394"/>
      <c r="L41" s="394"/>
      <c r="M41" s="394"/>
      <c r="N41" s="394"/>
      <c r="O41" s="394"/>
      <c r="P41" s="394"/>
      <c r="Q41" s="394"/>
      <c r="R41" s="394"/>
      <c r="S41" s="394"/>
      <c r="T41" s="394"/>
      <c r="U41" s="394"/>
      <c r="V41" s="394"/>
      <c r="W41" s="394"/>
      <c r="X41" s="394"/>
      <c r="Y41" s="394"/>
      <c r="Z41" s="394"/>
      <c r="AA41" s="394"/>
      <c r="AB41" s="394"/>
      <c r="AC41" s="394"/>
      <c r="AD41" s="394"/>
      <c r="AE41" s="394"/>
      <c r="AF41" s="394"/>
      <c r="AG41" s="394"/>
      <c r="AH41" s="716"/>
      <c r="AI41" s="716"/>
      <c r="AJ41" s="716"/>
      <c r="AK41" s="716"/>
      <c r="AL41" s="716"/>
      <c r="AM41" s="394"/>
      <c r="AN41" s="394">
        <v>5.5E-2</v>
      </c>
      <c r="AO41" s="394">
        <f>AN41*0.6</f>
        <v>3.3000000000000002E-2</v>
      </c>
      <c r="AP41" s="394">
        <f>AO41*0.6</f>
        <v>1.9800000000000002E-2</v>
      </c>
      <c r="AQ41" s="716">
        <f>AP41*0.7</f>
        <v>1.3860000000000001E-2</v>
      </c>
      <c r="AR41" s="716">
        <f t="shared" ref="AR41:AS41" si="43">AQ41*0.8</f>
        <v>1.1088000000000001E-2</v>
      </c>
      <c r="AS41" s="716">
        <f t="shared" si="43"/>
        <v>8.8704000000000005E-3</v>
      </c>
      <c r="AT41" s="642">
        <f t="shared" ref="AT41:BA41" si="44">AS41*0.1</f>
        <v>8.8704000000000007E-4</v>
      </c>
      <c r="AU41" s="642">
        <f t="shared" si="44"/>
        <v>8.870400000000001E-5</v>
      </c>
      <c r="AV41" s="642">
        <f t="shared" si="44"/>
        <v>8.8704000000000007E-6</v>
      </c>
      <c r="AW41" s="642">
        <f t="shared" si="44"/>
        <v>8.8704000000000009E-7</v>
      </c>
      <c r="AX41" s="642">
        <f t="shared" si="44"/>
        <v>8.8704000000000011E-8</v>
      </c>
      <c r="AY41" s="642">
        <f t="shared" si="44"/>
        <v>8.8704000000000011E-9</v>
      </c>
      <c r="AZ41" s="642">
        <f t="shared" si="44"/>
        <v>8.8704000000000018E-10</v>
      </c>
      <c r="BA41" s="642">
        <f t="shared" si="44"/>
        <v>8.8704000000000023E-11</v>
      </c>
    </row>
    <row r="42" spans="1:53" s="77" customFormat="1" ht="12.75" customHeight="1" outlineLevel="1">
      <c r="A42" s="379"/>
      <c r="B42" s="393" t="s">
        <v>425</v>
      </c>
      <c r="C42" s="394"/>
      <c r="D42" s="394"/>
      <c r="E42" s="394"/>
      <c r="F42" s="394"/>
      <c r="G42" s="394"/>
      <c r="H42" s="394"/>
      <c r="I42" s="394"/>
      <c r="J42" s="394"/>
      <c r="K42" s="394"/>
      <c r="L42" s="394"/>
      <c r="M42" s="394"/>
      <c r="N42" s="394"/>
      <c r="O42" s="394"/>
      <c r="P42" s="394"/>
      <c r="Q42" s="394"/>
      <c r="R42" s="394"/>
      <c r="S42" s="394"/>
      <c r="T42" s="394"/>
      <c r="U42" s="394"/>
      <c r="V42" s="394"/>
      <c r="W42" s="394"/>
      <c r="X42" s="394"/>
      <c r="Y42" s="394"/>
      <c r="Z42" s="394"/>
      <c r="AA42" s="394"/>
      <c r="AB42" s="394"/>
      <c r="AC42" s="394"/>
      <c r="AD42" s="394"/>
      <c r="AE42" s="394"/>
      <c r="AF42" s="394"/>
      <c r="AG42" s="394"/>
      <c r="AH42" s="716"/>
      <c r="AI42" s="716"/>
      <c r="AJ42" s="716"/>
      <c r="AK42" s="716"/>
      <c r="AL42" s="716"/>
      <c r="AM42" s="394"/>
      <c r="AN42" s="394">
        <f>AN41</f>
        <v>5.5E-2</v>
      </c>
      <c r="AO42" s="394">
        <f>AN42*0.85</f>
        <v>4.675E-2</v>
      </c>
      <c r="AP42" s="394">
        <f>AO42*0.85</f>
        <v>3.9737500000000002E-2</v>
      </c>
      <c r="AQ42" s="394">
        <f>AP42*0.85</f>
        <v>3.3776874999999998E-2</v>
      </c>
      <c r="AR42" s="394">
        <f>AQ42*0.85</f>
        <v>2.8710343749999999E-2</v>
      </c>
      <c r="AS42" s="394">
        <f>AR42*0.85</f>
        <v>2.4403792187499999E-2</v>
      </c>
      <c r="AT42" s="397">
        <f t="shared" ref="AT42:BA42" si="45">AS42*0.1</f>
        <v>2.4403792187500002E-3</v>
      </c>
      <c r="AU42" s="397">
        <f t="shared" si="45"/>
        <v>2.4403792187500004E-4</v>
      </c>
      <c r="AV42" s="397">
        <f t="shared" si="45"/>
        <v>2.4403792187500006E-5</v>
      </c>
      <c r="AW42" s="397">
        <f t="shared" si="45"/>
        <v>2.4403792187500008E-6</v>
      </c>
      <c r="AX42" s="397">
        <f t="shared" si="45"/>
        <v>2.440379218750001E-7</v>
      </c>
      <c r="AY42" s="397">
        <f t="shared" si="45"/>
        <v>2.4403792187500012E-8</v>
      </c>
      <c r="AZ42" s="397">
        <f t="shared" si="45"/>
        <v>2.4403792187500015E-9</v>
      </c>
      <c r="BA42" s="397">
        <f t="shared" si="45"/>
        <v>2.4403792187500018E-10</v>
      </c>
    </row>
    <row r="43" spans="1:53" s="77" customFormat="1" ht="12.75" customHeight="1">
      <c r="A43" s="379" t="s">
        <v>578</v>
      </c>
      <c r="B43" s="395" t="s">
        <v>880</v>
      </c>
      <c r="C43" s="394"/>
      <c r="D43" s="394"/>
      <c r="E43" s="394"/>
      <c r="F43" s="394"/>
      <c r="G43" s="394"/>
      <c r="H43" s="394"/>
      <c r="I43" s="394"/>
      <c r="J43" s="394"/>
      <c r="K43" s="394"/>
      <c r="L43" s="394">
        <v>0</v>
      </c>
      <c r="M43" s="394">
        <v>0</v>
      </c>
      <c r="N43" s="394">
        <v>3.5000000000000003E-2</v>
      </c>
      <c r="O43" s="394">
        <f>O76/$O$27</f>
        <v>4.1713682919714695E-2</v>
      </c>
      <c r="P43" s="394">
        <f>P76/$P$27</f>
        <v>6.8827159898515025E-2</v>
      </c>
      <c r="Q43" s="394">
        <f>Q76/$Q$27</f>
        <v>8.013570127700495E-2</v>
      </c>
      <c r="R43" s="394">
        <f>R76/$R$27</f>
        <v>9.6468002920650026E-2</v>
      </c>
      <c r="S43" s="394">
        <f>AVERAGE(O43:R43)</f>
        <v>7.1786136753971164E-2</v>
      </c>
      <c r="T43" s="394">
        <f>T76/$T$27</f>
        <v>9.4292933147793648E-2</v>
      </c>
      <c r="U43" s="394">
        <f>U76/$U$27</f>
        <v>0.10398375405218598</v>
      </c>
      <c r="V43" s="394">
        <f>V76/V$27</f>
        <v>9.602703041806436E-2</v>
      </c>
      <c r="W43" s="394">
        <f>W76/W$27</f>
        <v>0.11445904802593239</v>
      </c>
      <c r="X43" s="394">
        <f>AVERAGE(T43:W43)</f>
        <v>0.10219069141099409</v>
      </c>
      <c r="Y43" s="394">
        <f>Y76/Y$27</f>
        <v>0.11873079981864318</v>
      </c>
      <c r="Z43" s="394">
        <f>Z76/Z$27</f>
        <v>0.11124297780619027</v>
      </c>
      <c r="AA43" s="394">
        <f>AA76/AA$27</f>
        <v>0.1123712927338494</v>
      </c>
      <c r="AB43" s="394">
        <f>AB76/AB$27</f>
        <v>0.11031678853360283</v>
      </c>
      <c r="AC43" s="394">
        <f>AVERAGE(Y43:AB43)</f>
        <v>0.11316546472307142</v>
      </c>
      <c r="AD43" s="394">
        <f>AD76/AD$27</f>
        <v>0.12607918051324302</v>
      </c>
      <c r="AE43" s="394">
        <f>AE76/AE$27</f>
        <v>0.11780640506949686</v>
      </c>
      <c r="AF43" s="394">
        <f>AF76/AF$27</f>
        <v>0.12162440265731754</v>
      </c>
      <c r="AG43" s="394">
        <f>AG76/AG$27</f>
        <v>0.12125946671059901</v>
      </c>
      <c r="AH43" s="716">
        <f>AVERAGE(AD43:AG43)</f>
        <v>0.12169236373766411</v>
      </c>
      <c r="AI43" s="716">
        <f>AI76/AI$27</f>
        <v>0.12373869427221511</v>
      </c>
      <c r="AJ43" s="716">
        <f>AJ76/AJ$27</f>
        <v>0.11408723389945043</v>
      </c>
      <c r="AK43" s="716">
        <f>AK76/AK$27</f>
        <v>8.8695991545957392E-2</v>
      </c>
      <c r="AL43" s="716">
        <f>AL76/AL$27</f>
        <v>8.4091675292297552E-2</v>
      </c>
      <c r="AM43" s="716">
        <f>AVERAGE(AI43:AL43)</f>
        <v>0.10265339875248011</v>
      </c>
      <c r="AN43" s="396">
        <f t="shared" ref="AN43:BA43" si="46">CHOOSE($U$1,AN40,AN41,AN42)</f>
        <v>5.5E-2</v>
      </c>
      <c r="AO43" s="396">
        <f t="shared" si="46"/>
        <v>3.3000000000000002E-2</v>
      </c>
      <c r="AP43" s="396">
        <f t="shared" si="46"/>
        <v>1.9800000000000002E-2</v>
      </c>
      <c r="AQ43" s="396">
        <f t="shared" si="46"/>
        <v>1.3860000000000001E-2</v>
      </c>
      <c r="AR43" s="396">
        <f t="shared" si="46"/>
        <v>1.1088000000000001E-2</v>
      </c>
      <c r="AS43" s="396">
        <f t="shared" si="46"/>
        <v>8.8704000000000005E-3</v>
      </c>
      <c r="AT43" s="396">
        <f t="shared" si="46"/>
        <v>8.8704000000000007E-4</v>
      </c>
      <c r="AU43" s="396">
        <f t="shared" si="46"/>
        <v>8.870400000000001E-5</v>
      </c>
      <c r="AV43" s="396">
        <f t="shared" si="46"/>
        <v>8.8704000000000007E-6</v>
      </c>
      <c r="AW43" s="396">
        <f t="shared" si="46"/>
        <v>8.8704000000000009E-7</v>
      </c>
      <c r="AX43" s="396">
        <f t="shared" si="46"/>
        <v>8.8704000000000011E-8</v>
      </c>
      <c r="AY43" s="396">
        <f t="shared" si="46"/>
        <v>8.8704000000000011E-9</v>
      </c>
      <c r="AZ43" s="396">
        <f t="shared" si="46"/>
        <v>8.8704000000000018E-10</v>
      </c>
      <c r="BA43" s="396">
        <f t="shared" si="46"/>
        <v>8.8704000000000023E-11</v>
      </c>
    </row>
    <row r="44" spans="1:53" s="77" customFormat="1" ht="12.75" customHeight="1" outlineLevel="1">
      <c r="A44" s="379"/>
      <c r="B44" s="393" t="s">
        <v>423</v>
      </c>
      <c r="C44" s="394"/>
      <c r="D44" s="394"/>
      <c r="E44" s="394"/>
      <c r="F44" s="394"/>
      <c r="G44" s="394"/>
      <c r="H44" s="394"/>
      <c r="I44" s="394"/>
      <c r="J44" s="394"/>
      <c r="K44" s="394"/>
      <c r="L44" s="394"/>
      <c r="M44" s="394"/>
      <c r="N44" s="394"/>
      <c r="O44" s="394"/>
      <c r="P44" s="394"/>
      <c r="Q44" s="394"/>
      <c r="R44" s="394"/>
      <c r="S44" s="394"/>
      <c r="T44" s="394"/>
      <c r="U44" s="394"/>
      <c r="V44" s="394"/>
      <c r="W44" s="394"/>
      <c r="X44" s="394"/>
      <c r="Y44" s="394"/>
      <c r="Z44" s="394"/>
      <c r="AA44" s="394"/>
      <c r="AB44" s="394"/>
      <c r="AC44" s="394"/>
      <c r="AD44" s="394"/>
      <c r="AE44" s="394"/>
      <c r="AF44" s="394"/>
      <c r="AG44" s="394"/>
      <c r="AH44" s="716"/>
      <c r="AI44" s="716"/>
      <c r="AJ44" s="716"/>
      <c r="AK44" s="716"/>
      <c r="AL44" s="716"/>
      <c r="AM44" s="394"/>
      <c r="AN44" s="716">
        <f t="shared" ref="AN44:AY44" si="47">AN45*1.2</f>
        <v>7.3200000000000001E-2</v>
      </c>
      <c r="AO44" s="716">
        <f t="shared" si="47"/>
        <v>5.1239999999999994E-2</v>
      </c>
      <c r="AP44" s="716">
        <f t="shared" si="47"/>
        <v>3.586799999999999E-2</v>
      </c>
      <c r="AQ44" s="716">
        <f t="shared" si="47"/>
        <v>2.510759999999999E-2</v>
      </c>
      <c r="AR44" s="716">
        <f t="shared" si="47"/>
        <v>1.7575319999999995E-2</v>
      </c>
      <c r="AS44" s="716">
        <f t="shared" si="47"/>
        <v>1.5817787999999992E-2</v>
      </c>
      <c r="AT44" s="716">
        <f t="shared" si="47"/>
        <v>1.5817787999999992E-2</v>
      </c>
      <c r="AU44" s="716">
        <f t="shared" si="47"/>
        <v>1.5817787999999992E-2</v>
      </c>
      <c r="AV44" s="716">
        <f t="shared" si="47"/>
        <v>1.5817787999999992E-2</v>
      </c>
      <c r="AW44" s="716">
        <f t="shared" si="47"/>
        <v>1.5817787999999992E-2</v>
      </c>
      <c r="AX44" s="716">
        <f t="shared" si="47"/>
        <v>1.5817787999999992E-2</v>
      </c>
      <c r="AY44" s="716">
        <f t="shared" si="47"/>
        <v>1.5817787999999992E-2</v>
      </c>
      <c r="AZ44" s="397">
        <f t="shared" ref="AZ44:BA46" si="48">AY44*0.1</f>
        <v>1.5817787999999992E-3</v>
      </c>
      <c r="BA44" s="397">
        <f t="shared" si="48"/>
        <v>1.5817787999999994E-4</v>
      </c>
    </row>
    <row r="45" spans="1:53" s="77" customFormat="1" ht="12.75" customHeight="1" outlineLevel="1">
      <c r="A45" s="379"/>
      <c r="B45" s="393" t="s">
        <v>424</v>
      </c>
      <c r="C45" s="394"/>
      <c r="D45" s="394"/>
      <c r="E45" s="394"/>
      <c r="F45" s="394"/>
      <c r="G45" s="394"/>
      <c r="H45" s="394"/>
      <c r="I45" s="394"/>
      <c r="J45" s="394"/>
      <c r="K45" s="394"/>
      <c r="L45" s="394"/>
      <c r="M45" s="394"/>
      <c r="N45" s="394"/>
      <c r="O45" s="394"/>
      <c r="P45" s="394"/>
      <c r="Q45" s="394"/>
      <c r="R45" s="394"/>
      <c r="S45" s="394"/>
      <c r="T45" s="394"/>
      <c r="U45" s="394"/>
      <c r="V45" s="394"/>
      <c r="W45" s="394"/>
      <c r="X45" s="394"/>
      <c r="Y45" s="394"/>
      <c r="Z45" s="394"/>
      <c r="AA45" s="394"/>
      <c r="AB45" s="394"/>
      <c r="AC45" s="394"/>
      <c r="AD45" s="394"/>
      <c r="AE45" s="394"/>
      <c r="AF45" s="394"/>
      <c r="AG45" s="394"/>
      <c r="AH45" s="716"/>
      <c r="AI45" s="716"/>
      <c r="AJ45" s="716"/>
      <c r="AK45" s="716"/>
      <c r="AL45" s="716"/>
      <c r="AM45" s="716"/>
      <c r="AN45" s="394">
        <v>6.0999999999999999E-2</v>
      </c>
      <c r="AO45" s="394">
        <f>AN45*0.7</f>
        <v>4.2699999999999995E-2</v>
      </c>
      <c r="AP45" s="716">
        <f>AO45*0.7</f>
        <v>2.9889999999999993E-2</v>
      </c>
      <c r="AQ45" s="716">
        <f>AP45*0.7</f>
        <v>2.0922999999999994E-2</v>
      </c>
      <c r="AR45" s="716">
        <f>AQ45*0.7</f>
        <v>1.4646099999999995E-2</v>
      </c>
      <c r="AS45" s="716">
        <f>AR45*0.9</f>
        <v>1.3181489999999995E-2</v>
      </c>
      <c r="AT45" s="394">
        <f t="shared" ref="AT45:AY45" si="49">AS45</f>
        <v>1.3181489999999995E-2</v>
      </c>
      <c r="AU45" s="394">
        <f t="shared" si="49"/>
        <v>1.3181489999999995E-2</v>
      </c>
      <c r="AV45" s="394">
        <f t="shared" si="49"/>
        <v>1.3181489999999995E-2</v>
      </c>
      <c r="AW45" s="394">
        <f t="shared" si="49"/>
        <v>1.3181489999999995E-2</v>
      </c>
      <c r="AX45" s="394">
        <f t="shared" si="49"/>
        <v>1.3181489999999995E-2</v>
      </c>
      <c r="AY45" s="394">
        <f t="shared" si="49"/>
        <v>1.3181489999999995E-2</v>
      </c>
      <c r="AZ45" s="397">
        <f t="shared" si="48"/>
        <v>1.3181489999999996E-3</v>
      </c>
      <c r="BA45" s="397">
        <f t="shared" si="48"/>
        <v>1.3181489999999996E-4</v>
      </c>
    </row>
    <row r="46" spans="1:53" s="77" customFormat="1" ht="12.75" customHeight="1" outlineLevel="1">
      <c r="A46" s="379"/>
      <c r="B46" s="393" t="s">
        <v>425</v>
      </c>
      <c r="C46" s="394"/>
      <c r="D46" s="394"/>
      <c r="E46" s="394"/>
      <c r="F46" s="394"/>
      <c r="G46" s="394"/>
      <c r="H46" s="394"/>
      <c r="I46" s="394"/>
      <c r="J46" s="394"/>
      <c r="K46" s="394"/>
      <c r="L46" s="394"/>
      <c r="M46" s="394"/>
      <c r="N46" s="394"/>
      <c r="O46" s="394"/>
      <c r="P46" s="394"/>
      <c r="Q46" s="394"/>
      <c r="R46" s="394"/>
      <c r="S46" s="394"/>
      <c r="T46" s="394"/>
      <c r="U46" s="394"/>
      <c r="V46" s="394"/>
      <c r="W46" s="394"/>
      <c r="X46" s="394"/>
      <c r="Y46" s="394"/>
      <c r="Z46" s="394"/>
      <c r="AA46" s="394"/>
      <c r="AB46" s="394"/>
      <c r="AC46" s="394"/>
      <c r="AD46" s="394"/>
      <c r="AE46" s="394"/>
      <c r="AF46" s="394"/>
      <c r="AG46" s="394"/>
      <c r="AH46" s="716"/>
      <c r="AI46" s="716"/>
      <c r="AJ46" s="716"/>
      <c r="AK46" s="716"/>
      <c r="AL46" s="716"/>
      <c r="AM46" s="394"/>
      <c r="AN46" s="394">
        <f>AN45</f>
        <v>6.0999999999999999E-2</v>
      </c>
      <c r="AO46" s="394">
        <f>AN46*0.85</f>
        <v>5.185E-2</v>
      </c>
      <c r="AP46" s="394">
        <f>AO46*0.85</f>
        <v>4.4072500000000001E-2</v>
      </c>
      <c r="AQ46" s="394">
        <f>AP46*0.85</f>
        <v>3.7461624999999998E-2</v>
      </c>
      <c r="AR46" s="394">
        <f>AQ46*0.85</f>
        <v>3.1842381249999996E-2</v>
      </c>
      <c r="AS46" s="394">
        <f t="shared" ref="AS46:AY46" si="50">AR46*0.85</f>
        <v>2.7066024062499996E-2</v>
      </c>
      <c r="AT46" s="394">
        <f t="shared" si="50"/>
        <v>2.3006120453124997E-2</v>
      </c>
      <c r="AU46" s="394">
        <f t="shared" si="50"/>
        <v>1.9555202385156248E-2</v>
      </c>
      <c r="AV46" s="394">
        <f t="shared" si="50"/>
        <v>1.6621922027382809E-2</v>
      </c>
      <c r="AW46" s="394">
        <f t="shared" si="50"/>
        <v>1.4128633723275387E-2</v>
      </c>
      <c r="AX46" s="394">
        <f t="shared" si="50"/>
        <v>1.2009338664784078E-2</v>
      </c>
      <c r="AY46" s="394">
        <f t="shared" si="50"/>
        <v>1.0207937865066467E-2</v>
      </c>
      <c r="AZ46" s="397">
        <f t="shared" si="48"/>
        <v>1.0207937865066468E-3</v>
      </c>
      <c r="BA46" s="397">
        <f t="shared" si="48"/>
        <v>1.0207937865066468E-4</v>
      </c>
    </row>
    <row r="47" spans="1:53" s="77" customFormat="1" ht="12.75" customHeight="1">
      <c r="A47" s="379" t="s">
        <v>578</v>
      </c>
      <c r="B47" s="395" t="s">
        <v>881</v>
      </c>
      <c r="C47" s="394"/>
      <c r="D47" s="394"/>
      <c r="E47" s="394"/>
      <c r="F47" s="394"/>
      <c r="G47" s="394"/>
      <c r="H47" s="394"/>
      <c r="I47" s="394"/>
      <c r="J47" s="394"/>
      <c r="K47" s="394"/>
      <c r="L47" s="394">
        <v>0</v>
      </c>
      <c r="M47" s="394">
        <v>0</v>
      </c>
      <c r="N47" s="394">
        <v>0</v>
      </c>
      <c r="O47" s="394">
        <f>O77/$T$27</f>
        <v>0</v>
      </c>
      <c r="P47" s="394">
        <f>P77/$T$27</f>
        <v>0</v>
      </c>
      <c r="Q47" s="394">
        <f>Q77/$Q$27</f>
        <v>1.487738820603169E-2</v>
      </c>
      <c r="R47" s="394">
        <f>R77/R$27</f>
        <v>2.0016428090006356E-2</v>
      </c>
      <c r="S47" s="394">
        <f>AVERAGE(Q47:R47)</f>
        <v>1.7446908148019025E-2</v>
      </c>
      <c r="T47" s="394">
        <f>T77/T$27</f>
        <v>4.1578516375015515E-2</v>
      </c>
      <c r="U47" s="394">
        <f>U77/U$27</f>
        <v>5.5740276046644749E-2</v>
      </c>
      <c r="V47" s="394">
        <f>V77/V$27</f>
        <v>7.1618801990772765E-2</v>
      </c>
      <c r="W47" s="394">
        <f>W77/W$27</f>
        <v>9.602851793408286E-2</v>
      </c>
      <c r="X47" s="394">
        <f>AVERAGE(T47:W47)</f>
        <v>6.6241528086628976E-2</v>
      </c>
      <c r="Y47" s="394">
        <f>Y77/Y$27</f>
        <v>9.7188339738497193E-2</v>
      </c>
      <c r="Z47" s="394">
        <f>Z77/Z$27</f>
        <v>0.10579103179676838</v>
      </c>
      <c r="AA47" s="394">
        <f>AA77/AA$27</f>
        <v>0.11389259715658</v>
      </c>
      <c r="AB47" s="394">
        <f>AB77/AB$27</f>
        <v>0.12524425770778844</v>
      </c>
      <c r="AC47" s="394">
        <f>AVERAGE(Y47:AB47)</f>
        <v>0.1105290565999085</v>
      </c>
      <c r="AD47" s="394">
        <f>AD77/AD$27</f>
        <v>0.1534300905159241</v>
      </c>
      <c r="AE47" s="394">
        <f>AE77/AE$27</f>
        <v>0.14766436786842868</v>
      </c>
      <c r="AF47" s="394">
        <f>AF77/AF$27</f>
        <v>0.15626603460960184</v>
      </c>
      <c r="AG47" s="394">
        <f>AG77/AG$27</f>
        <v>0.16999715585724481</v>
      </c>
      <c r="AH47" s="716">
        <f>AVERAGE(AD47:AG47)</f>
        <v>0.15683941221279987</v>
      </c>
      <c r="AI47" s="716">
        <f>AI77/AI$27</f>
        <v>0.15882017903067416</v>
      </c>
      <c r="AJ47" s="716">
        <f>AJ77/AJ$27</f>
        <v>0.13915263031916686</v>
      </c>
      <c r="AK47" s="716">
        <f>AK77/AK$27</f>
        <v>0.12859005016976421</v>
      </c>
      <c r="AL47" s="716">
        <f>AL77/AL$27</f>
        <v>0.12087274581691752</v>
      </c>
      <c r="AM47" s="716">
        <f>AVERAGE(AI47:AL47)</f>
        <v>0.1368589013341307</v>
      </c>
      <c r="AN47" s="396">
        <f t="shared" ref="AN47:BA47" si="51">CHOOSE($U$1,AN44,AN45,AN46)</f>
        <v>6.0999999999999999E-2</v>
      </c>
      <c r="AO47" s="396">
        <f t="shared" si="51"/>
        <v>4.2699999999999995E-2</v>
      </c>
      <c r="AP47" s="396">
        <f t="shared" si="51"/>
        <v>2.9889999999999993E-2</v>
      </c>
      <c r="AQ47" s="396">
        <f t="shared" si="51"/>
        <v>2.0922999999999994E-2</v>
      </c>
      <c r="AR47" s="396">
        <f t="shared" si="51"/>
        <v>1.4646099999999995E-2</v>
      </c>
      <c r="AS47" s="396">
        <f t="shared" si="51"/>
        <v>1.3181489999999995E-2</v>
      </c>
      <c r="AT47" s="396">
        <f t="shared" si="51"/>
        <v>1.3181489999999995E-2</v>
      </c>
      <c r="AU47" s="396">
        <f t="shared" si="51"/>
        <v>1.3181489999999995E-2</v>
      </c>
      <c r="AV47" s="396">
        <f t="shared" si="51"/>
        <v>1.3181489999999995E-2</v>
      </c>
      <c r="AW47" s="396">
        <f t="shared" si="51"/>
        <v>1.3181489999999995E-2</v>
      </c>
      <c r="AX47" s="396">
        <f t="shared" si="51"/>
        <v>1.3181489999999995E-2</v>
      </c>
      <c r="AY47" s="396">
        <f t="shared" si="51"/>
        <v>1.3181489999999995E-2</v>
      </c>
      <c r="AZ47" s="396">
        <f t="shared" si="51"/>
        <v>1.3181489999999996E-3</v>
      </c>
      <c r="BA47" s="396">
        <f t="shared" si="51"/>
        <v>1.3181489999999996E-4</v>
      </c>
    </row>
    <row r="48" spans="1:53" s="77" customFormat="1" ht="12.75" customHeight="1" outlineLevel="1">
      <c r="A48" s="379"/>
      <c r="B48" s="393" t="s">
        <v>423</v>
      </c>
      <c r="C48" s="394"/>
      <c r="D48" s="394"/>
      <c r="E48" s="394"/>
      <c r="F48" s="394"/>
      <c r="G48" s="394"/>
      <c r="H48" s="394"/>
      <c r="I48" s="394"/>
      <c r="J48" s="394"/>
      <c r="K48" s="394"/>
      <c r="L48" s="394"/>
      <c r="M48" s="394"/>
      <c r="N48" s="394"/>
      <c r="O48" s="394"/>
      <c r="P48" s="394"/>
      <c r="Q48" s="394"/>
      <c r="R48" s="394"/>
      <c r="S48" s="394"/>
      <c r="T48" s="394"/>
      <c r="U48" s="394"/>
      <c r="V48" s="394"/>
      <c r="W48" s="394"/>
      <c r="X48" s="394"/>
      <c r="Y48" s="394"/>
      <c r="Z48" s="394"/>
      <c r="AA48" s="394"/>
      <c r="AB48" s="394"/>
      <c r="AC48" s="396"/>
      <c r="AD48" s="396"/>
      <c r="AE48" s="396"/>
      <c r="AF48" s="396"/>
      <c r="AG48" s="396"/>
      <c r="AH48" s="396"/>
      <c r="AI48" s="396"/>
      <c r="AJ48" s="396"/>
      <c r="AK48" s="396"/>
      <c r="AL48" s="396"/>
      <c r="AM48" s="394"/>
      <c r="AN48" s="394">
        <f t="shared" ref="AN48:BA48" si="52">AN49*1.02</f>
        <v>0.26775000000000004</v>
      </c>
      <c r="AO48" s="394">
        <f t="shared" si="52"/>
        <v>0.28783124999999998</v>
      </c>
      <c r="AP48" s="394">
        <f t="shared" si="52"/>
        <v>0.230265</v>
      </c>
      <c r="AQ48" s="394">
        <f t="shared" si="52"/>
        <v>0.18421200000000001</v>
      </c>
      <c r="AR48" s="394">
        <f>AR49*1.02</f>
        <v>0.14736960000000002</v>
      </c>
      <c r="AS48" s="394">
        <f t="shared" si="52"/>
        <v>0.11789568000000002</v>
      </c>
      <c r="AT48" s="394">
        <f t="shared" si="52"/>
        <v>0.11200089600000002</v>
      </c>
      <c r="AU48" s="394">
        <f t="shared" si="52"/>
        <v>0.10640085120000001</v>
      </c>
      <c r="AV48" s="394">
        <f t="shared" si="52"/>
        <v>0.10108080864000001</v>
      </c>
      <c r="AW48" s="394">
        <f t="shared" si="52"/>
        <v>9.6026768208000005E-2</v>
      </c>
      <c r="AX48" s="394">
        <f t="shared" si="52"/>
        <v>9.1225429797599997E-2</v>
      </c>
      <c r="AY48" s="394">
        <f t="shared" si="52"/>
        <v>8.6664158307720007E-2</v>
      </c>
      <c r="AZ48" s="643">
        <f t="shared" si="52"/>
        <v>8.666415830772E-3</v>
      </c>
      <c r="BA48" s="643">
        <f t="shared" si="52"/>
        <v>8.6664158307720005E-4</v>
      </c>
    </row>
    <row r="49" spans="1:53" s="77" customFormat="1" ht="12.75" customHeight="1" outlineLevel="1">
      <c r="A49" s="379"/>
      <c r="B49" s="393" t="s">
        <v>424</v>
      </c>
      <c r="C49" s="394"/>
      <c r="D49" s="394"/>
      <c r="E49" s="394"/>
      <c r="F49" s="394"/>
      <c r="G49" s="394"/>
      <c r="H49" s="394"/>
      <c r="I49" s="394"/>
      <c r="J49" s="394"/>
      <c r="K49" s="394"/>
      <c r="L49" s="394"/>
      <c r="M49" s="394"/>
      <c r="N49" s="394"/>
      <c r="O49" s="394"/>
      <c r="P49" s="394"/>
      <c r="Q49" s="394"/>
      <c r="R49" s="394"/>
      <c r="S49" s="394"/>
      <c r="T49" s="394"/>
      <c r="U49" s="394"/>
      <c r="V49" s="394"/>
      <c r="W49" s="394"/>
      <c r="X49" s="394"/>
      <c r="Y49" s="394"/>
      <c r="Z49" s="394"/>
      <c r="AA49" s="394"/>
      <c r="AB49" s="394"/>
      <c r="AC49" s="396"/>
      <c r="AD49" s="396"/>
      <c r="AE49" s="396"/>
      <c r="AF49" s="396"/>
      <c r="AG49" s="396"/>
      <c r="AH49" s="396"/>
      <c r="AI49" s="396"/>
      <c r="AJ49" s="396"/>
      <c r="AK49" s="396"/>
      <c r="AL49" s="396"/>
      <c r="AM49" s="397"/>
      <c r="AN49" s="394">
        <v>0.26250000000000001</v>
      </c>
      <c r="AO49" s="394">
        <f>AN49*1.075</f>
        <v>0.28218749999999998</v>
      </c>
      <c r="AP49" s="394">
        <f>AO49*0.8</f>
        <v>0.22575000000000001</v>
      </c>
      <c r="AQ49" s="394">
        <f>AP49*0.8</f>
        <v>0.18060000000000001</v>
      </c>
      <c r="AR49" s="716">
        <f>AQ49*0.8</f>
        <v>0.14448000000000003</v>
      </c>
      <c r="AS49" s="716">
        <f>AR49*0.8</f>
        <v>0.11558400000000002</v>
      </c>
      <c r="AT49" s="716">
        <f t="shared" ref="AT49:AY49" si="53">AS49*0.95</f>
        <v>0.10980480000000001</v>
      </c>
      <c r="AU49" s="716">
        <f t="shared" si="53"/>
        <v>0.10431456</v>
      </c>
      <c r="AV49" s="716">
        <f t="shared" si="53"/>
        <v>9.9098831999999998E-2</v>
      </c>
      <c r="AW49" s="716">
        <f t="shared" si="53"/>
        <v>9.4143890399999999E-2</v>
      </c>
      <c r="AX49" s="716">
        <f t="shared" si="53"/>
        <v>8.943669588E-2</v>
      </c>
      <c r="AY49" s="716">
        <f t="shared" si="53"/>
        <v>8.4964861086000001E-2</v>
      </c>
      <c r="AZ49" s="643">
        <f>AY49*0.1</f>
        <v>8.4964861085999998E-3</v>
      </c>
      <c r="BA49" s="643">
        <f>AZ49*0.1</f>
        <v>8.4964861086E-4</v>
      </c>
    </row>
    <row r="50" spans="1:53" s="77" customFormat="1" ht="12.75" customHeight="1" outlineLevel="1">
      <c r="A50" s="379"/>
      <c r="B50" s="393" t="s">
        <v>425</v>
      </c>
      <c r="C50" s="394"/>
      <c r="D50" s="394"/>
      <c r="E50" s="394"/>
      <c r="F50" s="394"/>
      <c r="G50" s="394"/>
      <c r="H50" s="394"/>
      <c r="I50" s="394"/>
      <c r="J50" s="394"/>
      <c r="K50" s="394"/>
      <c r="L50" s="394"/>
      <c r="M50" s="394"/>
      <c r="N50" s="394"/>
      <c r="O50" s="394"/>
      <c r="P50" s="394"/>
      <c r="Q50" s="394"/>
      <c r="R50" s="394"/>
      <c r="S50" s="394"/>
      <c r="T50" s="394"/>
      <c r="U50" s="394"/>
      <c r="V50" s="394"/>
      <c r="W50" s="394"/>
      <c r="X50" s="394"/>
      <c r="Y50" s="394"/>
      <c r="Z50" s="394"/>
      <c r="AA50" s="394"/>
      <c r="AB50" s="394"/>
      <c r="AC50" s="396"/>
      <c r="AD50" s="396"/>
      <c r="AE50" s="396"/>
      <c r="AF50" s="396"/>
      <c r="AG50" s="396"/>
      <c r="AH50" s="396"/>
      <c r="AI50" s="396"/>
      <c r="AJ50" s="396"/>
      <c r="AK50" s="396"/>
      <c r="AL50" s="396"/>
      <c r="AM50" s="394"/>
      <c r="AN50" s="394">
        <f>AN49*0.8</f>
        <v>0.21000000000000002</v>
      </c>
      <c r="AO50" s="394">
        <f>AO49*0.8</f>
        <v>0.22575000000000001</v>
      </c>
      <c r="AP50" s="394">
        <f>AP49*0.8</f>
        <v>0.18060000000000001</v>
      </c>
      <c r="AQ50" s="394">
        <f>AQ49*0.8</f>
        <v>0.14448000000000003</v>
      </c>
      <c r="AR50" s="394">
        <f t="shared" ref="AR50:BA50" si="54">AR49*0.8</f>
        <v>0.11558400000000002</v>
      </c>
      <c r="AS50" s="394">
        <f t="shared" si="54"/>
        <v>9.2467200000000027E-2</v>
      </c>
      <c r="AT50" s="394">
        <f t="shared" si="54"/>
        <v>8.7843840000000006E-2</v>
      </c>
      <c r="AU50" s="394">
        <f t="shared" si="54"/>
        <v>8.3451648000000003E-2</v>
      </c>
      <c r="AV50" s="394">
        <f t="shared" si="54"/>
        <v>7.9279065600000004E-2</v>
      </c>
      <c r="AW50" s="394">
        <f t="shared" si="54"/>
        <v>7.5315112320000002E-2</v>
      </c>
      <c r="AX50" s="394">
        <f t="shared" si="54"/>
        <v>7.1549356704000006E-2</v>
      </c>
      <c r="AY50" s="394">
        <f t="shared" si="54"/>
        <v>6.7971888868799998E-2</v>
      </c>
      <c r="AZ50" s="643">
        <f t="shared" si="54"/>
        <v>6.79718888688E-3</v>
      </c>
      <c r="BA50" s="643">
        <f t="shared" si="54"/>
        <v>6.7971888868800009E-4</v>
      </c>
    </row>
    <row r="51" spans="1:53" s="77" customFormat="1" ht="12.75" customHeight="1">
      <c r="A51" s="379" t="s">
        <v>578</v>
      </c>
      <c r="B51" s="395" t="s">
        <v>882</v>
      </c>
      <c r="C51" s="394"/>
      <c r="D51" s="394"/>
      <c r="E51" s="394"/>
      <c r="F51" s="394"/>
      <c r="G51" s="394"/>
      <c r="H51" s="394"/>
      <c r="I51" s="394"/>
      <c r="J51" s="394"/>
      <c r="K51" s="394"/>
      <c r="L51" s="394"/>
      <c r="M51" s="394"/>
      <c r="N51" s="394"/>
      <c r="O51" s="394"/>
      <c r="P51" s="394"/>
      <c r="Q51" s="394"/>
      <c r="R51" s="394"/>
      <c r="S51" s="394"/>
      <c r="T51" s="394"/>
      <c r="U51" s="394"/>
      <c r="V51" s="394"/>
      <c r="W51" s="394"/>
      <c r="X51" s="394"/>
      <c r="Y51" s="394"/>
      <c r="Z51" s="394"/>
      <c r="AA51" s="394"/>
      <c r="AB51" s="394"/>
      <c r="AC51" s="396"/>
      <c r="AD51" s="396"/>
      <c r="AE51" s="396"/>
      <c r="AF51" s="396"/>
      <c r="AG51" s="396"/>
      <c r="AH51" s="396"/>
      <c r="AI51" s="716">
        <f>AI78/AI$27</f>
        <v>6.670742159928747E-2</v>
      </c>
      <c r="AJ51" s="716">
        <f t="shared" ref="AJ51:AL51" si="55">AJ78/AJ$27</f>
        <v>9.4649200771100908E-2</v>
      </c>
      <c r="AK51" s="716">
        <f t="shared" si="55"/>
        <v>0.15093736470115063</v>
      </c>
      <c r="AL51" s="716">
        <f t="shared" si="55"/>
        <v>0.17731089184916876</v>
      </c>
      <c r="AM51" s="716">
        <f>AVERAGE(AI51:AL51)</f>
        <v>0.12240121973017694</v>
      </c>
      <c r="AN51" s="396">
        <f t="shared" ref="AN51:BA51" si="56">CHOOSE($U$1,AN48,AN49,AN50)</f>
        <v>0.26250000000000001</v>
      </c>
      <c r="AO51" s="396">
        <f t="shared" si="56"/>
        <v>0.28218749999999998</v>
      </c>
      <c r="AP51" s="396">
        <f t="shared" si="56"/>
        <v>0.22575000000000001</v>
      </c>
      <c r="AQ51" s="396">
        <f t="shared" si="56"/>
        <v>0.18060000000000001</v>
      </c>
      <c r="AR51" s="396">
        <f t="shared" si="56"/>
        <v>0.14448000000000003</v>
      </c>
      <c r="AS51" s="396">
        <f t="shared" si="56"/>
        <v>0.11558400000000002</v>
      </c>
      <c r="AT51" s="396">
        <f t="shared" si="56"/>
        <v>0.10980480000000001</v>
      </c>
      <c r="AU51" s="396">
        <f t="shared" si="56"/>
        <v>0.10431456</v>
      </c>
      <c r="AV51" s="396">
        <f t="shared" si="56"/>
        <v>9.9098831999999998E-2</v>
      </c>
      <c r="AW51" s="396">
        <f t="shared" si="56"/>
        <v>9.4143890399999999E-2</v>
      </c>
      <c r="AX51" s="396">
        <f t="shared" si="56"/>
        <v>8.943669588E-2</v>
      </c>
      <c r="AY51" s="396">
        <f t="shared" si="56"/>
        <v>8.4964861086000001E-2</v>
      </c>
      <c r="AZ51" s="396">
        <f t="shared" si="56"/>
        <v>8.4964861085999998E-3</v>
      </c>
      <c r="BA51" s="396">
        <f t="shared" si="56"/>
        <v>8.4964861086E-4</v>
      </c>
    </row>
    <row r="52" spans="1:53" s="77" customFormat="1" ht="12.75" customHeight="1" outlineLevel="1">
      <c r="A52" s="379"/>
      <c r="B52" s="393" t="s">
        <v>423</v>
      </c>
      <c r="C52" s="394"/>
      <c r="D52" s="394"/>
      <c r="E52" s="394"/>
      <c r="F52" s="394"/>
      <c r="G52" s="394"/>
      <c r="H52" s="394"/>
      <c r="I52" s="394"/>
      <c r="J52" s="394"/>
      <c r="K52" s="394"/>
      <c r="L52" s="394"/>
      <c r="M52" s="394"/>
      <c r="N52" s="394"/>
      <c r="O52" s="394"/>
      <c r="P52" s="394"/>
      <c r="Q52" s="394"/>
      <c r="R52" s="394"/>
      <c r="S52" s="394"/>
      <c r="T52" s="394"/>
      <c r="U52" s="394"/>
      <c r="V52" s="394"/>
      <c r="W52" s="394"/>
      <c r="X52" s="394"/>
      <c r="Y52" s="394"/>
      <c r="Z52" s="394"/>
      <c r="AA52" s="394"/>
      <c r="AB52" s="394"/>
      <c r="AC52" s="396"/>
      <c r="AD52" s="396"/>
      <c r="AE52" s="396"/>
      <c r="AF52" s="396"/>
      <c r="AG52" s="396"/>
      <c r="AH52" s="396"/>
      <c r="AI52" s="396"/>
      <c r="AJ52" s="396"/>
      <c r="AK52" s="396"/>
      <c r="AL52" s="396"/>
      <c r="AM52" s="394"/>
      <c r="AN52" s="394">
        <f t="shared" ref="AN52:BA52" si="57">AN53*1.02</f>
        <v>8.9249999999999996E-2</v>
      </c>
      <c r="AO52" s="394">
        <f t="shared" si="57"/>
        <v>0.11220000000000001</v>
      </c>
      <c r="AP52" s="394">
        <f t="shared" si="57"/>
        <v>0.12239999999999999</v>
      </c>
      <c r="AQ52" s="394">
        <f t="shared" si="57"/>
        <v>0.12239999999999999</v>
      </c>
      <c r="AR52" s="394">
        <f t="shared" si="57"/>
        <v>0.12239999999999999</v>
      </c>
      <c r="AS52" s="394">
        <f t="shared" si="57"/>
        <v>0.12239999999999999</v>
      </c>
      <c r="AT52" s="394">
        <f t="shared" si="57"/>
        <v>0.12239999999999999</v>
      </c>
      <c r="AU52" s="394">
        <f t="shared" si="57"/>
        <v>0.12239999999999999</v>
      </c>
      <c r="AV52" s="394">
        <f t="shared" si="57"/>
        <v>1.2240000000000001E-2</v>
      </c>
      <c r="AW52" s="394">
        <f t="shared" si="57"/>
        <v>2.4480000000000001E-3</v>
      </c>
      <c r="AX52" s="394">
        <f t="shared" si="57"/>
        <v>4.8960000000000008E-4</v>
      </c>
      <c r="AY52" s="394">
        <f t="shared" si="57"/>
        <v>9.7920000000000025E-5</v>
      </c>
      <c r="AZ52" s="394">
        <f t="shared" si="57"/>
        <v>1.9584000000000008E-5</v>
      </c>
      <c r="BA52" s="394">
        <f t="shared" si="57"/>
        <v>3.9168000000000012E-6</v>
      </c>
    </row>
    <row r="53" spans="1:53" s="77" customFormat="1" ht="12.75" customHeight="1" outlineLevel="1">
      <c r="A53" s="379"/>
      <c r="B53" s="393" t="s">
        <v>424</v>
      </c>
      <c r="C53" s="394"/>
      <c r="D53" s="394"/>
      <c r="E53" s="394"/>
      <c r="F53" s="394"/>
      <c r="G53" s="394"/>
      <c r="H53" s="394"/>
      <c r="I53" s="394"/>
      <c r="J53" s="394"/>
      <c r="K53" s="394"/>
      <c r="L53" s="394"/>
      <c r="M53" s="394"/>
      <c r="N53" s="394"/>
      <c r="O53" s="394"/>
      <c r="P53" s="394"/>
      <c r="Q53" s="394"/>
      <c r="R53" s="394"/>
      <c r="S53" s="394"/>
      <c r="T53" s="394"/>
      <c r="U53" s="394"/>
      <c r="V53" s="394"/>
      <c r="W53" s="394"/>
      <c r="X53" s="394"/>
      <c r="Y53" s="394"/>
      <c r="Z53" s="394"/>
      <c r="AA53" s="394"/>
      <c r="AB53" s="394"/>
      <c r="AC53" s="396"/>
      <c r="AD53" s="396"/>
      <c r="AE53" s="396"/>
      <c r="AF53" s="396"/>
      <c r="AG53" s="396"/>
      <c r="AH53" s="396"/>
      <c r="AI53" s="396"/>
      <c r="AJ53" s="396"/>
      <c r="AK53" s="396"/>
      <c r="AL53" s="396"/>
      <c r="AM53" s="397"/>
      <c r="AN53" s="394">
        <v>8.7499999999999994E-2</v>
      </c>
      <c r="AO53" s="394">
        <v>0.11</v>
      </c>
      <c r="AP53" s="394">
        <v>0.12</v>
      </c>
      <c r="AQ53" s="394">
        <v>0.12</v>
      </c>
      <c r="AR53" s="394">
        <v>0.12</v>
      </c>
      <c r="AS53" s="394">
        <f>AR53</f>
        <v>0.12</v>
      </c>
      <c r="AT53" s="716">
        <f>AS53</f>
        <v>0.12</v>
      </c>
      <c r="AU53" s="716">
        <f>AT53</f>
        <v>0.12</v>
      </c>
      <c r="AV53" s="718">
        <f>AU53*0.1</f>
        <v>1.2E-2</v>
      </c>
      <c r="AW53" s="718">
        <f>AV53*0.2</f>
        <v>2.4000000000000002E-3</v>
      </c>
      <c r="AX53" s="718">
        <f>AW53*0.2</f>
        <v>4.8000000000000007E-4</v>
      </c>
      <c r="AY53" s="718">
        <f>AX53*0.2</f>
        <v>9.6000000000000016E-5</v>
      </c>
      <c r="AZ53" s="718">
        <f>AY53*0.2</f>
        <v>1.9200000000000006E-5</v>
      </c>
      <c r="BA53" s="718">
        <f>AZ53*0.2</f>
        <v>3.8400000000000014E-6</v>
      </c>
    </row>
    <row r="54" spans="1:53" s="77" customFormat="1" ht="12.75" customHeight="1" outlineLevel="1">
      <c r="A54" s="379"/>
      <c r="B54" s="393" t="s">
        <v>425</v>
      </c>
      <c r="C54" s="394"/>
      <c r="D54" s="394"/>
      <c r="E54" s="394"/>
      <c r="F54" s="394"/>
      <c r="G54" s="394"/>
      <c r="H54" s="394"/>
      <c r="I54" s="394"/>
      <c r="J54" s="394"/>
      <c r="K54" s="394"/>
      <c r="L54" s="394"/>
      <c r="M54" s="394"/>
      <c r="N54" s="394"/>
      <c r="O54" s="394"/>
      <c r="P54" s="394"/>
      <c r="Q54" s="394"/>
      <c r="R54" s="394"/>
      <c r="S54" s="394"/>
      <c r="T54" s="394"/>
      <c r="U54" s="394"/>
      <c r="V54" s="394"/>
      <c r="W54" s="394"/>
      <c r="X54" s="394"/>
      <c r="Y54" s="394"/>
      <c r="Z54" s="394"/>
      <c r="AA54" s="394"/>
      <c r="AB54" s="394"/>
      <c r="AC54" s="396"/>
      <c r="AD54" s="396"/>
      <c r="AE54" s="396"/>
      <c r="AF54" s="396"/>
      <c r="AG54" s="396"/>
      <c r="AH54" s="396"/>
      <c r="AI54" s="396"/>
      <c r="AJ54" s="396"/>
      <c r="AK54" s="396"/>
      <c r="AL54" s="396"/>
      <c r="AM54" s="394"/>
      <c r="AN54" s="394">
        <f t="shared" ref="AN54:BA54" si="58">AN53*0.8</f>
        <v>6.9999999999999993E-2</v>
      </c>
      <c r="AO54" s="394">
        <f t="shared" si="58"/>
        <v>8.8000000000000009E-2</v>
      </c>
      <c r="AP54" s="394">
        <f t="shared" si="58"/>
        <v>9.6000000000000002E-2</v>
      </c>
      <c r="AQ54" s="394">
        <f t="shared" si="58"/>
        <v>9.6000000000000002E-2</v>
      </c>
      <c r="AR54" s="394">
        <f t="shared" si="58"/>
        <v>9.6000000000000002E-2</v>
      </c>
      <c r="AS54" s="394">
        <f t="shared" si="58"/>
        <v>9.6000000000000002E-2</v>
      </c>
      <c r="AT54" s="394">
        <f t="shared" si="58"/>
        <v>9.6000000000000002E-2</v>
      </c>
      <c r="AU54" s="394">
        <f t="shared" si="58"/>
        <v>9.6000000000000002E-2</v>
      </c>
      <c r="AV54" s="394">
        <f t="shared" si="58"/>
        <v>9.6000000000000009E-3</v>
      </c>
      <c r="AW54" s="394">
        <f t="shared" si="58"/>
        <v>1.9200000000000003E-3</v>
      </c>
      <c r="AX54" s="394">
        <f t="shared" si="58"/>
        <v>3.8400000000000006E-4</v>
      </c>
      <c r="AY54" s="394">
        <f t="shared" si="58"/>
        <v>7.6800000000000024E-5</v>
      </c>
      <c r="AZ54" s="394">
        <f t="shared" si="58"/>
        <v>1.5360000000000005E-5</v>
      </c>
      <c r="BA54" s="394">
        <f t="shared" si="58"/>
        <v>3.0720000000000013E-6</v>
      </c>
    </row>
    <row r="55" spans="1:53" s="77" customFormat="1" ht="12.75" customHeight="1">
      <c r="A55" s="379" t="s">
        <v>578</v>
      </c>
      <c r="B55" s="395" t="s">
        <v>883</v>
      </c>
      <c r="C55" s="394"/>
      <c r="D55" s="394"/>
      <c r="E55" s="394"/>
      <c r="F55" s="394"/>
      <c r="G55" s="394"/>
      <c r="H55" s="394"/>
      <c r="I55" s="394"/>
      <c r="J55" s="394"/>
      <c r="K55" s="394"/>
      <c r="L55" s="394"/>
      <c r="M55" s="394"/>
      <c r="N55" s="394"/>
      <c r="O55" s="394"/>
      <c r="P55" s="394"/>
      <c r="Q55" s="394"/>
      <c r="R55" s="394"/>
      <c r="S55" s="394"/>
      <c r="T55" s="394"/>
      <c r="U55" s="394"/>
      <c r="V55" s="394"/>
      <c r="W55" s="394"/>
      <c r="X55" s="394"/>
      <c r="Y55" s="394"/>
      <c r="Z55" s="394"/>
      <c r="AA55" s="394"/>
      <c r="AB55" s="394"/>
      <c r="AC55" s="396"/>
      <c r="AD55" s="396"/>
      <c r="AE55" s="396"/>
      <c r="AF55" s="396"/>
      <c r="AG55" s="396"/>
      <c r="AH55" s="396"/>
      <c r="AI55" s="716">
        <f>AI79/AI$27</f>
        <v>1.3545993739909809E-3</v>
      </c>
      <c r="AJ55" s="716">
        <f t="shared" ref="AJ55:AL55" si="59">AJ79/AJ$27</f>
        <v>1.5559183096170069E-2</v>
      </c>
      <c r="AK55" s="716">
        <f t="shared" si="59"/>
        <v>3.6039155013559671E-2</v>
      </c>
      <c r="AL55" s="716">
        <f t="shared" si="59"/>
        <v>4.4642071543872272E-2</v>
      </c>
      <c r="AM55" s="716">
        <f>AVERAGE(AI55:AL55)</f>
        <v>2.4398752256898248E-2</v>
      </c>
      <c r="AN55" s="396">
        <f t="shared" ref="AN55:BA55" si="60">CHOOSE($U$1,AN52,AN53,AN54)</f>
        <v>8.7499999999999994E-2</v>
      </c>
      <c r="AO55" s="396">
        <f t="shared" si="60"/>
        <v>0.11</v>
      </c>
      <c r="AP55" s="396">
        <f t="shared" si="60"/>
        <v>0.12</v>
      </c>
      <c r="AQ55" s="396">
        <f t="shared" si="60"/>
        <v>0.12</v>
      </c>
      <c r="AR55" s="396">
        <f t="shared" si="60"/>
        <v>0.12</v>
      </c>
      <c r="AS55" s="396">
        <f t="shared" si="60"/>
        <v>0.12</v>
      </c>
      <c r="AT55" s="396">
        <f t="shared" si="60"/>
        <v>0.12</v>
      </c>
      <c r="AU55" s="396">
        <f t="shared" si="60"/>
        <v>0.12</v>
      </c>
      <c r="AV55" s="396">
        <f t="shared" si="60"/>
        <v>1.2E-2</v>
      </c>
      <c r="AW55" s="396">
        <f t="shared" si="60"/>
        <v>2.4000000000000002E-3</v>
      </c>
      <c r="AX55" s="396">
        <f t="shared" si="60"/>
        <v>4.8000000000000007E-4</v>
      </c>
      <c r="AY55" s="396">
        <f t="shared" si="60"/>
        <v>9.6000000000000016E-5</v>
      </c>
      <c r="AZ55" s="396">
        <f t="shared" si="60"/>
        <v>1.9200000000000006E-5</v>
      </c>
      <c r="BA55" s="396">
        <f t="shared" si="60"/>
        <v>3.8400000000000014E-6</v>
      </c>
    </row>
    <row r="56" spans="1:53" s="77" customFormat="1" ht="12.75" customHeight="1" outlineLevel="1">
      <c r="A56" s="379"/>
      <c r="B56" s="393" t="s">
        <v>423</v>
      </c>
      <c r="C56" s="394"/>
      <c r="D56" s="394"/>
      <c r="E56" s="394"/>
      <c r="F56" s="394"/>
      <c r="G56" s="394"/>
      <c r="H56" s="394"/>
      <c r="I56" s="394"/>
      <c r="J56" s="394"/>
      <c r="K56" s="394"/>
      <c r="L56" s="394"/>
      <c r="M56" s="394"/>
      <c r="N56" s="394"/>
      <c r="O56" s="394"/>
      <c r="P56" s="394"/>
      <c r="Q56" s="394"/>
      <c r="R56" s="394"/>
      <c r="S56" s="394"/>
      <c r="T56" s="394"/>
      <c r="U56" s="394"/>
      <c r="V56" s="394"/>
      <c r="W56" s="394"/>
      <c r="X56" s="394"/>
      <c r="Y56" s="394"/>
      <c r="Z56" s="394"/>
      <c r="AA56" s="394"/>
      <c r="AB56" s="394"/>
      <c r="AC56" s="396"/>
      <c r="AD56" s="396"/>
      <c r="AE56" s="396"/>
      <c r="AF56" s="396"/>
      <c r="AG56" s="396"/>
      <c r="AH56" s="396"/>
      <c r="AI56" s="396"/>
      <c r="AJ56" s="396"/>
      <c r="AK56" s="396"/>
      <c r="AL56" s="396"/>
      <c r="AM56" s="394"/>
      <c r="AN56" s="394">
        <f t="shared" ref="AN56:BA56" si="61">AN57*1.02</f>
        <v>8.9249999999999996E-2</v>
      </c>
      <c r="AO56" s="394">
        <f t="shared" si="61"/>
        <v>0.1071</v>
      </c>
      <c r="AP56" s="394">
        <f t="shared" si="61"/>
        <v>0.1326</v>
      </c>
      <c r="AQ56" s="394">
        <f t="shared" si="61"/>
        <v>0.153</v>
      </c>
      <c r="AR56" s="394">
        <f t="shared" si="61"/>
        <v>0.17340000000000003</v>
      </c>
      <c r="AS56" s="394">
        <f t="shared" si="61"/>
        <v>0.18359999999999999</v>
      </c>
      <c r="AT56" s="394">
        <f t="shared" si="61"/>
        <v>0.18870000000000001</v>
      </c>
      <c r="AU56" s="394">
        <f t="shared" si="61"/>
        <v>0.1938</v>
      </c>
      <c r="AV56" s="394">
        <f t="shared" si="61"/>
        <v>1.9380000000000005E-2</v>
      </c>
      <c r="AW56" s="394">
        <f t="shared" si="61"/>
        <v>3.876000000000001E-3</v>
      </c>
      <c r="AX56" s="394">
        <f t="shared" si="61"/>
        <v>7.752000000000003E-4</v>
      </c>
      <c r="AY56" s="394">
        <f t="shared" si="61"/>
        <v>1.5504000000000006E-4</v>
      </c>
      <c r="AZ56" s="394">
        <f t="shared" si="61"/>
        <v>3.1008000000000012E-5</v>
      </c>
      <c r="BA56" s="394">
        <f t="shared" si="61"/>
        <v>6.2016000000000026E-6</v>
      </c>
    </row>
    <row r="57" spans="1:53" s="77" customFormat="1" ht="12.75" customHeight="1" outlineLevel="1">
      <c r="A57" s="379"/>
      <c r="B57" s="393" t="s">
        <v>424</v>
      </c>
      <c r="C57" s="394"/>
      <c r="D57" s="394"/>
      <c r="E57" s="394"/>
      <c r="F57" s="394"/>
      <c r="G57" s="394"/>
      <c r="H57" s="394"/>
      <c r="I57" s="394"/>
      <c r="J57" s="394"/>
      <c r="K57" s="394"/>
      <c r="L57" s="394"/>
      <c r="M57" s="394"/>
      <c r="N57" s="394"/>
      <c r="O57" s="394"/>
      <c r="P57" s="394"/>
      <c r="Q57" s="394"/>
      <c r="R57" s="394"/>
      <c r="S57" s="394"/>
      <c r="T57" s="394"/>
      <c r="U57" s="394"/>
      <c r="V57" s="394"/>
      <c r="W57" s="394"/>
      <c r="X57" s="394"/>
      <c r="Y57" s="394"/>
      <c r="Z57" s="394"/>
      <c r="AA57" s="394"/>
      <c r="AB57" s="394"/>
      <c r="AC57" s="396"/>
      <c r="AD57" s="396"/>
      <c r="AE57" s="396"/>
      <c r="AF57" s="396"/>
      <c r="AG57" s="396"/>
      <c r="AH57" s="396"/>
      <c r="AI57" s="396"/>
      <c r="AJ57" s="396"/>
      <c r="AK57" s="396"/>
      <c r="AL57" s="396"/>
      <c r="AM57" s="397"/>
      <c r="AN57" s="394">
        <v>8.7499999999999994E-2</v>
      </c>
      <c r="AO57" s="394">
        <v>0.105</v>
      </c>
      <c r="AP57" s="394">
        <v>0.13</v>
      </c>
      <c r="AQ57" s="394">
        <v>0.15</v>
      </c>
      <c r="AR57" s="394">
        <v>0.17</v>
      </c>
      <c r="AS57" s="394">
        <v>0.18</v>
      </c>
      <c r="AT57" s="394">
        <v>0.185</v>
      </c>
      <c r="AU57" s="394">
        <v>0.19</v>
      </c>
      <c r="AV57" s="718">
        <f>AU57*0.1</f>
        <v>1.9000000000000003E-2</v>
      </c>
      <c r="AW57" s="718">
        <f>AV57*0.2</f>
        <v>3.8000000000000009E-3</v>
      </c>
      <c r="AX57" s="718">
        <f>AW57*0.2</f>
        <v>7.6000000000000026E-4</v>
      </c>
      <c r="AY57" s="718">
        <f>AX57*0.2</f>
        <v>1.5200000000000006E-4</v>
      </c>
      <c r="AZ57" s="718">
        <f>AY57*0.2</f>
        <v>3.0400000000000014E-5</v>
      </c>
      <c r="BA57" s="718">
        <f>AZ57*0.2</f>
        <v>6.0800000000000028E-6</v>
      </c>
    </row>
    <row r="58" spans="1:53" s="77" customFormat="1" ht="12.75" customHeight="1" outlineLevel="1">
      <c r="A58" s="379"/>
      <c r="B58" s="393" t="s">
        <v>425</v>
      </c>
      <c r="C58" s="394"/>
      <c r="D58" s="394"/>
      <c r="E58" s="394"/>
      <c r="F58" s="394"/>
      <c r="G58" s="394"/>
      <c r="H58" s="394"/>
      <c r="I58" s="394"/>
      <c r="J58" s="394"/>
      <c r="K58" s="394"/>
      <c r="L58" s="394"/>
      <c r="M58" s="394"/>
      <c r="N58" s="394"/>
      <c r="O58" s="394"/>
      <c r="P58" s="394"/>
      <c r="Q58" s="394"/>
      <c r="R58" s="394"/>
      <c r="S58" s="394"/>
      <c r="T58" s="394"/>
      <c r="U58" s="394"/>
      <c r="V58" s="394"/>
      <c r="W58" s="394"/>
      <c r="X58" s="394"/>
      <c r="Y58" s="394"/>
      <c r="Z58" s="394"/>
      <c r="AA58" s="394"/>
      <c r="AB58" s="394"/>
      <c r="AC58" s="396"/>
      <c r="AD58" s="396"/>
      <c r="AE58" s="396"/>
      <c r="AF58" s="396"/>
      <c r="AG58" s="396"/>
      <c r="AH58" s="396"/>
      <c r="AI58" s="396"/>
      <c r="AJ58" s="396"/>
      <c r="AK58" s="396"/>
      <c r="AL58" s="396"/>
      <c r="AM58" s="394"/>
      <c r="AN58" s="394">
        <f t="shared" ref="AN58:BA58" si="62">AN57*0.8</f>
        <v>6.9999999999999993E-2</v>
      </c>
      <c r="AO58" s="394">
        <f t="shared" si="62"/>
        <v>8.4000000000000005E-2</v>
      </c>
      <c r="AP58" s="394">
        <f t="shared" si="62"/>
        <v>0.10400000000000001</v>
      </c>
      <c r="AQ58" s="394">
        <f t="shared" si="62"/>
        <v>0.12</v>
      </c>
      <c r="AR58" s="394">
        <f t="shared" si="62"/>
        <v>0.13600000000000001</v>
      </c>
      <c r="AS58" s="394">
        <f t="shared" si="62"/>
        <v>0.14399999999999999</v>
      </c>
      <c r="AT58" s="394">
        <f t="shared" si="62"/>
        <v>0.14799999999999999</v>
      </c>
      <c r="AU58" s="394">
        <f t="shared" si="62"/>
        <v>0.15200000000000002</v>
      </c>
      <c r="AV58" s="394">
        <f t="shared" si="62"/>
        <v>1.5200000000000003E-2</v>
      </c>
      <c r="AW58" s="394">
        <f t="shared" si="62"/>
        <v>3.040000000000001E-3</v>
      </c>
      <c r="AX58" s="394">
        <f t="shared" si="62"/>
        <v>6.0800000000000025E-4</v>
      </c>
      <c r="AY58" s="394">
        <f t="shared" si="62"/>
        <v>1.2160000000000006E-4</v>
      </c>
      <c r="AZ58" s="394">
        <f t="shared" si="62"/>
        <v>2.4320000000000011E-5</v>
      </c>
      <c r="BA58" s="394">
        <f t="shared" si="62"/>
        <v>4.8640000000000029E-6</v>
      </c>
    </row>
    <row r="59" spans="1:53" s="77" customFormat="1" ht="12.75" customHeight="1">
      <c r="A59" s="379" t="s">
        <v>578</v>
      </c>
      <c r="B59" s="395" t="s">
        <v>884</v>
      </c>
      <c r="C59" s="394"/>
      <c r="D59" s="394"/>
      <c r="E59" s="394"/>
      <c r="F59" s="394"/>
      <c r="G59" s="394"/>
      <c r="H59" s="394"/>
      <c r="I59" s="394"/>
      <c r="J59" s="394"/>
      <c r="K59" s="394"/>
      <c r="L59" s="394"/>
      <c r="M59" s="394"/>
      <c r="N59" s="394"/>
      <c r="O59" s="394"/>
      <c r="P59" s="394"/>
      <c r="Q59" s="394"/>
      <c r="R59" s="394"/>
      <c r="S59" s="394"/>
      <c r="T59" s="394"/>
      <c r="U59" s="394"/>
      <c r="V59" s="394"/>
      <c r="W59" s="394"/>
      <c r="X59" s="394"/>
      <c r="Y59" s="394"/>
      <c r="Z59" s="394"/>
      <c r="AA59" s="394"/>
      <c r="AB59" s="394"/>
      <c r="AC59" s="396"/>
      <c r="AD59" s="396"/>
      <c r="AE59" s="396"/>
      <c r="AF59" s="396"/>
      <c r="AG59" s="396"/>
      <c r="AH59" s="396"/>
      <c r="AI59" s="716">
        <f>AI80/AI$27</f>
        <v>0</v>
      </c>
      <c r="AJ59" s="716">
        <f t="shared" ref="AJ59:AL59" si="63">AJ80/AJ$27</f>
        <v>1.123629164906971E-2</v>
      </c>
      <c r="AK59" s="716">
        <f t="shared" si="63"/>
        <v>3.3178489571069607E-2</v>
      </c>
      <c r="AL59" s="716">
        <f t="shared" si="63"/>
        <v>4.3384677217551938E-2</v>
      </c>
      <c r="AM59" s="716">
        <f>AVERAGE(AI59:AL59)</f>
        <v>2.1949864609422814E-2</v>
      </c>
      <c r="AN59" s="396">
        <f t="shared" ref="AN59:BA59" si="64">CHOOSE($U$1,AN56,AN57,AN58)</f>
        <v>8.7499999999999994E-2</v>
      </c>
      <c r="AO59" s="396">
        <f t="shared" si="64"/>
        <v>0.105</v>
      </c>
      <c r="AP59" s="396">
        <f t="shared" si="64"/>
        <v>0.13</v>
      </c>
      <c r="AQ59" s="396">
        <f t="shared" si="64"/>
        <v>0.15</v>
      </c>
      <c r="AR59" s="396">
        <f t="shared" si="64"/>
        <v>0.17</v>
      </c>
      <c r="AS59" s="396">
        <f t="shared" si="64"/>
        <v>0.18</v>
      </c>
      <c r="AT59" s="396">
        <f t="shared" si="64"/>
        <v>0.185</v>
      </c>
      <c r="AU59" s="396">
        <f t="shared" si="64"/>
        <v>0.19</v>
      </c>
      <c r="AV59" s="396">
        <f t="shared" si="64"/>
        <v>1.9000000000000003E-2</v>
      </c>
      <c r="AW59" s="396">
        <f t="shared" si="64"/>
        <v>3.8000000000000009E-3</v>
      </c>
      <c r="AX59" s="396">
        <f t="shared" si="64"/>
        <v>7.6000000000000026E-4</v>
      </c>
      <c r="AY59" s="396">
        <f t="shared" si="64"/>
        <v>1.5200000000000006E-4</v>
      </c>
      <c r="AZ59" s="396">
        <f t="shared" si="64"/>
        <v>3.0400000000000014E-5</v>
      </c>
      <c r="BA59" s="396">
        <f t="shared" si="64"/>
        <v>6.0800000000000028E-6</v>
      </c>
    </row>
    <row r="60" spans="1:53" s="77" customFormat="1" ht="12.75" customHeight="1" outlineLevel="1">
      <c r="A60" s="379"/>
      <c r="B60" s="393" t="s">
        <v>423</v>
      </c>
      <c r="C60" s="394"/>
      <c r="D60" s="394"/>
      <c r="E60" s="394"/>
      <c r="F60" s="394"/>
      <c r="G60" s="394"/>
      <c r="H60" s="394"/>
      <c r="I60" s="394"/>
      <c r="J60" s="394"/>
      <c r="K60" s="394"/>
      <c r="L60" s="394"/>
      <c r="M60" s="394"/>
      <c r="N60" s="394"/>
      <c r="O60" s="394"/>
      <c r="P60" s="394"/>
      <c r="Q60" s="394"/>
      <c r="R60" s="394"/>
      <c r="S60" s="394"/>
      <c r="T60" s="394"/>
      <c r="U60" s="394"/>
      <c r="V60" s="394"/>
      <c r="W60" s="394"/>
      <c r="X60" s="394"/>
      <c r="Y60" s="394"/>
      <c r="Z60" s="394"/>
      <c r="AA60" s="394"/>
      <c r="AB60" s="394"/>
      <c r="AC60" s="396"/>
      <c r="AD60" s="396"/>
      <c r="AE60" s="396"/>
      <c r="AF60" s="396"/>
      <c r="AG60" s="396"/>
      <c r="AH60" s="396"/>
      <c r="AI60" s="396"/>
      <c r="AJ60" s="396"/>
      <c r="AK60" s="396"/>
      <c r="AL60" s="396"/>
      <c r="AM60" s="394"/>
      <c r="AN60" s="394">
        <f t="shared" ref="AN60:BA60" si="65">AN61*1.02</f>
        <v>0</v>
      </c>
      <c r="AO60" s="394">
        <f t="shared" si="65"/>
        <v>9.69E-2</v>
      </c>
      <c r="AP60" s="394">
        <f t="shared" si="65"/>
        <v>0.12239999999999999</v>
      </c>
      <c r="AQ60" s="394">
        <f t="shared" si="65"/>
        <v>0.153</v>
      </c>
      <c r="AR60" s="394">
        <f t="shared" si="65"/>
        <v>0.18359999999999999</v>
      </c>
      <c r="AS60" s="394">
        <f t="shared" si="65"/>
        <v>0.19278000000000001</v>
      </c>
      <c r="AT60" s="394">
        <f t="shared" si="65"/>
        <v>0.19278000000000001</v>
      </c>
      <c r="AU60" s="394">
        <f t="shared" si="65"/>
        <v>0.19278000000000001</v>
      </c>
      <c r="AV60" s="394">
        <f t="shared" si="65"/>
        <v>0.19278000000000001</v>
      </c>
      <c r="AW60" s="394">
        <f t="shared" si="65"/>
        <v>0.19278000000000001</v>
      </c>
      <c r="AX60" s="394">
        <f t="shared" si="65"/>
        <v>0.19278000000000001</v>
      </c>
      <c r="AY60" s="394">
        <f t="shared" si="65"/>
        <v>0.19278000000000001</v>
      </c>
      <c r="AZ60" s="394">
        <f t="shared" si="65"/>
        <v>0.19278000000000001</v>
      </c>
      <c r="BA60" s="394">
        <f t="shared" si="65"/>
        <v>0.19278000000000001</v>
      </c>
    </row>
    <row r="61" spans="1:53" s="77" customFormat="1" ht="12.75" customHeight="1" outlineLevel="1">
      <c r="A61" s="379"/>
      <c r="B61" s="393" t="s">
        <v>424</v>
      </c>
      <c r="C61" s="394"/>
      <c r="D61" s="394"/>
      <c r="E61" s="394"/>
      <c r="F61" s="394"/>
      <c r="G61" s="394"/>
      <c r="H61" s="394"/>
      <c r="I61" s="394"/>
      <c r="J61" s="394"/>
      <c r="K61" s="394"/>
      <c r="L61" s="394"/>
      <c r="M61" s="394"/>
      <c r="N61" s="394"/>
      <c r="O61" s="394"/>
      <c r="P61" s="394"/>
      <c r="Q61" s="394"/>
      <c r="R61" s="394"/>
      <c r="S61" s="394"/>
      <c r="T61" s="394"/>
      <c r="U61" s="394"/>
      <c r="V61" s="394"/>
      <c r="W61" s="394"/>
      <c r="X61" s="394"/>
      <c r="Y61" s="394"/>
      <c r="Z61" s="394"/>
      <c r="AA61" s="394"/>
      <c r="AB61" s="394"/>
      <c r="AC61" s="396"/>
      <c r="AD61" s="396"/>
      <c r="AE61" s="396"/>
      <c r="AF61" s="396"/>
      <c r="AG61" s="396"/>
      <c r="AH61" s="396"/>
      <c r="AI61" s="396"/>
      <c r="AJ61" s="396"/>
      <c r="AK61" s="396"/>
      <c r="AL61" s="396"/>
      <c r="AM61" s="397"/>
      <c r="AN61" s="394">
        <v>0</v>
      </c>
      <c r="AO61" s="394">
        <v>9.5000000000000001E-2</v>
      </c>
      <c r="AP61" s="394">
        <v>0.12</v>
      </c>
      <c r="AQ61" s="394">
        <v>0.15</v>
      </c>
      <c r="AR61" s="394">
        <f>AQ61*1.2</f>
        <v>0.18</v>
      </c>
      <c r="AS61" s="394">
        <f>AR61*1.05</f>
        <v>0.189</v>
      </c>
      <c r="AT61" s="394">
        <f t="shared" ref="AT61:BA61" si="66">AS61</f>
        <v>0.189</v>
      </c>
      <c r="AU61" s="394">
        <f t="shared" si="66"/>
        <v>0.189</v>
      </c>
      <c r="AV61" s="394">
        <f t="shared" si="66"/>
        <v>0.189</v>
      </c>
      <c r="AW61" s="394">
        <f t="shared" si="66"/>
        <v>0.189</v>
      </c>
      <c r="AX61" s="394">
        <f t="shared" si="66"/>
        <v>0.189</v>
      </c>
      <c r="AY61" s="394">
        <f t="shared" si="66"/>
        <v>0.189</v>
      </c>
      <c r="AZ61" s="394">
        <f t="shared" si="66"/>
        <v>0.189</v>
      </c>
      <c r="BA61" s="394">
        <f t="shared" si="66"/>
        <v>0.189</v>
      </c>
    </row>
    <row r="62" spans="1:53" s="77" customFormat="1" ht="12.75" customHeight="1" outlineLevel="1">
      <c r="A62" s="379"/>
      <c r="B62" s="393" t="s">
        <v>425</v>
      </c>
      <c r="C62" s="394"/>
      <c r="D62" s="394"/>
      <c r="E62" s="394"/>
      <c r="F62" s="394"/>
      <c r="G62" s="394"/>
      <c r="H62" s="394"/>
      <c r="I62" s="394"/>
      <c r="J62" s="394"/>
      <c r="K62" s="394"/>
      <c r="L62" s="394"/>
      <c r="M62" s="394"/>
      <c r="N62" s="394"/>
      <c r="O62" s="394"/>
      <c r="P62" s="394"/>
      <c r="Q62" s="394"/>
      <c r="R62" s="394"/>
      <c r="S62" s="394"/>
      <c r="T62" s="394"/>
      <c r="U62" s="394"/>
      <c r="V62" s="394"/>
      <c r="W62" s="394"/>
      <c r="X62" s="394"/>
      <c r="Y62" s="394"/>
      <c r="Z62" s="394"/>
      <c r="AA62" s="394"/>
      <c r="AB62" s="394"/>
      <c r="AC62" s="396"/>
      <c r="AD62" s="396"/>
      <c r="AE62" s="396"/>
      <c r="AF62" s="396"/>
      <c r="AG62" s="396"/>
      <c r="AH62" s="396"/>
      <c r="AI62" s="396"/>
      <c r="AJ62" s="396"/>
      <c r="AK62" s="396"/>
      <c r="AL62" s="396"/>
      <c r="AM62" s="394"/>
      <c r="AN62" s="394">
        <f t="shared" ref="AN62:BA62" si="67">AN61*0.8</f>
        <v>0</v>
      </c>
      <c r="AO62" s="394">
        <f t="shared" si="67"/>
        <v>7.6000000000000012E-2</v>
      </c>
      <c r="AP62" s="394">
        <f t="shared" si="67"/>
        <v>9.6000000000000002E-2</v>
      </c>
      <c r="AQ62" s="394">
        <f t="shared" si="67"/>
        <v>0.12</v>
      </c>
      <c r="AR62" s="394">
        <f t="shared" si="67"/>
        <v>0.14399999999999999</v>
      </c>
      <c r="AS62" s="394">
        <f t="shared" si="67"/>
        <v>0.1512</v>
      </c>
      <c r="AT62" s="394">
        <f t="shared" si="67"/>
        <v>0.1512</v>
      </c>
      <c r="AU62" s="394">
        <f t="shared" si="67"/>
        <v>0.1512</v>
      </c>
      <c r="AV62" s="394">
        <f t="shared" si="67"/>
        <v>0.1512</v>
      </c>
      <c r="AW62" s="394">
        <f t="shared" si="67"/>
        <v>0.1512</v>
      </c>
      <c r="AX62" s="394">
        <f t="shared" si="67"/>
        <v>0.1512</v>
      </c>
      <c r="AY62" s="394">
        <f t="shared" si="67"/>
        <v>0.1512</v>
      </c>
      <c r="AZ62" s="394">
        <f t="shared" si="67"/>
        <v>0.1512</v>
      </c>
      <c r="BA62" s="394">
        <f t="shared" si="67"/>
        <v>0.1512</v>
      </c>
    </row>
    <row r="63" spans="1:53" s="77" customFormat="1" ht="12.75" customHeight="1">
      <c r="A63" s="379" t="s">
        <v>578</v>
      </c>
      <c r="B63" s="395" t="s">
        <v>885</v>
      </c>
      <c r="C63" s="394"/>
      <c r="D63" s="394"/>
      <c r="E63" s="394"/>
      <c r="F63" s="394"/>
      <c r="G63" s="394"/>
      <c r="H63" s="394"/>
      <c r="I63" s="394"/>
      <c r="J63" s="394"/>
      <c r="K63" s="394"/>
      <c r="L63" s="394"/>
      <c r="M63" s="394"/>
      <c r="N63" s="394"/>
      <c r="O63" s="394"/>
      <c r="P63" s="394"/>
      <c r="Q63" s="394"/>
      <c r="R63" s="394"/>
      <c r="S63" s="394"/>
      <c r="T63" s="394"/>
      <c r="U63" s="394"/>
      <c r="V63" s="394"/>
      <c r="W63" s="394"/>
      <c r="X63" s="394"/>
      <c r="Y63" s="394"/>
      <c r="Z63" s="394"/>
      <c r="AA63" s="394"/>
      <c r="AB63" s="394"/>
      <c r="AC63" s="396"/>
      <c r="AD63" s="396"/>
      <c r="AE63" s="396"/>
      <c r="AF63" s="396"/>
      <c r="AG63" s="396"/>
      <c r="AH63" s="396"/>
      <c r="AI63" s="396"/>
      <c r="AJ63" s="396"/>
      <c r="AK63" s="396"/>
      <c r="AL63" s="396"/>
      <c r="AM63" s="718">
        <v>0</v>
      </c>
      <c r="AN63" s="396">
        <f t="shared" ref="AN63:BA63" si="68">CHOOSE($U$1,AN60,AN61,AN62)</f>
        <v>0</v>
      </c>
      <c r="AO63" s="396">
        <f t="shared" si="68"/>
        <v>9.5000000000000001E-2</v>
      </c>
      <c r="AP63" s="396">
        <f t="shared" si="68"/>
        <v>0.12</v>
      </c>
      <c r="AQ63" s="396">
        <f t="shared" si="68"/>
        <v>0.15</v>
      </c>
      <c r="AR63" s="396">
        <f t="shared" si="68"/>
        <v>0.18</v>
      </c>
      <c r="AS63" s="396">
        <f t="shared" si="68"/>
        <v>0.189</v>
      </c>
      <c r="AT63" s="396">
        <f t="shared" si="68"/>
        <v>0.189</v>
      </c>
      <c r="AU63" s="396">
        <f t="shared" si="68"/>
        <v>0.189</v>
      </c>
      <c r="AV63" s="396">
        <f t="shared" si="68"/>
        <v>0.189</v>
      </c>
      <c r="AW63" s="396">
        <f t="shared" si="68"/>
        <v>0.189</v>
      </c>
      <c r="AX63" s="396">
        <f t="shared" si="68"/>
        <v>0.189</v>
      </c>
      <c r="AY63" s="396">
        <f t="shared" si="68"/>
        <v>0.189</v>
      </c>
      <c r="AZ63" s="396">
        <f t="shared" si="68"/>
        <v>0.189</v>
      </c>
      <c r="BA63" s="396">
        <f t="shared" si="68"/>
        <v>0.189</v>
      </c>
    </row>
    <row r="64" spans="1:53" s="77" customFormat="1" ht="12.75" customHeight="1">
      <c r="A64" s="398"/>
      <c r="B64" s="218" t="s">
        <v>68</v>
      </c>
      <c r="F64" s="77">
        <v>1.7999999999999999E-2</v>
      </c>
      <c r="G64" s="77">
        <v>6.6000000000000003E-2</v>
      </c>
      <c r="H64" s="77">
        <v>2.1000000000000001E-2</v>
      </c>
      <c r="I64" s="77">
        <v>1.6E-2</v>
      </c>
      <c r="J64" s="77">
        <v>0.01</v>
      </c>
      <c r="K64" s="77">
        <v>0.01</v>
      </c>
      <c r="L64" s="77">
        <f>K64</f>
        <v>0.01</v>
      </c>
      <c r="M64" s="77">
        <f t="shared" ref="M64:AG64" si="69">L64</f>
        <v>0.01</v>
      </c>
      <c r="N64" s="77">
        <f t="shared" si="69"/>
        <v>0.01</v>
      </c>
      <c r="O64" s="77">
        <f t="shared" si="69"/>
        <v>0.01</v>
      </c>
      <c r="P64" s="77">
        <f t="shared" si="69"/>
        <v>0.01</v>
      </c>
      <c r="Q64" s="77">
        <f t="shared" si="69"/>
        <v>0.01</v>
      </c>
      <c r="R64" s="77">
        <f t="shared" si="69"/>
        <v>0.01</v>
      </c>
      <c r="S64" s="77">
        <f t="shared" si="69"/>
        <v>0.01</v>
      </c>
      <c r="T64" s="77">
        <f t="shared" si="69"/>
        <v>0.01</v>
      </c>
      <c r="U64" s="77">
        <f t="shared" si="69"/>
        <v>0.01</v>
      </c>
      <c r="V64" s="77">
        <f t="shared" si="69"/>
        <v>0.01</v>
      </c>
      <c r="W64" s="77">
        <f t="shared" si="69"/>
        <v>0.01</v>
      </c>
      <c r="X64" s="77">
        <f t="shared" si="69"/>
        <v>0.01</v>
      </c>
      <c r="Y64" s="77">
        <f t="shared" si="69"/>
        <v>0.01</v>
      </c>
      <c r="Z64" s="77">
        <f t="shared" si="69"/>
        <v>0.01</v>
      </c>
      <c r="AA64" s="77">
        <f t="shared" si="69"/>
        <v>0.01</v>
      </c>
      <c r="AB64" s="77">
        <f t="shared" si="69"/>
        <v>0.01</v>
      </c>
      <c r="AC64" s="77">
        <f t="shared" si="69"/>
        <v>0.01</v>
      </c>
      <c r="AD64" s="77">
        <f t="shared" si="69"/>
        <v>0.01</v>
      </c>
      <c r="AE64" s="77">
        <f t="shared" si="69"/>
        <v>0.01</v>
      </c>
      <c r="AF64" s="77">
        <f t="shared" si="69"/>
        <v>0.01</v>
      </c>
      <c r="AG64" s="77">
        <f t="shared" si="69"/>
        <v>0.01</v>
      </c>
      <c r="AH64" s="77">
        <v>0.01</v>
      </c>
      <c r="AI64" s="694">
        <f t="shared" ref="AI64" si="70">AH64</f>
        <v>0.01</v>
      </c>
      <c r="AJ64" s="694">
        <f t="shared" ref="AJ64" si="71">AI64</f>
        <v>0.01</v>
      </c>
      <c r="AK64" s="694">
        <f t="shared" ref="AK64" si="72">AJ64</f>
        <v>0.01</v>
      </c>
      <c r="AL64" s="694">
        <f t="shared" ref="AL64" si="73">AK64</f>
        <v>0.01</v>
      </c>
      <c r="AM64" s="77">
        <f>AH64*1.2</f>
        <v>1.2E-2</v>
      </c>
      <c r="AN64" s="77">
        <f>AM64*1.2</f>
        <v>1.44E-2</v>
      </c>
      <c r="AO64" s="77">
        <v>1.4999999999999999E-2</v>
      </c>
      <c r="AP64" s="77">
        <f>AO64</f>
        <v>1.4999999999999999E-2</v>
      </c>
      <c r="AQ64" s="694">
        <f t="shared" ref="AQ64:BA64" si="74">AP64</f>
        <v>1.4999999999999999E-2</v>
      </c>
      <c r="AR64" s="694">
        <f t="shared" si="74"/>
        <v>1.4999999999999999E-2</v>
      </c>
      <c r="AS64" s="694">
        <f t="shared" si="74"/>
        <v>1.4999999999999999E-2</v>
      </c>
      <c r="AT64" s="694">
        <f t="shared" si="74"/>
        <v>1.4999999999999999E-2</v>
      </c>
      <c r="AU64" s="694">
        <f t="shared" si="74"/>
        <v>1.4999999999999999E-2</v>
      </c>
      <c r="AV64" s="694">
        <f t="shared" si="74"/>
        <v>1.4999999999999999E-2</v>
      </c>
      <c r="AW64" s="694">
        <f t="shared" si="74"/>
        <v>1.4999999999999999E-2</v>
      </c>
      <c r="AX64" s="694">
        <f t="shared" si="74"/>
        <v>1.4999999999999999E-2</v>
      </c>
      <c r="AY64" s="694">
        <f t="shared" si="74"/>
        <v>1.4999999999999999E-2</v>
      </c>
      <c r="AZ64" s="694">
        <f t="shared" si="74"/>
        <v>1.4999999999999999E-2</v>
      </c>
      <c r="BA64" s="694">
        <f t="shared" si="74"/>
        <v>1.4999999999999999E-2</v>
      </c>
    </row>
    <row r="65" spans="1:54" s="119" customFormat="1" ht="12.75" customHeight="1">
      <c r="A65" s="399"/>
      <c r="B65" s="224" t="s">
        <v>441</v>
      </c>
      <c r="C65" s="225"/>
      <c r="D65" s="225">
        <f>D31++D39+D47+D43+D64+D35+D51+D63+D59+D55</f>
        <v>0.17433682294874481</v>
      </c>
      <c r="E65" s="225">
        <f t="shared" ref="E65:BA65" si="75">E31++E39+E47+E43+E64+E35+E51+E63+E59+E55</f>
        <v>0.16523389155212706</v>
      </c>
      <c r="F65" s="225">
        <f t="shared" si="75"/>
        <v>0.31156550131111316</v>
      </c>
      <c r="G65" s="225">
        <f t="shared" si="75"/>
        <v>0.48092773839182196</v>
      </c>
      <c r="H65" s="225">
        <f t="shared" si="75"/>
        <v>0.4629801139022931</v>
      </c>
      <c r="I65" s="225">
        <f t="shared" si="75"/>
        <v>0.59321833807316104</v>
      </c>
      <c r="J65" s="225">
        <f t="shared" si="75"/>
        <v>0.61171174525464245</v>
      </c>
      <c r="K65" s="225">
        <f t="shared" si="75"/>
        <v>0.6927976723937036</v>
      </c>
      <c r="L65" s="225">
        <f t="shared" si="75"/>
        <v>0.78452999999999995</v>
      </c>
      <c r="M65" s="225">
        <f t="shared" si="75"/>
        <v>0.81199999999999994</v>
      </c>
      <c r="N65" s="225">
        <f t="shared" si="75"/>
        <v>0.83560772742649492</v>
      </c>
      <c r="O65" s="225">
        <f t="shared" si="75"/>
        <v>0.73915128653988393</v>
      </c>
      <c r="P65" s="225">
        <f t="shared" si="75"/>
        <v>0.76763997935950423</v>
      </c>
      <c r="Q65" s="225">
        <f t="shared" si="75"/>
        <v>0.80421993317218643</v>
      </c>
      <c r="R65" s="225">
        <f t="shared" si="75"/>
        <v>0.82980652690170331</v>
      </c>
      <c r="S65" s="225">
        <f t="shared" si="75"/>
        <v>0.79392788556732896</v>
      </c>
      <c r="T65" s="225">
        <f t="shared" si="75"/>
        <v>0.83013977346650103</v>
      </c>
      <c r="U65" s="225">
        <f t="shared" si="75"/>
        <v>0.81978383074332895</v>
      </c>
      <c r="V65" s="225">
        <f t="shared" si="75"/>
        <v>0.84145987411261058</v>
      </c>
      <c r="W65" s="225">
        <f t="shared" si="75"/>
        <v>0.84936135534177715</v>
      </c>
      <c r="X65" s="225">
        <f t="shared" si="75"/>
        <v>0.8351862084160544</v>
      </c>
      <c r="Y65" s="225">
        <f t="shared" si="75"/>
        <v>0.84632940036395565</v>
      </c>
      <c r="Z65" s="225">
        <f t="shared" si="75"/>
        <v>0.83647459887321629</v>
      </c>
      <c r="AA65" s="225">
        <f t="shared" si="75"/>
        <v>0.82663453346299498</v>
      </c>
      <c r="AB65" s="225">
        <f t="shared" si="75"/>
        <v>0.81637424451275764</v>
      </c>
      <c r="AC65" s="225">
        <f t="shared" si="75"/>
        <v>0.83619429919041399</v>
      </c>
      <c r="AD65" s="225">
        <f t="shared" si="75"/>
        <v>0.88921431987769051</v>
      </c>
      <c r="AE65" s="225">
        <f t="shared" si="75"/>
        <v>0.79525639054337693</v>
      </c>
      <c r="AF65" s="225">
        <f t="shared" si="75"/>
        <v>0.77993825768877845</v>
      </c>
      <c r="AG65" s="225">
        <f t="shared" si="75"/>
        <v>0.7841328656090607</v>
      </c>
      <c r="AH65" s="225">
        <f t="shared" si="75"/>
        <v>0.81673671812419957</v>
      </c>
      <c r="AI65" s="225">
        <f t="shared" ref="AI65:AL65" si="76">AI31++AI39+AI47+AI43+AI64+AI35+AI51+AI63+AI59+AI55</f>
        <v>0.78154577159632288</v>
      </c>
      <c r="AJ65" s="225">
        <f t="shared" si="76"/>
        <v>0.78234156002203581</v>
      </c>
      <c r="AK65" s="225">
        <f t="shared" si="76"/>
        <v>0.79557616000964504</v>
      </c>
      <c r="AL65" s="225">
        <f t="shared" si="76"/>
        <v>0.80045734839328175</v>
      </c>
      <c r="AM65" s="225">
        <f t="shared" si="75"/>
        <v>0.79753795590740151</v>
      </c>
      <c r="AN65" s="225">
        <f t="shared" si="75"/>
        <v>0.78753907465952921</v>
      </c>
      <c r="AO65" s="225">
        <f t="shared" si="75"/>
        <v>0.83580038840201787</v>
      </c>
      <c r="AP65" s="225">
        <f t="shared" si="75"/>
        <v>0.75064455802176022</v>
      </c>
      <c r="AQ65" s="225">
        <f t="shared" si="75"/>
        <v>0.69336172675557983</v>
      </c>
      <c r="AR65" s="225">
        <f t="shared" si="75"/>
        <v>0.65951197267555806</v>
      </c>
      <c r="AS65" s="225">
        <f t="shared" si="75"/>
        <v>0.64206567726755581</v>
      </c>
      <c r="AT65" s="225">
        <f t="shared" si="75"/>
        <v>0.63291630872675564</v>
      </c>
      <c r="AU65" s="225">
        <f t="shared" si="75"/>
        <v>0.63158905187267556</v>
      </c>
      <c r="AV65" s="225">
        <f t="shared" si="75"/>
        <v>0.34728962218726755</v>
      </c>
      <c r="AW65" s="225">
        <f t="shared" si="75"/>
        <v>0.31752631041872675</v>
      </c>
      <c r="AX65" s="225">
        <f t="shared" si="75"/>
        <v>0.30785827888187262</v>
      </c>
      <c r="AY65" s="225">
        <f t="shared" si="75"/>
        <v>0.30239436038618722</v>
      </c>
      <c r="AZ65" s="225">
        <f t="shared" si="75"/>
        <v>0.21386423603861873</v>
      </c>
      <c r="BA65" s="225">
        <f t="shared" si="75"/>
        <v>0.20499138360386188</v>
      </c>
    </row>
    <row r="66" spans="1:54" s="119" customFormat="1" ht="12.75" customHeight="1">
      <c r="A66" s="399"/>
      <c r="B66" s="221"/>
      <c r="AM66" s="119">
        <f>AM43+AM47+AM51+AM59+AM63+AM55</f>
        <v>0.40826213668310884</v>
      </c>
      <c r="AN66" s="119">
        <f t="shared" ref="AN66:BA66" si="77">AN43+AN47+AN51+AN59+AN63+AN55</f>
        <v>0.55349999999999999</v>
      </c>
      <c r="AO66" s="119">
        <f t="shared" si="77"/>
        <v>0.66788749999999997</v>
      </c>
      <c r="AP66" s="119">
        <f t="shared" si="77"/>
        <v>0.64544000000000001</v>
      </c>
      <c r="AQ66" s="119">
        <f t="shared" si="77"/>
        <v>0.63538300000000003</v>
      </c>
      <c r="AR66" s="119">
        <f t="shared" si="77"/>
        <v>0.64021410000000001</v>
      </c>
      <c r="AS66" s="119">
        <f t="shared" si="77"/>
        <v>0.62663589000000008</v>
      </c>
      <c r="AT66" s="119">
        <f t="shared" si="77"/>
        <v>0.61787333</v>
      </c>
      <c r="AU66" s="119">
        <f t="shared" si="77"/>
        <v>0.61658475400000001</v>
      </c>
      <c r="AV66" s="119">
        <f t="shared" si="77"/>
        <v>0.33228919239999999</v>
      </c>
      <c r="AW66" s="119">
        <f t="shared" si="77"/>
        <v>0.30252626744</v>
      </c>
      <c r="AX66" s="119">
        <f t="shared" si="77"/>
        <v>0.29285827458399999</v>
      </c>
      <c r="AY66" s="119">
        <f t="shared" si="77"/>
        <v>0.2873943599564</v>
      </c>
      <c r="AZ66" s="119">
        <f t="shared" si="77"/>
        <v>0.19886423599563999</v>
      </c>
      <c r="BA66" s="119">
        <f t="shared" si="77"/>
        <v>0.189991383599564</v>
      </c>
      <c r="BB66" s="119">
        <f>AVERAGE(AM66:AY66)</f>
        <v>0.50975760038950069</v>
      </c>
    </row>
    <row r="67" spans="1:54" s="119" customFormat="1" ht="12.75" customHeight="1">
      <c r="A67" s="399"/>
      <c r="B67" s="221"/>
    </row>
    <row r="68" spans="1:54" s="119" customFormat="1" ht="12.75" customHeight="1">
      <c r="A68" s="399"/>
      <c r="B68" s="221" t="s">
        <v>886</v>
      </c>
      <c r="D68" s="119">
        <f>D59+D35</f>
        <v>0</v>
      </c>
      <c r="E68" s="119">
        <f t="shared" ref="E68:BA68" si="78">E59+E35</f>
        <v>0</v>
      </c>
      <c r="F68" s="119">
        <f t="shared" si="78"/>
        <v>0</v>
      </c>
      <c r="G68" s="119">
        <f t="shared" si="78"/>
        <v>5.7500000000000002E-2</v>
      </c>
      <c r="H68" s="119">
        <f t="shared" si="78"/>
        <v>0.18</v>
      </c>
      <c r="I68" s="119">
        <f t="shared" si="78"/>
        <v>0.28499999999999998</v>
      </c>
      <c r="J68" s="119">
        <f t="shared" si="78"/>
        <v>0.28999999999999998</v>
      </c>
      <c r="K68" s="119">
        <f t="shared" si="78"/>
        <v>0.33</v>
      </c>
      <c r="L68" s="119">
        <f t="shared" si="78"/>
        <v>0.36749999999999994</v>
      </c>
      <c r="M68" s="119">
        <f t="shared" si="78"/>
        <v>0.38749999999999996</v>
      </c>
      <c r="N68" s="119">
        <f t="shared" si="78"/>
        <v>0.39</v>
      </c>
      <c r="O68" s="119">
        <f t="shared" si="78"/>
        <v>0.35531643250794825</v>
      </c>
      <c r="P68" s="119">
        <f t="shared" si="78"/>
        <v>0.35727154746488671</v>
      </c>
      <c r="Q68" s="119">
        <f t="shared" si="78"/>
        <v>0.35755145003539107</v>
      </c>
      <c r="R68" s="119">
        <f t="shared" si="78"/>
        <v>0.35124756054024053</v>
      </c>
      <c r="S68" s="119">
        <f t="shared" si="78"/>
        <v>0.35534674763711666</v>
      </c>
      <c r="T68" s="119">
        <f t="shared" si="78"/>
        <v>0.34677439414307026</v>
      </c>
      <c r="U68" s="119">
        <f t="shared" si="78"/>
        <v>0.30673477984806158</v>
      </c>
      <c r="V68" s="119">
        <f t="shared" si="78"/>
        <v>0.31534835292819763</v>
      </c>
      <c r="W68" s="119">
        <f t="shared" si="78"/>
        <v>0.32693422840222358</v>
      </c>
      <c r="X68" s="119">
        <f t="shared" si="78"/>
        <v>0.32394793883038825</v>
      </c>
      <c r="Y68" s="119">
        <f t="shared" si="78"/>
        <v>0.31259740651029599</v>
      </c>
      <c r="Z68" s="119">
        <f t="shared" si="78"/>
        <v>0.31584741139569411</v>
      </c>
      <c r="AA68" s="119">
        <f t="shared" si="78"/>
        <v>0.33144306089922593</v>
      </c>
      <c r="AB68" s="119">
        <f t="shared" si="78"/>
        <v>0.31009706350054667</v>
      </c>
      <c r="AC68" s="119">
        <f t="shared" si="78"/>
        <v>0.31749623557644069</v>
      </c>
      <c r="AD68" s="119">
        <f t="shared" si="78"/>
        <v>0.33559386455757512</v>
      </c>
      <c r="AE68" s="119">
        <f t="shared" si="78"/>
        <v>0.29897910626816299</v>
      </c>
      <c r="AF68" s="119">
        <f t="shared" si="78"/>
        <v>0.27469999156228775</v>
      </c>
      <c r="AG68" s="119">
        <f t="shared" si="78"/>
        <v>0.25678695474044538</v>
      </c>
      <c r="AH68" s="119">
        <f t="shared" si="78"/>
        <v>0.29151497928211784</v>
      </c>
      <c r="AI68" s="119">
        <f t="shared" ref="AI68:AL68" si="79">AI59+AI35</f>
        <v>0.22372341117248229</v>
      </c>
      <c r="AJ68" s="119">
        <f t="shared" si="79"/>
        <v>0.22298653718903877</v>
      </c>
      <c r="AK68" s="119">
        <f t="shared" si="79"/>
        <v>0.20737562712205254</v>
      </c>
      <c r="AL68" s="119">
        <f t="shared" si="79"/>
        <v>0.19325436482541941</v>
      </c>
      <c r="AM68" s="119">
        <f t="shared" si="78"/>
        <v>0.21183498507724824</v>
      </c>
      <c r="AN68" s="119">
        <f t="shared" si="78"/>
        <v>0.18238512046782543</v>
      </c>
      <c r="AO68" s="119">
        <f t="shared" si="78"/>
        <v>0.16988512046782545</v>
      </c>
      <c r="AP68" s="119">
        <f t="shared" si="78"/>
        <v>0.16488512046782544</v>
      </c>
      <c r="AQ68" s="119">
        <f t="shared" si="78"/>
        <v>0.15488512046782543</v>
      </c>
      <c r="AR68" s="119">
        <f t="shared" si="78"/>
        <v>0.17048851204678256</v>
      </c>
      <c r="AS68" s="119">
        <f t="shared" si="78"/>
        <v>0.18004885120467826</v>
      </c>
      <c r="AT68" s="119">
        <f t="shared" si="78"/>
        <v>0.18500488512046781</v>
      </c>
      <c r="AU68" s="119">
        <f t="shared" si="78"/>
        <v>0.19000048851204679</v>
      </c>
      <c r="AV68" s="119">
        <f t="shared" si="78"/>
        <v>1.9000048851204682E-2</v>
      </c>
      <c r="AW68" s="119">
        <f t="shared" si="78"/>
        <v>3.8000048851204687E-3</v>
      </c>
      <c r="AX68" s="119">
        <f t="shared" si="78"/>
        <v>7.6000048851204705E-4</v>
      </c>
      <c r="AY68" s="119">
        <f t="shared" si="78"/>
        <v>1.5200004885120475E-4</v>
      </c>
      <c r="AZ68" s="119">
        <f t="shared" si="78"/>
        <v>3.0400004885120483E-5</v>
      </c>
      <c r="BA68" s="119">
        <f t="shared" si="78"/>
        <v>6.0800004885120495E-6</v>
      </c>
    </row>
    <row r="69" spans="1:54" s="119" customFormat="1" ht="12.75" customHeight="1">
      <c r="A69" s="399"/>
      <c r="B69" s="221" t="s">
        <v>887</v>
      </c>
      <c r="M69" s="119">
        <f>M43+M55</f>
        <v>0</v>
      </c>
      <c r="N69" s="119">
        <f>N43+N55</f>
        <v>3.5000000000000003E-2</v>
      </c>
      <c r="O69" s="119">
        <f>O43+O55</f>
        <v>4.1713682919714695E-2</v>
      </c>
      <c r="P69" s="119">
        <f>P43+P55</f>
        <v>6.8827159898515025E-2</v>
      </c>
      <c r="Q69" s="119">
        <f t="shared" ref="Q69:AC69" si="80">Q43+Q55</f>
        <v>8.013570127700495E-2</v>
      </c>
      <c r="R69" s="119">
        <f t="shared" si="80"/>
        <v>9.6468002920650026E-2</v>
      </c>
      <c r="S69" s="119">
        <f t="shared" si="80"/>
        <v>7.1786136753971164E-2</v>
      </c>
      <c r="T69" s="119">
        <f t="shared" si="80"/>
        <v>9.4292933147793648E-2</v>
      </c>
      <c r="U69" s="119">
        <f t="shared" si="80"/>
        <v>0.10398375405218598</v>
      </c>
      <c r="V69" s="119">
        <f t="shared" si="80"/>
        <v>9.602703041806436E-2</v>
      </c>
      <c r="W69" s="119">
        <f t="shared" si="80"/>
        <v>0.11445904802593239</v>
      </c>
      <c r="X69" s="119">
        <f t="shared" si="80"/>
        <v>0.10219069141099409</v>
      </c>
      <c r="Y69" s="119">
        <f t="shared" si="80"/>
        <v>0.11873079981864318</v>
      </c>
      <c r="Z69" s="119">
        <f t="shared" si="80"/>
        <v>0.11124297780619027</v>
      </c>
      <c r="AA69" s="119">
        <f t="shared" si="80"/>
        <v>0.1123712927338494</v>
      </c>
      <c r="AB69" s="119">
        <f t="shared" si="80"/>
        <v>0.11031678853360283</v>
      </c>
      <c r="AC69" s="119">
        <f t="shared" si="80"/>
        <v>0.11316546472307142</v>
      </c>
      <c r="AD69" s="119">
        <f>AD43+AD55</f>
        <v>0.12607918051324302</v>
      </c>
      <c r="AE69" s="119">
        <f t="shared" ref="AE69:BA69" si="81">AE43+AE55</f>
        <v>0.11780640506949686</v>
      </c>
      <c r="AF69" s="119">
        <f t="shared" si="81"/>
        <v>0.12162440265731754</v>
      </c>
      <c r="AG69" s="119">
        <f t="shared" si="81"/>
        <v>0.12125946671059901</v>
      </c>
      <c r="AH69" s="119">
        <f t="shared" si="81"/>
        <v>0.12169236373766411</v>
      </c>
      <c r="AI69" s="119">
        <f>AI43+AI55</f>
        <v>0.12509329364620608</v>
      </c>
      <c r="AJ69" s="119">
        <f t="shared" ref="AJ69:AL69" si="82">AJ43+AJ55</f>
        <v>0.12964641699562049</v>
      </c>
      <c r="AK69" s="119">
        <f t="shared" si="82"/>
        <v>0.12473514655951706</v>
      </c>
      <c r="AL69" s="119">
        <f t="shared" si="82"/>
        <v>0.12873374683616984</v>
      </c>
      <c r="AM69" s="119">
        <f t="shared" si="81"/>
        <v>0.12705215100937836</v>
      </c>
      <c r="AN69" s="119">
        <f t="shared" si="81"/>
        <v>0.14249999999999999</v>
      </c>
      <c r="AO69" s="119">
        <f t="shared" si="81"/>
        <v>0.14300000000000002</v>
      </c>
      <c r="AP69" s="119">
        <f t="shared" si="81"/>
        <v>0.13980000000000001</v>
      </c>
      <c r="AQ69" s="119">
        <f t="shared" si="81"/>
        <v>0.13386000000000001</v>
      </c>
      <c r="AR69" s="119">
        <f t="shared" si="81"/>
        <v>0.13108799999999998</v>
      </c>
      <c r="AS69" s="119">
        <f t="shared" si="81"/>
        <v>0.1288704</v>
      </c>
      <c r="AT69" s="119">
        <f t="shared" si="81"/>
        <v>0.12088704</v>
      </c>
      <c r="AU69" s="119">
        <f t="shared" si="81"/>
        <v>0.12008870399999999</v>
      </c>
      <c r="AV69" s="119">
        <f t="shared" si="81"/>
        <v>1.20088704E-2</v>
      </c>
      <c r="AW69" s="119">
        <f t="shared" si="81"/>
        <v>2.4008870400000003E-3</v>
      </c>
      <c r="AX69" s="119">
        <f t="shared" si="81"/>
        <v>4.8008870400000005E-4</v>
      </c>
      <c r="AY69" s="119">
        <f t="shared" si="81"/>
        <v>9.600887040000002E-5</v>
      </c>
      <c r="AZ69" s="119">
        <f t="shared" si="81"/>
        <v>1.9200887040000005E-5</v>
      </c>
      <c r="BA69" s="119">
        <f t="shared" si="81"/>
        <v>3.8400887040000013E-6</v>
      </c>
    </row>
    <row r="70" spans="1:54" s="119" customFormat="1" ht="12.75" customHeight="1">
      <c r="A70" s="399"/>
      <c r="B70" s="221" t="s">
        <v>888</v>
      </c>
      <c r="M70" s="119">
        <f>M51+M47</f>
        <v>0</v>
      </c>
      <c r="N70" s="119">
        <f t="shared" ref="N70:BA70" si="83">N51+N47</f>
        <v>0</v>
      </c>
      <c r="O70" s="119">
        <f t="shared" si="83"/>
        <v>0</v>
      </c>
      <c r="P70" s="119">
        <f t="shared" si="83"/>
        <v>0</v>
      </c>
      <c r="Q70" s="119">
        <f t="shared" si="83"/>
        <v>1.487738820603169E-2</v>
      </c>
      <c r="R70" s="119">
        <f t="shared" si="83"/>
        <v>2.0016428090006356E-2</v>
      </c>
      <c r="S70" s="119">
        <f t="shared" si="83"/>
        <v>1.7446908148019025E-2</v>
      </c>
      <c r="T70" s="119">
        <f t="shared" si="83"/>
        <v>4.1578516375015515E-2</v>
      </c>
      <c r="U70" s="119">
        <f t="shared" si="83"/>
        <v>5.5740276046644749E-2</v>
      </c>
      <c r="V70" s="119">
        <f t="shared" si="83"/>
        <v>7.1618801990772765E-2</v>
      </c>
      <c r="W70" s="119">
        <f t="shared" si="83"/>
        <v>9.602851793408286E-2</v>
      </c>
      <c r="X70" s="119">
        <f t="shared" si="83"/>
        <v>6.6241528086628976E-2</v>
      </c>
      <c r="Y70" s="119">
        <f t="shared" si="83"/>
        <v>9.7188339738497193E-2</v>
      </c>
      <c r="Z70" s="119">
        <f t="shared" si="83"/>
        <v>0.10579103179676838</v>
      </c>
      <c r="AA70" s="119">
        <f t="shared" si="83"/>
        <v>0.11389259715658</v>
      </c>
      <c r="AB70" s="119">
        <f t="shared" si="83"/>
        <v>0.12524425770778844</v>
      </c>
      <c r="AC70" s="119">
        <f t="shared" si="83"/>
        <v>0.1105290565999085</v>
      </c>
      <c r="AD70" s="119">
        <f t="shared" si="83"/>
        <v>0.1534300905159241</v>
      </c>
      <c r="AE70" s="119">
        <f t="shared" si="83"/>
        <v>0.14766436786842868</v>
      </c>
      <c r="AF70" s="119">
        <f t="shared" si="83"/>
        <v>0.15626603460960184</v>
      </c>
      <c r="AG70" s="119">
        <f t="shared" si="83"/>
        <v>0.16999715585724481</v>
      </c>
      <c r="AH70" s="119">
        <f t="shared" si="83"/>
        <v>0.15683941221279987</v>
      </c>
      <c r="AI70" s="119">
        <f t="shared" ref="AI70:AL70" si="84">AI51+AI47</f>
        <v>0.22552760062996163</v>
      </c>
      <c r="AJ70" s="119">
        <f t="shared" si="84"/>
        <v>0.23380183109026775</v>
      </c>
      <c r="AK70" s="119">
        <f t="shared" si="84"/>
        <v>0.27952741487091481</v>
      </c>
      <c r="AL70" s="119">
        <f t="shared" si="84"/>
        <v>0.2981836376660863</v>
      </c>
      <c r="AM70" s="119">
        <f t="shared" si="83"/>
        <v>0.25926012106430762</v>
      </c>
      <c r="AN70" s="119">
        <f t="shared" si="83"/>
        <v>0.32350000000000001</v>
      </c>
      <c r="AO70" s="119">
        <f t="shared" si="83"/>
        <v>0.3248875</v>
      </c>
      <c r="AP70" s="119">
        <f t="shared" si="83"/>
        <v>0.25563999999999998</v>
      </c>
      <c r="AQ70" s="119">
        <f t="shared" si="83"/>
        <v>0.20152300000000001</v>
      </c>
      <c r="AR70" s="119">
        <f t="shared" si="83"/>
        <v>0.15912610000000002</v>
      </c>
      <c r="AS70" s="119">
        <f t="shared" si="83"/>
        <v>0.12876549000000001</v>
      </c>
      <c r="AT70" s="119">
        <f t="shared" si="83"/>
        <v>0.12298629</v>
      </c>
      <c r="AU70" s="119">
        <f t="shared" si="83"/>
        <v>0.11749604999999999</v>
      </c>
      <c r="AV70" s="119">
        <f t="shared" si="83"/>
        <v>0.11228032199999999</v>
      </c>
      <c r="AW70" s="119">
        <f t="shared" si="83"/>
        <v>0.10732538039999999</v>
      </c>
      <c r="AX70" s="119">
        <f t="shared" si="83"/>
        <v>0.10261818587999999</v>
      </c>
      <c r="AY70" s="119">
        <f t="shared" si="83"/>
        <v>9.8146351085999992E-2</v>
      </c>
      <c r="AZ70" s="119">
        <f t="shared" si="83"/>
        <v>9.8146351085999992E-3</v>
      </c>
      <c r="BA70" s="119">
        <f t="shared" si="83"/>
        <v>9.8146351086000005E-4</v>
      </c>
    </row>
    <row r="71" spans="1:54" s="119" customFormat="1" ht="12.75" customHeight="1">
      <c r="A71" s="399"/>
      <c r="B71" s="221"/>
    </row>
    <row r="72" spans="1:54" s="119" customFormat="1" ht="12.75" customHeight="1">
      <c r="A72" s="399"/>
      <c r="B72" s="400" t="s">
        <v>630</v>
      </c>
      <c r="C72" s="401"/>
      <c r="D72" s="401"/>
      <c r="E72" s="401"/>
      <c r="F72" s="401"/>
      <c r="G72" s="401"/>
      <c r="H72" s="401"/>
      <c r="I72" s="401"/>
      <c r="J72" s="401"/>
      <c r="K72" s="401"/>
      <c r="L72" s="401"/>
      <c r="M72" s="401"/>
      <c r="N72" s="401"/>
      <c r="O72" s="401"/>
      <c r="P72" s="401"/>
      <c r="Q72" s="401"/>
      <c r="R72" s="401"/>
      <c r="S72" s="401"/>
      <c r="T72" s="401"/>
      <c r="U72" s="401"/>
      <c r="V72" s="401"/>
      <c r="W72" s="401"/>
      <c r="X72" s="401"/>
      <c r="Y72" s="401"/>
      <c r="Z72" s="401"/>
      <c r="AA72" s="401"/>
      <c r="AB72" s="401"/>
      <c r="AC72" s="401"/>
      <c r="AD72" s="401"/>
      <c r="AE72" s="401"/>
      <c r="AF72" s="401"/>
      <c r="AG72" s="401"/>
      <c r="AH72" s="401"/>
      <c r="AI72" s="401"/>
      <c r="AJ72" s="401"/>
      <c r="AK72" s="401"/>
      <c r="AL72" s="401"/>
      <c r="AM72" s="401"/>
      <c r="AN72" s="401"/>
      <c r="AO72" s="401"/>
      <c r="AP72" s="401"/>
      <c r="AQ72" s="401"/>
      <c r="AR72" s="401"/>
      <c r="AS72" s="401"/>
      <c r="AT72" s="401"/>
      <c r="AU72" s="401"/>
      <c r="AV72" s="401"/>
      <c r="AW72" s="401"/>
      <c r="AX72" s="401"/>
      <c r="AY72" s="401"/>
      <c r="AZ72" s="401"/>
      <c r="BA72" s="401"/>
    </row>
    <row r="73" spans="1:54" s="116" customFormat="1" ht="12.75" customHeight="1">
      <c r="A73" s="372"/>
      <c r="B73" s="247" t="s">
        <v>63</v>
      </c>
      <c r="D73" s="116">
        <f t="shared" ref="D73:N73" si="85">D27*D31</f>
        <v>53276.986836632947</v>
      </c>
      <c r="E73" s="116">
        <f t="shared" si="85"/>
        <v>53393.607328439983</v>
      </c>
      <c r="F73" s="116">
        <f t="shared" si="85"/>
        <v>99278.554926645753</v>
      </c>
      <c r="G73" s="116">
        <f t="shared" si="85"/>
        <v>114488.77011041786</v>
      </c>
      <c r="H73" s="116">
        <f t="shared" si="85"/>
        <v>87049.935076690293</v>
      </c>
      <c r="I73" s="116">
        <f t="shared" si="85"/>
        <v>70845.00873195949</v>
      </c>
      <c r="J73" s="116">
        <f t="shared" si="85"/>
        <v>55502.278656438488</v>
      </c>
      <c r="K73" s="116">
        <f t="shared" si="85"/>
        <v>47521.307994161296</v>
      </c>
      <c r="L73" s="116">
        <f t="shared" si="85"/>
        <v>39118.425385000002</v>
      </c>
      <c r="M73" s="116">
        <f t="shared" si="85"/>
        <v>33925.851999999999</v>
      </c>
      <c r="N73" s="116">
        <f t="shared" si="85"/>
        <v>26530.305197981088</v>
      </c>
      <c r="O73" s="116">
        <v>17732.377330420306</v>
      </c>
      <c r="P73" s="116">
        <v>17707.921587598834</v>
      </c>
      <c r="Q73" s="116">
        <v>15687.541801914274</v>
      </c>
      <c r="R73" s="116">
        <v>14616.212552018311</v>
      </c>
      <c r="S73" s="116">
        <f>AVERAGE(O73:R73)</f>
        <v>16436.01331798793</v>
      </c>
      <c r="T73" s="402">
        <v>18914.343487307531</v>
      </c>
      <c r="U73" s="402">
        <v>12891.658127340825</v>
      </c>
      <c r="V73" s="402">
        <v>12893.278510195589</v>
      </c>
      <c r="W73" s="402">
        <v>10877.07468164794</v>
      </c>
      <c r="X73" s="116">
        <f>AVERAGE(T73:W73)</f>
        <v>13894.088701622972</v>
      </c>
      <c r="Y73" s="402">
        <v>10933.684992717437</v>
      </c>
      <c r="Z73" s="402">
        <v>10985.458801498127</v>
      </c>
      <c r="AA73" s="402">
        <v>10050.035153974199</v>
      </c>
      <c r="AB73" s="402">
        <v>7129.1049521431542</v>
      </c>
      <c r="AC73" s="696">
        <f>AVERAGE(Y73:AB73)</f>
        <v>9774.5709750832302</v>
      </c>
      <c r="AD73" s="402">
        <v>13163.39986267166</v>
      </c>
      <c r="AE73" s="402">
        <v>9178.8435572201415</v>
      </c>
      <c r="AF73" s="402">
        <v>9212.5316163129428</v>
      </c>
      <c r="AG73" s="402">
        <v>10248.140134831461</v>
      </c>
      <c r="AH73" s="696">
        <f>AVERAGE(AD73:AG73)</f>
        <v>10450.728792759051</v>
      </c>
      <c r="AI73" s="402">
        <v>8043.3847128589259</v>
      </c>
      <c r="AJ73" s="402">
        <v>11067.081417394924</v>
      </c>
      <c r="AK73" s="402">
        <v>8110.9759841864343</v>
      </c>
      <c r="AL73" s="402">
        <v>8175.5455280898877</v>
      </c>
      <c r="AM73" s="696">
        <f>AVERAGE(AI73:AL73)</f>
        <v>8849.2469106325443</v>
      </c>
      <c r="AN73" s="116">
        <f t="shared" ref="AN73:BA73" si="86">AN27*AN31</f>
        <v>11045.6387764397</v>
      </c>
      <c r="AO73" s="116">
        <f t="shared" si="86"/>
        <v>8442.7341191446449</v>
      </c>
      <c r="AP73" s="116">
        <f t="shared" si="86"/>
        <v>860.38599395907681</v>
      </c>
      <c r="AQ73" s="116">
        <f t="shared" si="86"/>
        <v>87.676457002729379</v>
      </c>
      <c r="AR73" s="116">
        <f t="shared" si="86"/>
        <v>8.9341311024003929</v>
      </c>
      <c r="AS73" s="116">
        <f t="shared" si="86"/>
        <v>0.91033563989726451</v>
      </c>
      <c r="AT73" s="116">
        <f t="shared" si="86"/>
        <v>9.275362402056414E-2</v>
      </c>
      <c r="AU73" s="116">
        <f t="shared" si="86"/>
        <v>9.4501904901547109E-3</v>
      </c>
      <c r="AV73" s="116">
        <f t="shared" si="86"/>
        <v>9.627882615669285E-4</v>
      </c>
      <c r="AW73" s="116">
        <f t="shared" si="86"/>
        <v>9.8084813124575313E-5</v>
      </c>
      <c r="AX73" s="116">
        <f t="shared" si="86"/>
        <v>9.9920297034850027E-6</v>
      </c>
      <c r="AY73" s="116">
        <f t="shared" si="86"/>
        <v>1.0178571508574762E-6</v>
      </c>
      <c r="AZ73" s="116">
        <f t="shared" si="86"/>
        <v>1.0368151052254693E-7</v>
      </c>
      <c r="BA73" s="116">
        <f t="shared" si="86"/>
        <v>1.0560813271704012E-8</v>
      </c>
    </row>
    <row r="74" spans="1:54" s="116" customFormat="1" ht="12.75" customHeight="1">
      <c r="A74" s="372"/>
      <c r="B74" s="247" t="s">
        <v>62</v>
      </c>
      <c r="G74" s="116">
        <f t="shared" ref="G74:N74" si="87">G27*G35</f>
        <v>18418.000547379033</v>
      </c>
      <c r="H74" s="116">
        <f t="shared" si="87"/>
        <v>59809.838542356265</v>
      </c>
      <c r="I74" s="116">
        <f t="shared" si="87"/>
        <v>105041.10945399769</v>
      </c>
      <c r="J74" s="116">
        <f t="shared" si="87"/>
        <v>127025.79999999999</v>
      </c>
      <c r="K74" s="116">
        <f t="shared" si="87"/>
        <v>152552.4</v>
      </c>
      <c r="L74" s="116">
        <f t="shared" si="87"/>
        <v>175253.21624999997</v>
      </c>
      <c r="M74" s="116">
        <f t="shared" si="87"/>
        <v>196212.94999999998</v>
      </c>
      <c r="N74" s="116">
        <f t="shared" si="87"/>
        <v>215076.03</v>
      </c>
      <c r="O74" s="116">
        <v>218774.42982937995</v>
      </c>
      <c r="P74" s="116">
        <v>219978.22768622555</v>
      </c>
      <c r="Q74" s="116">
        <v>220150.56850603412</v>
      </c>
      <c r="R74" s="116">
        <v>216269.15547856846</v>
      </c>
      <c r="S74" s="116">
        <f>AVERAGE(O74:R74)</f>
        <v>218793.09537505201</v>
      </c>
      <c r="T74" s="402">
        <v>213514.95010403663</v>
      </c>
      <c r="U74" s="402">
        <v>192808.23940074907</v>
      </c>
      <c r="V74" s="402">
        <v>197932.78510195587</v>
      </c>
      <c r="W74" s="402">
        <v>208209.28415730337</v>
      </c>
      <c r="X74" s="116">
        <f>AVERAGE(T74:W74)</f>
        <v>203116.31469101124</v>
      </c>
      <c r="Y74" s="402">
        <v>200336.84992717436</v>
      </c>
      <c r="Z74" s="402">
        <v>203290.95401581356</v>
      </c>
      <c r="AA74" s="402">
        <v>211500.351539742</v>
      </c>
      <c r="AB74" s="402">
        <v>192746.74011652102</v>
      </c>
      <c r="AC74" s="696">
        <f>AVERAGE(Y74:AB74)</f>
        <v>201968.72389981273</v>
      </c>
      <c r="AD74" s="402">
        <v>215191.73205160216</v>
      </c>
      <c r="AE74" s="402">
        <v>201615.35493965875</v>
      </c>
      <c r="AF74" s="402">
        <v>191308.08143154389</v>
      </c>
      <c r="AG74" s="402">
        <v>184975.20179775282</v>
      </c>
      <c r="AH74" s="696">
        <f>AVERAGE(AD74:AG74)</f>
        <v>198272.59255513939</v>
      </c>
      <c r="AI74" s="402">
        <v>165158.36007906782</v>
      </c>
      <c r="AJ74" s="402">
        <v>163336.29583853515</v>
      </c>
      <c r="AK74" s="402">
        <v>137896.81223470662</v>
      </c>
      <c r="AL74" s="402">
        <v>119190.68224719101</v>
      </c>
      <c r="AM74" s="696">
        <f>AVERAGE(AI74:AL74)</f>
        <v>146395.53759987513</v>
      </c>
      <c r="AN74" s="116">
        <f t="shared" ref="AN74:BA74" si="88">AN27*AN35</f>
        <v>74861.911853326063</v>
      </c>
      <c r="AO74" s="116">
        <f t="shared" si="88"/>
        <v>52172.173371287638</v>
      </c>
      <c r="AP74" s="116">
        <f t="shared" si="88"/>
        <v>28585.39909342106</v>
      </c>
      <c r="AQ74" s="116">
        <f t="shared" si="88"/>
        <v>4079.1433776233339</v>
      </c>
      <c r="AR74" s="116">
        <f t="shared" si="88"/>
        <v>415.66006391020943</v>
      </c>
      <c r="AS74" s="116">
        <f t="shared" si="88"/>
        <v>42.353326352886597</v>
      </c>
      <c r="AT74" s="116">
        <f t="shared" si="88"/>
        <v>4.3153583539794571</v>
      </c>
      <c r="AU74" s="116">
        <f t="shared" si="88"/>
        <v>0.43966970465051491</v>
      </c>
      <c r="AV74" s="116">
        <f t="shared" si="88"/>
        <v>4.4793682312025448E-2</v>
      </c>
      <c r="AW74" s="116">
        <f t="shared" si="88"/>
        <v>4.5633916969304369E-3</v>
      </c>
      <c r="AX74" s="116">
        <f t="shared" si="88"/>
        <v>4.6487875066299347E-4</v>
      </c>
      <c r="AY74" s="116">
        <f t="shared" si="88"/>
        <v>4.7355760009298479E-5</v>
      </c>
      <c r="AZ74" s="116">
        <f t="shared" si="88"/>
        <v>4.8237778017976413E-6</v>
      </c>
      <c r="BA74" s="116">
        <f t="shared" si="88"/>
        <v>4.9134138162365494E-7</v>
      </c>
    </row>
    <row r="75" spans="1:54" s="116" customFormat="1" ht="12.75" customHeight="1">
      <c r="A75" s="372"/>
      <c r="B75" s="247" t="s">
        <v>61</v>
      </c>
      <c r="I75" s="116">
        <f t="shared" ref="I75:N75" si="89">I27*I39</f>
        <v>36856.529632981656</v>
      </c>
      <c r="J75" s="116">
        <f t="shared" si="89"/>
        <v>81033.7</v>
      </c>
      <c r="K75" s="116">
        <f t="shared" si="89"/>
        <v>115570</v>
      </c>
      <c r="L75" s="116">
        <f t="shared" si="89"/>
        <v>154985.83749999999</v>
      </c>
      <c r="M75" s="116">
        <f t="shared" si="89"/>
        <v>175958.71</v>
      </c>
      <c r="N75" s="116">
        <f t="shared" si="89"/>
        <v>194395.64250000002</v>
      </c>
      <c r="O75" s="116">
        <v>186760.33169371617</v>
      </c>
      <c r="P75" s="116">
        <v>186427.73359134415</v>
      </c>
      <c r="Q75" s="116">
        <v>194675.55178526841</v>
      </c>
      <c r="R75" s="116">
        <v>202162.12552018309</v>
      </c>
      <c r="S75" s="116">
        <f>AVERAGE(O75:R75)</f>
        <v>192506.43564762795</v>
      </c>
      <c r="T75" s="402">
        <v>188886.46533499792</v>
      </c>
      <c r="U75" s="402">
        <v>202916.58127340823</v>
      </c>
      <c r="V75" s="402">
        <v>205826.06361215148</v>
      </c>
      <c r="W75" s="402">
        <v>179209.28415730337</v>
      </c>
      <c r="X75" s="116">
        <f>AVERAGE(T75:W75)</f>
        <v>194209.59859446523</v>
      </c>
      <c r="Y75" s="402">
        <v>186336.84992717436</v>
      </c>
      <c r="Z75" s="402">
        <v>177981.85601331669</v>
      </c>
      <c r="AA75" s="402">
        <v>155176.76009155222</v>
      </c>
      <c r="AB75" s="402">
        <v>154923.97773616313</v>
      </c>
      <c r="AC75" s="696">
        <f>AVERAGE(Y75:AB75)</f>
        <v>168604.8609420516</v>
      </c>
      <c r="AD75" s="402">
        <v>156191.73205160216</v>
      </c>
      <c r="AE75" s="402">
        <v>139721.13715355805</v>
      </c>
      <c r="AF75" s="402">
        <v>142154.04071577196</v>
      </c>
      <c r="AG75" s="402">
        <v>152614.15078651687</v>
      </c>
      <c r="AH75" s="696">
        <f>AVERAGE(AD75:AG75)</f>
        <v>147670.26517686225</v>
      </c>
      <c r="AI75" s="402">
        <v>137535.795326675</v>
      </c>
      <c r="AJ75" s="402">
        <v>132334.51833541406</v>
      </c>
      <c r="AK75" s="402">
        <v>129580.67686225551</v>
      </c>
      <c r="AL75" s="402">
        <v>127251.81842696629</v>
      </c>
      <c r="AM75" s="696">
        <f>AVERAGE(AI75:AL75)</f>
        <v>131675.7022378277</v>
      </c>
      <c r="AN75" s="116">
        <f t="shared" ref="AN75:BA75" si="90">AN27*AN39</f>
        <v>87382.012218850592</v>
      </c>
      <c r="AO75" s="116">
        <f t="shared" si="90"/>
        <v>62337.745858965296</v>
      </c>
      <c r="AP75" s="116">
        <f t="shared" si="90"/>
        <v>44469.203782325931</v>
      </c>
      <c r="AQ75" s="116">
        <f t="shared" si="90"/>
        <v>31721.013388399126</v>
      </c>
      <c r="AR75" s="116">
        <f t="shared" si="90"/>
        <v>3232.3351330692303</v>
      </c>
      <c r="AS75" s="116">
        <f t="shared" si="90"/>
        <v>329.3560210835056</v>
      </c>
      <c r="AT75" s="116">
        <f t="shared" si="90"/>
        <v>33.557913377901002</v>
      </c>
      <c r="AU75" s="116">
        <f t="shared" si="90"/>
        <v>3.4190434845215947</v>
      </c>
      <c r="AV75" s="116">
        <f t="shared" si="90"/>
        <v>0.34833318292511889</v>
      </c>
      <c r="AW75" s="116">
        <f t="shared" si="90"/>
        <v>3.5486717605690006E-2</v>
      </c>
      <c r="AX75" s="116">
        <f t="shared" si="90"/>
        <v>3.6150788802022707E-3</v>
      </c>
      <c r="AY75" s="116">
        <f t="shared" si="90"/>
        <v>3.6825690058190508E-4</v>
      </c>
      <c r="AZ75" s="116">
        <f t="shared" si="90"/>
        <v>3.7511581738673266E-5</v>
      </c>
      <c r="BA75" s="116">
        <f t="shared" si="90"/>
        <v>3.8208626424500412E-6</v>
      </c>
    </row>
    <row r="76" spans="1:54" s="116" customFormat="1" ht="12.75" customHeight="1">
      <c r="A76" s="372"/>
      <c r="B76" s="247" t="s">
        <v>440</v>
      </c>
      <c r="N76" s="116">
        <f>N27*N43</f>
        <v>19301.695000000003</v>
      </c>
      <c r="O76" s="116">
        <v>23830.822372034956</v>
      </c>
      <c r="P76" s="116">
        <v>40079.215875988346</v>
      </c>
      <c r="Q76" s="116">
        <v>47400.40129837703</v>
      </c>
      <c r="R76" s="116">
        <v>60162.125520183108</v>
      </c>
      <c r="S76" s="116">
        <f>AVERAGE(O76:R76)</f>
        <v>42868.141266645864</v>
      </c>
      <c r="T76" s="402">
        <v>58057.778360382857</v>
      </c>
      <c r="U76" s="402">
        <v>65362.410337078654</v>
      </c>
      <c r="V76" s="402">
        <v>60272.702867249274</v>
      </c>
      <c r="W76" s="402">
        <v>72893.67213483146</v>
      </c>
      <c r="X76" s="116">
        <f>AVERAGE(T76:W76)</f>
        <v>64146.640924885556</v>
      </c>
      <c r="Y76" s="402">
        <v>76091.976227632127</v>
      </c>
      <c r="Z76" s="402">
        <v>71600.052018310438</v>
      </c>
      <c r="AA76" s="402">
        <v>71706.337286724927</v>
      </c>
      <c r="AB76" s="402">
        <v>68569.502496878908</v>
      </c>
      <c r="AC76" s="696">
        <f>AVERAGE(Y76:AB76)</f>
        <v>71991.9670073866</v>
      </c>
      <c r="AD76" s="402">
        <v>80845.331502288813</v>
      </c>
      <c r="AE76" s="402">
        <v>79442.274307116109</v>
      </c>
      <c r="AF76" s="402">
        <v>84702.336521015401</v>
      </c>
      <c r="AG76" s="402">
        <v>87348.651910112356</v>
      </c>
      <c r="AH76" s="696">
        <f>AVERAGE(AD76:AG76)</f>
        <v>83084.648560133166</v>
      </c>
      <c r="AI76" s="402">
        <v>91347.077702871407</v>
      </c>
      <c r="AJ76" s="402">
        <v>88002.666254681651</v>
      </c>
      <c r="AK76" s="402">
        <v>70212.947607157723</v>
      </c>
      <c r="AL76" s="402">
        <v>66877.727640449433</v>
      </c>
      <c r="AM76" s="696">
        <f>AVERAGE(AI76:AL76)</f>
        <v>79110.104801290057</v>
      </c>
      <c r="AN76" s="116">
        <f t="shared" ref="AN76:BA76" si="91">AN27*AN43</f>
        <v>43393.580907441676</v>
      </c>
      <c r="AO76" s="116">
        <f t="shared" si="91"/>
        <v>26534.30723159745</v>
      </c>
      <c r="AP76" s="116">
        <f t="shared" si="91"/>
        <v>16224.421600371159</v>
      </c>
      <c r="AQ76" s="116">
        <f t="shared" si="91"/>
        <v>11573.292324360275</v>
      </c>
      <c r="AR76" s="116">
        <f t="shared" si="91"/>
        <v>9434.442444134811</v>
      </c>
      <c r="AS76" s="116">
        <f t="shared" si="91"/>
        <v>7690.5154858520873</v>
      </c>
      <c r="AT76" s="116">
        <f t="shared" si="91"/>
        <v>783.58261572572553</v>
      </c>
      <c r="AU76" s="116">
        <f t="shared" si="91"/>
        <v>79.835209260826957</v>
      </c>
      <c r="AV76" s="116">
        <f t="shared" si="91"/>
        <v>8.133635233717408</v>
      </c>
      <c r="AW76" s="116">
        <f t="shared" si="91"/>
        <v>0.82862050127641174</v>
      </c>
      <c r="AX76" s="116">
        <f t="shared" si="91"/>
        <v>8.4412666935041236E-2</v>
      </c>
      <c r="AY76" s="116">
        <f t="shared" si="91"/>
        <v>8.5988572104439536E-3</v>
      </c>
      <c r="AZ76" s="116">
        <f t="shared" si="91"/>
        <v>8.7590140089447571E-4</v>
      </c>
      <c r="BA76" s="116">
        <f t="shared" si="91"/>
        <v>8.9217750519355414E-5</v>
      </c>
    </row>
    <row r="77" spans="1:54" s="116" customFormat="1" ht="12.75" customHeight="1">
      <c r="A77" s="372"/>
      <c r="B77" s="247" t="s">
        <v>66</v>
      </c>
      <c r="Q77" s="385">
        <v>8800</v>
      </c>
      <c r="R77" s="116">
        <v>12483.215395339159</v>
      </c>
      <c r="S77" s="116">
        <f>AVERAGE(O77:R77)</f>
        <v>10641.60769766958</v>
      </c>
      <c r="T77" s="402">
        <v>25600.606616729092</v>
      </c>
      <c r="U77" s="402">
        <v>35037.384719101123</v>
      </c>
      <c r="V77" s="402">
        <v>44952.538397836041</v>
      </c>
      <c r="W77" s="402">
        <v>61156.120224719103</v>
      </c>
      <c r="X77" s="116">
        <f>AVERAGE(T77:W77)</f>
        <v>41686.66248959634</v>
      </c>
      <c r="Y77" s="402">
        <v>62285.884103204327</v>
      </c>
      <c r="Z77" s="402">
        <v>68090.980024968798</v>
      </c>
      <c r="AA77" s="402">
        <v>72677.111631294218</v>
      </c>
      <c r="AB77" s="402">
        <v>77847.955472326255</v>
      </c>
      <c r="AC77" s="696">
        <f>AVERAGE(Y77:AB77)</f>
        <v>70225.4828079484</v>
      </c>
      <c r="AD77" s="402">
        <v>98383.464103204329</v>
      </c>
      <c r="AE77" s="402">
        <v>99576.87114440283</v>
      </c>
      <c r="AF77" s="402">
        <v>108827.65268414482</v>
      </c>
      <c r="AG77" s="402">
        <v>122456.60314606741</v>
      </c>
      <c r="AH77" s="696">
        <f>AVERAGE(AD77:AG77)</f>
        <v>107311.14776945485</v>
      </c>
      <c r="AI77" s="402">
        <v>117245.12950478568</v>
      </c>
      <c r="AJ77" s="402">
        <v>107337.18459009571</v>
      </c>
      <c r="AK77" s="402">
        <v>101793.62446941323</v>
      </c>
      <c r="AL77" s="402">
        <v>96129.546067415737</v>
      </c>
      <c r="AM77" s="696">
        <f>AVERAGE(AI77:AL77)</f>
        <v>105626.3711579276</v>
      </c>
      <c r="AN77" s="116">
        <f t="shared" ref="AN77:BA77" si="92">AN27*AN47</f>
        <v>48127.426097344403</v>
      </c>
      <c r="AO77" s="116">
        <f t="shared" si="92"/>
        <v>34333.785417854873</v>
      </c>
      <c r="AP77" s="116">
        <f t="shared" si="92"/>
        <v>24492.321294701705</v>
      </c>
      <c r="AQ77" s="116">
        <f t="shared" si="92"/>
        <v>17470.995332077197</v>
      </c>
      <c r="AR77" s="116">
        <f t="shared" si="92"/>
        <v>12461.92167036822</v>
      </c>
      <c r="AS77" s="116">
        <f t="shared" si="92"/>
        <v>11428.17155614227</v>
      </c>
      <c r="AT77" s="116">
        <f t="shared" si="92"/>
        <v>11644.104452293572</v>
      </c>
      <c r="AU77" s="116">
        <f t="shared" si="92"/>
        <v>11863.580137530409</v>
      </c>
      <c r="AV77" s="116">
        <f t="shared" si="92"/>
        <v>12086.651278058895</v>
      </c>
      <c r="AW77" s="116">
        <f t="shared" si="92"/>
        <v>12313.371270032923</v>
      </c>
      <c r="AX77" s="116">
        <f t="shared" si="92"/>
        <v>12543.794249160988</v>
      </c>
      <c r="AY77" s="116">
        <f t="shared" si="92"/>
        <v>12777.975100434571</v>
      </c>
      <c r="AZ77" s="116">
        <f t="shared" si="92"/>
        <v>1301.596946797948</v>
      </c>
      <c r="BA77" s="116">
        <f t="shared" si="92"/>
        <v>132.57833765031762</v>
      </c>
    </row>
    <row r="78" spans="1:54" s="116" customFormat="1" ht="12.75" customHeight="1">
      <c r="A78" s="372"/>
      <c r="B78" s="247" t="s">
        <v>842</v>
      </c>
      <c r="Q78" s="385"/>
      <c r="AI78" s="402">
        <v>49245.129504785684</v>
      </c>
      <c r="AJ78" s="402">
        <v>73008.8875156055</v>
      </c>
      <c r="AK78" s="402">
        <v>119484.06117353309</v>
      </c>
      <c r="AL78" s="402">
        <v>141014.54741573034</v>
      </c>
      <c r="AM78" s="696">
        <f t="shared" ref="AM78:AM82" si="93">AVERAGE(AI78:AL78)</f>
        <v>95688.156402413646</v>
      </c>
      <c r="AN78" s="116">
        <f t="shared" ref="AN78:BA78" si="94">AN27*AN51</f>
        <v>207105.72705824437</v>
      </c>
      <c r="AO78" s="116">
        <f t="shared" si="94"/>
        <v>226898.47945201225</v>
      </c>
      <c r="AP78" s="116">
        <f t="shared" si="94"/>
        <v>184982.98870120145</v>
      </c>
      <c r="AQ78" s="116">
        <f t="shared" si="94"/>
        <v>150803.50604469448</v>
      </c>
      <c r="AR78" s="116">
        <f t="shared" si="94"/>
        <v>122933.64396902938</v>
      </c>
      <c r="AS78" s="116">
        <f t="shared" si="94"/>
        <v>100209.74723989084</v>
      </c>
      <c r="AT78" s="116">
        <f t="shared" si="94"/>
        <v>96998.029855745117</v>
      </c>
      <c r="AU78" s="116">
        <f t="shared" si="94"/>
        <v>93884.996466349752</v>
      </c>
      <c r="AV78" s="116">
        <f t="shared" si="94"/>
        <v>90867.802080564798</v>
      </c>
      <c r="AW78" s="116">
        <f t="shared" si="94"/>
        <v>87943.675206709464</v>
      </c>
      <c r="AX78" s="116">
        <f t="shared" si="94"/>
        <v>85109.916363287048</v>
      </c>
      <c r="AY78" s="116">
        <f t="shared" si="94"/>
        <v>82363.896598092513</v>
      </c>
      <c r="AZ78" s="116">
        <f t="shared" si="94"/>
        <v>8389.7953702236555</v>
      </c>
      <c r="BA78" s="116">
        <f t="shared" si="94"/>
        <v>854.5695548433481</v>
      </c>
    </row>
    <row r="79" spans="1:54" s="116" customFormat="1" ht="12.75" customHeight="1">
      <c r="A79" s="372"/>
      <c r="B79" s="247" t="str">
        <f>B55</f>
        <v>Odefsey (2025 Expiry)</v>
      </c>
      <c r="Q79" s="385"/>
      <c r="AI79" s="402">
        <v>1000</v>
      </c>
      <c r="AJ79" s="402">
        <v>12001.777503121099</v>
      </c>
      <c r="AK79" s="402">
        <v>28529.082979608822</v>
      </c>
      <c r="AL79" s="402">
        <v>35503.636853932585</v>
      </c>
      <c r="AM79" s="696">
        <f t="shared" si="93"/>
        <v>19258.624334165626</v>
      </c>
      <c r="AN79" s="696">
        <f t="shared" ref="AN79:BA79" si="95">AN27*AN55</f>
        <v>69035.242352748115</v>
      </c>
      <c r="AO79" s="696">
        <f t="shared" si="95"/>
        <v>88447.690771991503</v>
      </c>
      <c r="AP79" s="696">
        <f t="shared" si="95"/>
        <v>98329.827881037316</v>
      </c>
      <c r="AQ79" s="696">
        <f t="shared" si="95"/>
        <v>100201.66514597638</v>
      </c>
      <c r="AR79" s="696">
        <f t="shared" si="95"/>
        <v>102104.35545600444</v>
      </c>
      <c r="AS79" s="696">
        <f t="shared" si="95"/>
        <v>104038.3588454016</v>
      </c>
      <c r="AT79" s="696">
        <f t="shared" si="95"/>
        <v>106004.14173778753</v>
      </c>
      <c r="AU79" s="696">
        <f t="shared" si="95"/>
        <v>108002.17703033947</v>
      </c>
      <c r="AV79" s="696">
        <f t="shared" si="95"/>
        <v>11003.294417907748</v>
      </c>
      <c r="AW79" s="696">
        <f t="shared" si="95"/>
        <v>2241.9385857045772</v>
      </c>
      <c r="AX79" s="696">
        <f t="shared" si="95"/>
        <v>456.77850073074268</v>
      </c>
      <c r="AY79" s="696">
        <f t="shared" si="95"/>
        <v>93.061225221254915</v>
      </c>
      <c r="AZ79" s="696">
        <f t="shared" si="95"/>
        <v>18.958904781265712</v>
      </c>
      <c r="BA79" s="696">
        <f t="shared" si="95"/>
        <v>3.8622402822231781</v>
      </c>
    </row>
    <row r="80" spans="1:54" s="116" customFormat="1" ht="12.75" customHeight="1">
      <c r="A80" s="372"/>
      <c r="B80" s="247" t="str">
        <f>B59</f>
        <v>Descovy (2025 Expiry)</v>
      </c>
      <c r="Q80" s="385"/>
      <c r="AI80" s="402">
        <v>0</v>
      </c>
      <c r="AJ80" s="402">
        <v>8667.2591677070322</v>
      </c>
      <c r="AK80" s="402">
        <v>26264.541489804411</v>
      </c>
      <c r="AL80" s="402">
        <v>34503.636853932585</v>
      </c>
      <c r="AM80" s="696">
        <f t="shared" si="93"/>
        <v>17358.859377861008</v>
      </c>
      <c r="AN80" s="696">
        <f t="shared" ref="AN80:BA80" si="96">AN27*AN59</f>
        <v>69035.242352748115</v>
      </c>
      <c r="AO80" s="696">
        <f t="shared" si="96"/>
        <v>84427.341191446423</v>
      </c>
      <c r="AP80" s="696">
        <f t="shared" si="96"/>
        <v>106523.9802044571</v>
      </c>
      <c r="AQ80" s="696">
        <f t="shared" si="96"/>
        <v>125252.08143247048</v>
      </c>
      <c r="AR80" s="696">
        <f t="shared" si="96"/>
        <v>144647.83689600631</v>
      </c>
      <c r="AS80" s="696">
        <f t="shared" si="96"/>
        <v>156057.53826810239</v>
      </c>
      <c r="AT80" s="696">
        <f t="shared" si="96"/>
        <v>163423.05184575578</v>
      </c>
      <c r="AU80" s="696">
        <f t="shared" si="96"/>
        <v>171003.44696470417</v>
      </c>
      <c r="AV80" s="696">
        <f t="shared" si="96"/>
        <v>17421.882828353937</v>
      </c>
      <c r="AW80" s="696">
        <f t="shared" si="96"/>
        <v>3549.7360940322478</v>
      </c>
      <c r="AX80" s="696">
        <f t="shared" si="96"/>
        <v>723.23262615700935</v>
      </c>
      <c r="AY80" s="696">
        <f t="shared" si="96"/>
        <v>147.34693993365363</v>
      </c>
      <c r="AZ80" s="696">
        <f t="shared" si="96"/>
        <v>30.018265903670713</v>
      </c>
      <c r="BA80" s="696">
        <f t="shared" si="96"/>
        <v>6.115213780186699</v>
      </c>
    </row>
    <row r="81" spans="1:54" s="116" customFormat="1" ht="12.75" customHeight="1">
      <c r="A81" s="372"/>
      <c r="B81" s="247" t="s">
        <v>865</v>
      </c>
      <c r="Q81" s="385"/>
      <c r="AI81" s="696"/>
      <c r="AJ81" s="696"/>
      <c r="AK81" s="696"/>
      <c r="AL81" s="696"/>
      <c r="AM81" s="696"/>
      <c r="AN81" s="696">
        <f t="shared" ref="AN81:BA81" si="97">AN27*AN63</f>
        <v>0</v>
      </c>
      <c r="AO81" s="696">
        <f t="shared" si="97"/>
        <v>76386.642030356292</v>
      </c>
      <c r="AP81" s="696">
        <f t="shared" si="97"/>
        <v>98329.827881037316</v>
      </c>
      <c r="AQ81" s="696">
        <f t="shared" si="97"/>
        <v>125252.08143247048</v>
      </c>
      <c r="AR81" s="696">
        <f t="shared" si="97"/>
        <v>153156.53318400666</v>
      </c>
      <c r="AS81" s="696">
        <f t="shared" si="97"/>
        <v>163860.41518150753</v>
      </c>
      <c r="AT81" s="696">
        <f t="shared" si="97"/>
        <v>166956.52323701538</v>
      </c>
      <c r="AU81" s="696">
        <f t="shared" si="97"/>
        <v>170103.42882278468</v>
      </c>
      <c r="AV81" s="696">
        <f t="shared" si="97"/>
        <v>173301.887082047</v>
      </c>
      <c r="AW81" s="696">
        <f t="shared" si="97"/>
        <v>176552.66362423546</v>
      </c>
      <c r="AX81" s="696">
        <f t="shared" si="97"/>
        <v>179856.53466272989</v>
      </c>
      <c r="AY81" s="696">
        <f t="shared" si="97"/>
        <v>183214.28715434557</v>
      </c>
      <c r="AZ81" s="696">
        <f t="shared" si="97"/>
        <v>186626.71894058428</v>
      </c>
      <c r="BA81" s="696">
        <f t="shared" si="97"/>
        <v>190094.63889067198</v>
      </c>
    </row>
    <row r="82" spans="1:54" s="116" customFormat="1" ht="12.75" customHeight="1">
      <c r="A82" s="372"/>
      <c r="B82" s="247" t="s">
        <v>68</v>
      </c>
      <c r="F82" s="116">
        <f t="shared" ref="F82:AB82" si="98">+F27*F64</f>
        <v>6087.2751760629808</v>
      </c>
      <c r="G82" s="116">
        <f t="shared" si="98"/>
        <v>21140.661497861151</v>
      </c>
      <c r="H82" s="116">
        <f t="shared" si="98"/>
        <v>6977.8144966082309</v>
      </c>
      <c r="I82" s="116">
        <f t="shared" si="98"/>
        <v>5897.0447412770645</v>
      </c>
      <c r="J82" s="116">
        <f t="shared" si="98"/>
        <v>4380.2</v>
      </c>
      <c r="K82" s="116">
        <f t="shared" si="98"/>
        <v>4622.8</v>
      </c>
      <c r="L82" s="116">
        <f t="shared" si="98"/>
        <v>4768.7950000000001</v>
      </c>
      <c r="M82" s="116">
        <f t="shared" si="98"/>
        <v>5063.5600000000004</v>
      </c>
      <c r="N82" s="116">
        <f t="shared" si="98"/>
        <v>5514.77</v>
      </c>
      <c r="O82" s="116">
        <f t="shared" si="98"/>
        <v>5712.9509321681226</v>
      </c>
      <c r="P82" s="116">
        <f t="shared" si="98"/>
        <v>5823.168635039533</v>
      </c>
      <c r="Q82" s="116">
        <f t="shared" si="98"/>
        <v>5915.0167207657096</v>
      </c>
      <c r="R82" s="116">
        <f t="shared" si="98"/>
        <v>6236.485020807324</v>
      </c>
      <c r="S82" s="116">
        <f t="shared" si="98"/>
        <v>5921.9053271951725</v>
      </c>
      <c r="T82" s="116">
        <f t="shared" si="98"/>
        <v>6157.1717436537656</v>
      </c>
      <c r="U82" s="116">
        <f t="shared" si="98"/>
        <v>6285.8290636704114</v>
      </c>
      <c r="V82" s="116">
        <f t="shared" si="98"/>
        <v>6276.6392550977953</v>
      </c>
      <c r="W82" s="116">
        <f t="shared" si="98"/>
        <v>6368.5373408239711</v>
      </c>
      <c r="X82" s="116">
        <f t="shared" si="98"/>
        <v>6272.0443508114849</v>
      </c>
      <c r="Y82" s="116">
        <f t="shared" si="98"/>
        <v>6408.7815751144399</v>
      </c>
      <c r="Z82" s="116">
        <f t="shared" si="98"/>
        <v>6436.3660008322922</v>
      </c>
      <c r="AA82" s="116">
        <f t="shared" si="98"/>
        <v>6381.1971493965875</v>
      </c>
      <c r="AB82" s="116">
        <f t="shared" si="98"/>
        <v>6215.6905950894707</v>
      </c>
      <c r="AC82" s="116">
        <f t="shared" ref="AC82:AH82" si="99">+AC27*AC64</f>
        <v>6360.5088301081978</v>
      </c>
      <c r="AD82" s="116">
        <f t="shared" si="99"/>
        <v>6412.2665751144405</v>
      </c>
      <c r="AE82" s="116">
        <f t="shared" si="99"/>
        <v>6743.4596837286726</v>
      </c>
      <c r="AF82" s="116">
        <f t="shared" si="99"/>
        <v>6964.2550894714941</v>
      </c>
      <c r="AG82" s="116">
        <f t="shared" si="99"/>
        <v>7203.450112359551</v>
      </c>
      <c r="AH82" s="116">
        <f t="shared" si="99"/>
        <v>6830.8578651685393</v>
      </c>
      <c r="AI82" s="696">
        <f t="shared" ref="AI82:AL82" si="100">+AI27*AI64</f>
        <v>7382.2564752392846</v>
      </c>
      <c r="AJ82" s="696">
        <f t="shared" si="100"/>
        <v>7713.6295838535161</v>
      </c>
      <c r="AK82" s="696">
        <f t="shared" si="100"/>
        <v>7916.1353724511027</v>
      </c>
      <c r="AL82" s="696">
        <f t="shared" si="100"/>
        <v>7952.9546067415731</v>
      </c>
      <c r="AM82" s="696">
        <f t="shared" si="93"/>
        <v>7741.2440095713691</v>
      </c>
      <c r="AN82" s="116">
        <f t="shared" ref="AN82:BA82" si="101">+AN27*AN64</f>
        <v>11361.228455766548</v>
      </c>
      <c r="AO82" s="116">
        <f t="shared" si="101"/>
        <v>12061.048741635204</v>
      </c>
      <c r="AP82" s="116">
        <f t="shared" si="101"/>
        <v>12291.228485129664</v>
      </c>
      <c r="AQ82" s="116">
        <f t="shared" si="101"/>
        <v>12525.208143247048</v>
      </c>
      <c r="AR82" s="116">
        <f t="shared" si="101"/>
        <v>12763.044432000555</v>
      </c>
      <c r="AS82" s="116">
        <f t="shared" si="101"/>
        <v>13004.7948556752</v>
      </c>
      <c r="AT82" s="116">
        <f t="shared" si="101"/>
        <v>13250.517717223442</v>
      </c>
      <c r="AU82" s="116">
        <f t="shared" si="101"/>
        <v>13500.272128792434</v>
      </c>
      <c r="AV82" s="116">
        <f t="shared" si="101"/>
        <v>13754.118022384684</v>
      </c>
      <c r="AW82" s="116">
        <f t="shared" si="101"/>
        <v>14012.116160653606</v>
      </c>
      <c r="AX82" s="116">
        <f t="shared" si="101"/>
        <v>14274.328147835706</v>
      </c>
      <c r="AY82" s="116">
        <f t="shared" si="101"/>
        <v>14540.816440821076</v>
      </c>
      <c r="AZ82" s="116">
        <f t="shared" si="101"/>
        <v>14811.644360363831</v>
      </c>
      <c r="BA82" s="116">
        <f t="shared" si="101"/>
        <v>15086.876102434284</v>
      </c>
    </row>
    <row r="83" spans="1:54" s="116" customFormat="1" ht="12.75" customHeight="1">
      <c r="A83" s="372"/>
      <c r="B83" s="266" t="s">
        <v>651</v>
      </c>
      <c r="C83" s="267"/>
      <c r="D83" s="267">
        <f t="shared" ref="D83:K83" si="102">SUM(D73:D82)</f>
        <v>53276.986836632947</v>
      </c>
      <c r="E83" s="267">
        <f t="shared" si="102"/>
        <v>53393.607328439983</v>
      </c>
      <c r="F83" s="267">
        <f t="shared" si="102"/>
        <v>105365.83010270873</v>
      </c>
      <c r="G83" s="267">
        <f t="shared" si="102"/>
        <v>154047.43215565803</v>
      </c>
      <c r="H83" s="267">
        <f t="shared" si="102"/>
        <v>153837.58811565477</v>
      </c>
      <c r="I83" s="267">
        <f t="shared" si="102"/>
        <v>218639.69256021592</v>
      </c>
      <c r="J83" s="267">
        <f t="shared" si="102"/>
        <v>267941.97865643847</v>
      </c>
      <c r="K83" s="267">
        <f t="shared" si="102"/>
        <v>320266.50799416128</v>
      </c>
      <c r="L83" s="267">
        <f t="shared" ref="L83:AC83" si="103">SUM(L73:L82)</f>
        <v>374126.27413499996</v>
      </c>
      <c r="M83" s="267">
        <f t="shared" si="103"/>
        <v>411161.07199999999</v>
      </c>
      <c r="N83" s="267">
        <f t="shared" si="103"/>
        <v>460818.44269798114</v>
      </c>
      <c r="O83" s="267">
        <f t="shared" si="103"/>
        <v>452810.91215771949</v>
      </c>
      <c r="P83" s="267">
        <f t="shared" si="103"/>
        <v>470016.2673761964</v>
      </c>
      <c r="Q83" s="267">
        <f t="shared" si="103"/>
        <v>492629.08011235954</v>
      </c>
      <c r="R83" s="267">
        <f t="shared" si="103"/>
        <v>511929.31948709948</v>
      </c>
      <c r="S83" s="267">
        <f t="shared" si="103"/>
        <v>487167.19863217854</v>
      </c>
      <c r="T83" s="267">
        <f t="shared" si="103"/>
        <v>511131.31564710778</v>
      </c>
      <c r="U83" s="267">
        <f t="shared" si="103"/>
        <v>515302.10292134836</v>
      </c>
      <c r="V83" s="267">
        <f t="shared" si="103"/>
        <v>528154.00774448609</v>
      </c>
      <c r="W83" s="267">
        <f t="shared" si="103"/>
        <v>538713.97269662924</v>
      </c>
      <c r="X83" s="267">
        <f t="shared" si="103"/>
        <v>523325.34975239285</v>
      </c>
      <c r="Y83" s="267">
        <f t="shared" si="103"/>
        <v>542394.0267530171</v>
      </c>
      <c r="Z83" s="267">
        <f t="shared" si="103"/>
        <v>538385.66687473981</v>
      </c>
      <c r="AA83" s="267">
        <f t="shared" si="103"/>
        <v>527491.79285268427</v>
      </c>
      <c r="AB83" s="267">
        <f t="shared" si="103"/>
        <v>507432.97136912192</v>
      </c>
      <c r="AC83" s="267">
        <f t="shared" si="103"/>
        <v>528926.11446239077</v>
      </c>
      <c r="AD83" s="267">
        <f t="shared" ref="AD83:AL83" si="104">SUM(AD73:AD82)</f>
        <v>570187.92614648351</v>
      </c>
      <c r="AE83" s="267">
        <f t="shared" si="104"/>
        <v>536277.94078568451</v>
      </c>
      <c r="AF83" s="267">
        <f t="shared" si="104"/>
        <v>543168.89805826044</v>
      </c>
      <c r="AG83" s="267">
        <f t="shared" si="104"/>
        <v>564846.19788764045</v>
      </c>
      <c r="AH83" s="267">
        <f t="shared" si="104"/>
        <v>553620.24071951734</v>
      </c>
      <c r="AI83" s="709">
        <f t="shared" si="104"/>
        <v>576957.13330628385</v>
      </c>
      <c r="AJ83" s="709">
        <f t="shared" si="104"/>
        <v>603469.3002064086</v>
      </c>
      <c r="AK83" s="709">
        <f t="shared" si="104"/>
        <v>629788.85817311693</v>
      </c>
      <c r="AL83" s="709">
        <f t="shared" si="104"/>
        <v>636600.09564044955</v>
      </c>
      <c r="AM83" s="267">
        <f t="shared" ref="AM83:BA83" si="105">SUM(AM73:AM82)</f>
        <v>611703.84683156468</v>
      </c>
      <c r="AN83" s="267">
        <f t="shared" si="105"/>
        <v>621348.01007290953</v>
      </c>
      <c r="AO83" s="267">
        <f t="shared" si="105"/>
        <v>672041.94818629161</v>
      </c>
      <c r="AP83" s="267">
        <f t="shared" si="105"/>
        <v>615089.58491764183</v>
      </c>
      <c r="AQ83" s="267">
        <f t="shared" si="105"/>
        <v>578966.66307832149</v>
      </c>
      <c r="AR83" s="267">
        <f t="shared" si="105"/>
        <v>561158.70737963228</v>
      </c>
      <c r="AS83" s="267">
        <f t="shared" si="105"/>
        <v>556662.16111564822</v>
      </c>
      <c r="AT83" s="267">
        <f t="shared" si="105"/>
        <v>559097.91748690244</v>
      </c>
      <c r="AU83" s="267">
        <f t="shared" si="105"/>
        <v>568441.60492314142</v>
      </c>
      <c r="AV83" s="267">
        <f t="shared" si="105"/>
        <v>318444.1634342043</v>
      </c>
      <c r="AW83" s="267">
        <f t="shared" si="105"/>
        <v>296614.36971006362</v>
      </c>
      <c r="AX83" s="267">
        <f t="shared" si="105"/>
        <v>292964.67305251793</v>
      </c>
      <c r="AY83" s="267">
        <f t="shared" si="105"/>
        <v>293137.39247433638</v>
      </c>
      <c r="AZ83" s="267">
        <f t="shared" si="105"/>
        <v>211178.73370699509</v>
      </c>
      <c r="BA83" s="267">
        <f t="shared" si="105"/>
        <v>206178.64043320288</v>
      </c>
    </row>
    <row r="84" spans="1:54" ht="12.75" customHeight="1">
      <c r="M84" s="2"/>
      <c r="N84" s="12"/>
      <c r="O84" s="12"/>
      <c r="P84" s="12"/>
      <c r="Q84" s="12"/>
      <c r="R84" s="12"/>
      <c r="S84" s="12"/>
      <c r="T84" s="12"/>
      <c r="U84" s="12"/>
      <c r="V84" s="12"/>
      <c r="W84" s="12"/>
      <c r="X84" s="12"/>
      <c r="Y84" s="12"/>
      <c r="Z84" s="12"/>
      <c r="AA84" s="12"/>
      <c r="AB84" s="12"/>
      <c r="AC84" s="12"/>
      <c r="AD84" s="12"/>
      <c r="AE84" s="12"/>
      <c r="AF84" s="12"/>
      <c r="AG84" s="12"/>
      <c r="AH84" s="12"/>
      <c r="AI84" s="692"/>
      <c r="AJ84" s="692"/>
      <c r="AK84" s="692"/>
      <c r="AL84" s="692"/>
      <c r="AM84" s="12"/>
      <c r="AN84" s="12"/>
      <c r="AO84" s="12"/>
      <c r="AP84" s="12"/>
      <c r="AQ84" s="12"/>
      <c r="AR84" s="12"/>
      <c r="AS84" s="12"/>
      <c r="AT84" s="12"/>
      <c r="AU84" s="12"/>
      <c r="AV84" s="12"/>
      <c r="AW84" s="12"/>
      <c r="AX84" s="12"/>
      <c r="AY84" s="12"/>
      <c r="AZ84" s="12"/>
      <c r="BA84" s="12"/>
      <c r="BB84" s="12"/>
    </row>
    <row r="85" spans="1:54" ht="12.75" customHeight="1">
      <c r="B85" s="370" t="s">
        <v>632</v>
      </c>
      <c r="C85" s="387"/>
      <c r="D85" s="387"/>
      <c r="E85" s="387"/>
      <c r="F85" s="387"/>
      <c r="G85" s="387"/>
      <c r="H85" s="387"/>
      <c r="I85" s="387"/>
      <c r="J85" s="387"/>
      <c r="K85" s="387"/>
      <c r="L85" s="387"/>
      <c r="M85" s="387"/>
      <c r="N85" s="387"/>
      <c r="O85" s="387"/>
      <c r="P85" s="387"/>
      <c r="Q85" s="387"/>
      <c r="R85" s="387"/>
      <c r="S85" s="387"/>
      <c r="T85" s="387"/>
      <c r="U85" s="387"/>
      <c r="V85" s="387"/>
      <c r="W85" s="387"/>
      <c r="X85" s="387"/>
      <c r="Y85" s="387"/>
      <c r="Z85" s="387"/>
      <c r="AA85" s="387"/>
      <c r="AB85" s="387"/>
      <c r="AC85" s="387"/>
      <c r="AD85" s="387"/>
      <c r="AE85" s="387"/>
      <c r="AF85" s="387"/>
      <c r="AG85" s="387"/>
      <c r="AH85" s="387"/>
      <c r="AI85" s="387"/>
      <c r="AJ85" s="387"/>
      <c r="AK85" s="387"/>
      <c r="AL85" s="387"/>
      <c r="AM85" s="387"/>
      <c r="AN85" s="387"/>
      <c r="AO85" s="387"/>
      <c r="AP85" s="387"/>
      <c r="AQ85" s="387"/>
      <c r="AR85" s="387"/>
      <c r="AS85" s="387"/>
      <c r="AT85" s="387"/>
      <c r="AU85" s="387"/>
      <c r="AV85" s="387"/>
      <c r="AW85" s="387"/>
      <c r="AX85" s="387"/>
      <c r="AY85" s="387"/>
      <c r="AZ85" s="387"/>
      <c r="BA85" s="387"/>
      <c r="BB85" s="187"/>
    </row>
    <row r="86" spans="1:54" s="116" customFormat="1" ht="12.75" customHeight="1">
      <c r="A86" s="372"/>
      <c r="B86" s="231" t="s">
        <v>442</v>
      </c>
      <c r="C86" s="116">
        <f t="shared" ref="C86:AC86" si="106">C87*C22</f>
        <v>42885.685543685395</v>
      </c>
      <c r="D86" s="116">
        <f t="shared" si="106"/>
        <v>43656.859123540598</v>
      </c>
      <c r="E86" s="116">
        <f t="shared" si="106"/>
        <v>44064.485714670867</v>
      </c>
      <c r="F86" s="116">
        <f t="shared" si="106"/>
        <v>43944.547724246258</v>
      </c>
      <c r="G86" s="116">
        <f t="shared" si="106"/>
        <v>39589.253741313012</v>
      </c>
      <c r="H86" s="116">
        <f t="shared" si="106"/>
        <v>47521.162839364384</v>
      </c>
      <c r="I86" s="116">
        <f t="shared" si="106"/>
        <v>40951.699592201825</v>
      </c>
      <c r="J86" s="116">
        <f t="shared" si="106"/>
        <v>45979.999999999985</v>
      </c>
      <c r="K86" s="116">
        <f t="shared" si="106"/>
        <v>45719.999999999985</v>
      </c>
      <c r="L86" s="116">
        <f t="shared" si="106"/>
        <v>44870.5</v>
      </c>
      <c r="M86" s="116">
        <f t="shared" si="106"/>
        <v>47643.999999999993</v>
      </c>
      <c r="N86" s="116">
        <f t="shared" si="106"/>
        <v>49273</v>
      </c>
      <c r="O86" s="116">
        <f t="shared" si="106"/>
        <v>50704.906783187682</v>
      </c>
      <c r="P86" s="116">
        <f t="shared" si="106"/>
        <v>51683.136496046609</v>
      </c>
      <c r="Q86" s="116">
        <f t="shared" si="106"/>
        <v>52498.327923429046</v>
      </c>
      <c r="R86" s="116">
        <f t="shared" si="106"/>
        <v>55351.497919267582</v>
      </c>
      <c r="S86" s="116">
        <f t="shared" si="106"/>
        <v>52559.467280482728</v>
      </c>
      <c r="T86" s="116">
        <f t="shared" si="106"/>
        <v>54282.825634623383</v>
      </c>
      <c r="U86" s="116">
        <f t="shared" si="106"/>
        <v>55417.0936329588</v>
      </c>
      <c r="V86" s="116">
        <f t="shared" si="106"/>
        <v>55336.074490220555</v>
      </c>
      <c r="W86" s="116">
        <f t="shared" si="106"/>
        <v>56146.265917602992</v>
      </c>
      <c r="X86" s="116">
        <f t="shared" si="106"/>
        <v>55295.564918851429</v>
      </c>
      <c r="Y86" s="116">
        <f t="shared" si="106"/>
        <v>56121.842488555965</v>
      </c>
      <c r="Z86" s="116">
        <f t="shared" si="106"/>
        <v>56363.399916770701</v>
      </c>
      <c r="AA86" s="116">
        <f t="shared" si="106"/>
        <v>55880.285060341237</v>
      </c>
      <c r="AB86" s="116">
        <f t="shared" si="106"/>
        <v>54430.940491052846</v>
      </c>
      <c r="AC86" s="116">
        <f t="shared" si="106"/>
        <v>55699.116989180191</v>
      </c>
      <c r="AD86" s="116">
        <f t="shared" ref="AD86:AL86" si="107">AD87*AD22</f>
        <v>55773.342488555965</v>
      </c>
      <c r="AE86" s="116">
        <f t="shared" si="107"/>
        <v>58654.031627132747</v>
      </c>
      <c r="AF86" s="116">
        <f t="shared" si="107"/>
        <v>60574.491052850601</v>
      </c>
      <c r="AG86" s="116">
        <f t="shared" si="107"/>
        <v>62654.988764044938</v>
      </c>
      <c r="AH86" s="116">
        <f t="shared" si="107"/>
        <v>59414.213483146064</v>
      </c>
      <c r="AI86" s="696">
        <f t="shared" si="107"/>
        <v>63774.352476071574</v>
      </c>
      <c r="AJ86" s="696">
        <f t="shared" si="107"/>
        <v>66637.041614648348</v>
      </c>
      <c r="AK86" s="696">
        <f t="shared" si="107"/>
        <v>68386.462754889712</v>
      </c>
      <c r="AL86" s="696">
        <f t="shared" si="107"/>
        <v>68704.539325842692</v>
      </c>
      <c r="AM86" s="116">
        <f t="shared" ref="AM86:BA86" si="108">AM87*AM22</f>
        <v>66875.599042863076</v>
      </c>
      <c r="AN86" s="116">
        <f t="shared" si="108"/>
        <v>67693.116856926208</v>
      </c>
      <c r="AO86" s="116">
        <f t="shared" si="108"/>
        <v>68514.587163645541</v>
      </c>
      <c r="AP86" s="116">
        <f t="shared" si="108"/>
        <v>69339.914674421336</v>
      </c>
      <c r="AQ86" s="116">
        <f t="shared" si="108"/>
        <v>70169.000634851822</v>
      </c>
      <c r="AR86" s="116">
        <f t="shared" si="108"/>
        <v>71001.742751855883</v>
      </c>
      <c r="AS86" s="116">
        <f t="shared" si="108"/>
        <v>71838.035119546927</v>
      </c>
      <c r="AT86" s="116">
        <f t="shared" si="108"/>
        <v>72677.768143839377</v>
      </c>
      <c r="AU86" s="116">
        <f t="shared" si="108"/>
        <v>73520.828465767656</v>
      </c>
      <c r="AV86" s="116">
        <f t="shared" si="108"/>
        <v>74367.098883498897</v>
      </c>
      <c r="AW86" s="116">
        <f t="shared" si="108"/>
        <v>75216.458273018899</v>
      </c>
      <c r="AX86" s="116">
        <f t="shared" si="108"/>
        <v>76068.781507471344</v>
      </c>
      <c r="AY86" s="116">
        <f t="shared" si="108"/>
        <v>76923.939375130052</v>
      </c>
      <c r="AZ86" s="116">
        <f t="shared" si="108"/>
        <v>77781.798495982905</v>
      </c>
      <c r="BA86" s="116">
        <f t="shared" si="108"/>
        <v>78642.221236907295</v>
      </c>
    </row>
    <row r="87" spans="1:54" s="222" customFormat="1" ht="12.75" customHeight="1">
      <c r="A87" s="388"/>
      <c r="B87" s="216" t="s">
        <v>443</v>
      </c>
      <c r="C87" s="31">
        <v>1</v>
      </c>
      <c r="D87" s="31">
        <v>1</v>
      </c>
      <c r="E87" s="31">
        <v>1</v>
      </c>
      <c r="F87" s="31">
        <v>1</v>
      </c>
      <c r="G87" s="31">
        <v>1</v>
      </c>
      <c r="H87" s="31">
        <v>1</v>
      </c>
      <c r="I87" s="31">
        <v>1</v>
      </c>
      <c r="J87" s="31">
        <v>1</v>
      </c>
      <c r="K87" s="31">
        <v>1</v>
      </c>
      <c r="L87" s="31">
        <v>1</v>
      </c>
      <c r="M87" s="31">
        <v>1</v>
      </c>
      <c r="N87" s="31">
        <v>1</v>
      </c>
      <c r="O87" s="31">
        <v>1</v>
      </c>
      <c r="P87" s="31">
        <v>1</v>
      </c>
      <c r="Q87" s="31">
        <v>1</v>
      </c>
      <c r="R87" s="31">
        <v>1</v>
      </c>
      <c r="S87" s="31">
        <v>1</v>
      </c>
      <c r="T87" s="31">
        <v>1</v>
      </c>
      <c r="U87" s="31">
        <v>1</v>
      </c>
      <c r="V87" s="31">
        <v>1</v>
      </c>
      <c r="W87" s="31">
        <v>1</v>
      </c>
      <c r="X87" s="31">
        <v>1</v>
      </c>
      <c r="Y87" s="31">
        <v>1</v>
      </c>
      <c r="Z87" s="31">
        <v>1</v>
      </c>
      <c r="AA87" s="31">
        <v>1</v>
      </c>
      <c r="AB87" s="31">
        <v>1</v>
      </c>
      <c r="AC87" s="31">
        <v>1</v>
      </c>
      <c r="AD87" s="31">
        <v>1</v>
      </c>
      <c r="AE87" s="31">
        <v>1</v>
      </c>
      <c r="AF87" s="31">
        <v>1</v>
      </c>
      <c r="AG87" s="31">
        <v>1</v>
      </c>
      <c r="AH87" s="31">
        <v>1</v>
      </c>
      <c r="AI87" s="31">
        <v>1</v>
      </c>
      <c r="AJ87" s="31">
        <v>1</v>
      </c>
      <c r="AK87" s="31">
        <v>1</v>
      </c>
      <c r="AL87" s="31">
        <v>1</v>
      </c>
      <c r="AM87" s="31">
        <v>1</v>
      </c>
      <c r="AN87" s="31">
        <v>1</v>
      </c>
      <c r="AO87" s="31">
        <v>1</v>
      </c>
      <c r="AP87" s="31">
        <v>1</v>
      </c>
      <c r="AQ87" s="31">
        <v>1</v>
      </c>
      <c r="AR87" s="31">
        <v>1</v>
      </c>
      <c r="AS87" s="31">
        <v>1</v>
      </c>
      <c r="AT87" s="31">
        <v>1</v>
      </c>
      <c r="AU87" s="31">
        <v>1</v>
      </c>
      <c r="AV87" s="31">
        <v>1</v>
      </c>
      <c r="AW87" s="31">
        <v>1</v>
      </c>
      <c r="AX87" s="31">
        <v>1</v>
      </c>
      <c r="AY87" s="31">
        <v>1</v>
      </c>
      <c r="AZ87" s="31">
        <v>1</v>
      </c>
      <c r="BA87" s="31">
        <v>1</v>
      </c>
      <c r="BB87" s="31"/>
    </row>
    <row r="88" spans="1:54" s="2" customFormat="1" ht="12.75" customHeight="1">
      <c r="A88" s="386"/>
      <c r="B88" s="200"/>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row>
    <row r="89" spans="1:54" s="2" customFormat="1" ht="12.75" customHeight="1">
      <c r="A89" s="386"/>
      <c r="B89" s="389" t="s">
        <v>628</v>
      </c>
      <c r="C89" s="390"/>
      <c r="D89" s="390"/>
      <c r="E89" s="390"/>
      <c r="F89" s="390"/>
      <c r="G89" s="390"/>
      <c r="H89" s="390"/>
      <c r="I89" s="390"/>
      <c r="J89" s="390"/>
      <c r="K89" s="390"/>
      <c r="L89" s="390"/>
      <c r="M89" s="390"/>
      <c r="N89" s="390"/>
      <c r="O89" s="390"/>
      <c r="P89" s="390"/>
      <c r="Q89" s="390"/>
      <c r="R89" s="390"/>
      <c r="S89" s="390"/>
      <c r="T89" s="390"/>
      <c r="U89" s="390"/>
      <c r="V89" s="390"/>
      <c r="W89" s="390"/>
      <c r="X89" s="390"/>
      <c r="Y89" s="390"/>
      <c r="Z89" s="390"/>
      <c r="AA89" s="390"/>
      <c r="AB89" s="390"/>
      <c r="AC89" s="390"/>
      <c r="AD89" s="390"/>
      <c r="AE89" s="390"/>
      <c r="AF89" s="390"/>
      <c r="AG89" s="390"/>
      <c r="AH89" s="390"/>
      <c r="AI89" s="390"/>
      <c r="AJ89" s="390"/>
      <c r="AK89" s="390"/>
      <c r="AL89" s="390"/>
      <c r="AM89" s="390"/>
      <c r="AN89" s="390"/>
      <c r="AO89" s="390"/>
      <c r="AP89" s="390"/>
      <c r="AQ89" s="390"/>
      <c r="AR89" s="390"/>
      <c r="AS89" s="390"/>
      <c r="AT89" s="390"/>
      <c r="AU89" s="390"/>
      <c r="AV89" s="390"/>
      <c r="AW89" s="390"/>
      <c r="AX89" s="390"/>
      <c r="AY89" s="390"/>
      <c r="AZ89" s="390"/>
      <c r="BA89" s="390"/>
      <c r="BB89" s="17"/>
    </row>
    <row r="90" spans="1:54" s="77" customFormat="1" ht="12.75" customHeight="1">
      <c r="A90" s="384"/>
      <c r="B90" s="218" t="s">
        <v>63</v>
      </c>
      <c r="D90" s="77">
        <v>0.03</v>
      </c>
      <c r="E90" s="77">
        <v>0.06</v>
      </c>
      <c r="F90" s="77">
        <v>0.15</v>
      </c>
      <c r="G90" s="77">
        <v>8.3000000000000004E-2</v>
      </c>
      <c r="H90" s="77">
        <v>0.06</v>
      </c>
      <c r="I90" s="77">
        <v>0.06</v>
      </c>
      <c r="J90" s="77">
        <v>0.03</v>
      </c>
      <c r="K90" s="77">
        <v>2.5000000000000001E-2</v>
      </c>
      <c r="L90" s="77">
        <v>2.5000000000000001E-2</v>
      </c>
      <c r="M90" s="77">
        <v>2.5000000000000001E-2</v>
      </c>
      <c r="N90" s="77">
        <v>2.5000000000000001E-2</v>
      </c>
      <c r="O90" s="77">
        <v>2.5000000000000001E-2</v>
      </c>
      <c r="P90" s="77">
        <v>2.5000000000000001E-2</v>
      </c>
      <c r="Q90" s="77">
        <v>2.5000000000000001E-2</v>
      </c>
      <c r="R90" s="77">
        <v>2.5000000000000001E-2</v>
      </c>
      <c r="S90" s="77">
        <f>AVERAGE(O90:R90)</f>
        <v>2.5000000000000001E-2</v>
      </c>
      <c r="T90" s="403">
        <v>0.02</v>
      </c>
      <c r="U90" s="403">
        <v>0.02</v>
      </c>
      <c r="V90" s="403">
        <v>0.02</v>
      </c>
      <c r="W90" s="403">
        <v>0.02</v>
      </c>
      <c r="X90" s="77">
        <f>AVERAGE(T90:W90)</f>
        <v>0.02</v>
      </c>
      <c r="Y90" s="403">
        <v>1.9E-2</v>
      </c>
      <c r="Z90" s="403">
        <v>1.7999999999999999E-2</v>
      </c>
      <c r="AA90" s="403">
        <v>1.7000000000000001E-2</v>
      </c>
      <c r="AB90" s="403">
        <v>1.6E-2</v>
      </c>
      <c r="AC90" s="77">
        <f>X90-0.3%</f>
        <v>1.7000000000000001E-2</v>
      </c>
      <c r="AD90" s="403">
        <v>1.4999999999999999E-2</v>
      </c>
      <c r="AE90" s="403">
        <v>1.4E-2</v>
      </c>
      <c r="AF90" s="403">
        <v>1.2999999999999999E-2</v>
      </c>
      <c r="AG90" s="403">
        <v>1.2E-2</v>
      </c>
      <c r="AH90" s="77">
        <f>AC90-0.5%</f>
        <v>1.2E-2</v>
      </c>
      <c r="AI90" s="719">
        <v>1.4999999999999999E-2</v>
      </c>
      <c r="AJ90" s="719">
        <v>1.4E-2</v>
      </c>
      <c r="AK90" s="719">
        <v>1.2999999999999999E-2</v>
      </c>
      <c r="AL90" s="719">
        <v>1.2E-2</v>
      </c>
      <c r="AM90" s="77">
        <f>AH90-0.5%</f>
        <v>7.0000000000000001E-3</v>
      </c>
      <c r="AN90" s="77">
        <f>AM90-0.5%</f>
        <v>2E-3</v>
      </c>
      <c r="AO90" s="391">
        <f>AN90*0.75</f>
        <v>1.5E-3</v>
      </c>
      <c r="AP90" s="77">
        <f>AO90*0.1</f>
        <v>1.5000000000000001E-4</v>
      </c>
      <c r="AQ90" s="77">
        <f>AP90*0.1</f>
        <v>1.5000000000000002E-5</v>
      </c>
      <c r="AR90" s="77">
        <f t="shared" ref="AR90:BA90" si="109">AQ90*0.1</f>
        <v>1.5000000000000002E-6</v>
      </c>
      <c r="AS90" s="77">
        <f t="shared" si="109"/>
        <v>1.5000000000000005E-7</v>
      </c>
      <c r="AT90" s="77">
        <f t="shared" si="109"/>
        <v>1.5000000000000005E-8</v>
      </c>
      <c r="AU90" s="77">
        <f t="shared" si="109"/>
        <v>1.5000000000000006E-9</v>
      </c>
      <c r="AV90" s="77">
        <f t="shared" si="109"/>
        <v>1.5000000000000008E-10</v>
      </c>
      <c r="AW90" s="77">
        <f t="shared" si="109"/>
        <v>1.500000000000001E-11</v>
      </c>
      <c r="AX90" s="77">
        <f t="shared" si="109"/>
        <v>1.5000000000000011E-12</v>
      </c>
      <c r="AY90" s="77">
        <f t="shared" si="109"/>
        <v>1.5000000000000012E-13</v>
      </c>
      <c r="AZ90" s="77">
        <f t="shared" si="109"/>
        <v>1.5000000000000012E-14</v>
      </c>
      <c r="BA90" s="77">
        <f t="shared" si="109"/>
        <v>1.5000000000000013E-15</v>
      </c>
    </row>
    <row r="91" spans="1:54" s="77" customFormat="1" ht="12.75" hidden="1" customHeight="1" outlineLevel="1">
      <c r="A91" s="392"/>
      <c r="B91" s="393" t="s">
        <v>423</v>
      </c>
      <c r="C91" s="394"/>
      <c r="D91" s="394"/>
      <c r="E91" s="394"/>
      <c r="F91" s="394"/>
      <c r="G91" s="394"/>
      <c r="H91" s="394"/>
      <c r="I91" s="394"/>
      <c r="J91" s="394"/>
      <c r="K91" s="394"/>
      <c r="L91" s="394"/>
      <c r="M91" s="394"/>
      <c r="N91" s="394"/>
      <c r="O91" s="394"/>
      <c r="P91" s="394"/>
      <c r="Q91" s="394"/>
      <c r="R91" s="394"/>
      <c r="S91" s="394"/>
      <c r="T91" s="397"/>
      <c r="U91" s="397"/>
      <c r="V91" s="397"/>
      <c r="W91" s="397"/>
      <c r="X91" s="394"/>
      <c r="Y91" s="397"/>
      <c r="Z91" s="397"/>
      <c r="AA91" s="397"/>
      <c r="AB91" s="397"/>
      <c r="AC91" s="394"/>
      <c r="AD91" s="394"/>
      <c r="AE91" s="394"/>
      <c r="AF91" s="394"/>
      <c r="AG91" s="394"/>
      <c r="AH91" s="394"/>
      <c r="AI91" s="716"/>
      <c r="AJ91" s="716"/>
      <c r="AK91" s="716"/>
      <c r="AL91" s="716"/>
      <c r="AM91" s="394"/>
      <c r="AN91" s="394">
        <f>AN92</f>
        <v>6.5000000000000002E-2</v>
      </c>
      <c r="AO91" s="394">
        <f>AN92</f>
        <v>6.5000000000000002E-2</v>
      </c>
      <c r="AP91" s="394">
        <f>AO91</f>
        <v>6.5000000000000002E-2</v>
      </c>
      <c r="AQ91" s="394">
        <f>AP91</f>
        <v>6.5000000000000002E-2</v>
      </c>
      <c r="AR91" s="642">
        <f t="shared" ref="AR91:AS93" si="110">AQ91*0.1</f>
        <v>6.5000000000000006E-3</v>
      </c>
      <c r="AS91" s="642">
        <f t="shared" si="110"/>
        <v>6.5000000000000008E-4</v>
      </c>
      <c r="AT91" s="642">
        <f t="shared" ref="AT91:BA91" si="111">AS91*0.1</f>
        <v>6.5000000000000008E-5</v>
      </c>
      <c r="AU91" s="642">
        <f t="shared" si="111"/>
        <v>6.5000000000000013E-6</v>
      </c>
      <c r="AV91" s="642">
        <f t="shared" si="111"/>
        <v>6.5000000000000013E-7</v>
      </c>
      <c r="AW91" s="642">
        <f t="shared" si="111"/>
        <v>6.5000000000000013E-8</v>
      </c>
      <c r="AX91" s="642">
        <f t="shared" si="111"/>
        <v>6.500000000000002E-9</v>
      </c>
      <c r="AY91" s="642">
        <f t="shared" si="111"/>
        <v>6.5000000000000024E-10</v>
      </c>
      <c r="AZ91" s="642">
        <f t="shared" si="111"/>
        <v>6.5000000000000021E-11</v>
      </c>
      <c r="BA91" s="642">
        <f t="shared" si="111"/>
        <v>6.5000000000000026E-12</v>
      </c>
    </row>
    <row r="92" spans="1:54" s="77" customFormat="1" ht="12.75" hidden="1" customHeight="1" outlineLevel="1">
      <c r="A92" s="392"/>
      <c r="B92" s="393" t="s">
        <v>424</v>
      </c>
      <c r="C92" s="394"/>
      <c r="D92" s="394"/>
      <c r="E92" s="394"/>
      <c r="F92" s="394"/>
      <c r="G92" s="394"/>
      <c r="H92" s="394"/>
      <c r="I92" s="394"/>
      <c r="J92" s="394"/>
      <c r="K92" s="394"/>
      <c r="L92" s="394"/>
      <c r="M92" s="394"/>
      <c r="N92" s="394"/>
      <c r="O92" s="394"/>
      <c r="P92" s="394"/>
      <c r="Q92" s="394"/>
      <c r="R92" s="394"/>
      <c r="S92" s="394"/>
      <c r="T92" s="397"/>
      <c r="U92" s="397"/>
      <c r="V92" s="397"/>
      <c r="W92" s="397"/>
      <c r="X92" s="394"/>
      <c r="Y92" s="397"/>
      <c r="Z92" s="397"/>
      <c r="AA92" s="397"/>
      <c r="AB92" s="397"/>
      <c r="AC92" s="397"/>
      <c r="AD92" s="397"/>
      <c r="AE92" s="397"/>
      <c r="AF92" s="397"/>
      <c r="AG92" s="397"/>
      <c r="AH92" s="397"/>
      <c r="AI92" s="718"/>
      <c r="AJ92" s="718"/>
      <c r="AK92" s="718"/>
      <c r="AL92" s="718"/>
      <c r="AM92" s="718"/>
      <c r="AN92" s="718">
        <f>AL94-0.5%</f>
        <v>6.5000000000000002E-2</v>
      </c>
      <c r="AO92" s="397">
        <f>AN92-0.5%</f>
        <v>6.0000000000000005E-2</v>
      </c>
      <c r="AP92" s="397">
        <f>AO92-0.5%</f>
        <v>5.5000000000000007E-2</v>
      </c>
      <c r="AQ92" s="397">
        <f>AP92-0.5%</f>
        <v>5.000000000000001E-2</v>
      </c>
      <c r="AR92" s="642">
        <f t="shared" si="110"/>
        <v>5.000000000000001E-3</v>
      </c>
      <c r="AS92" s="642">
        <f t="shared" si="110"/>
        <v>5.0000000000000012E-4</v>
      </c>
      <c r="AT92" s="642">
        <f t="shared" ref="AT92:BA92" si="112">AS92*0.1</f>
        <v>5.0000000000000016E-5</v>
      </c>
      <c r="AU92" s="642">
        <f t="shared" si="112"/>
        <v>5.0000000000000021E-6</v>
      </c>
      <c r="AV92" s="642">
        <f t="shared" si="112"/>
        <v>5.0000000000000019E-7</v>
      </c>
      <c r="AW92" s="642">
        <f t="shared" si="112"/>
        <v>5.0000000000000024E-8</v>
      </c>
      <c r="AX92" s="642">
        <f t="shared" si="112"/>
        <v>5.0000000000000026E-9</v>
      </c>
      <c r="AY92" s="642">
        <f t="shared" si="112"/>
        <v>5.0000000000000024E-10</v>
      </c>
      <c r="AZ92" s="642">
        <f t="shared" si="112"/>
        <v>5.0000000000000028E-11</v>
      </c>
      <c r="BA92" s="642">
        <f t="shared" si="112"/>
        <v>5.0000000000000029E-12</v>
      </c>
    </row>
    <row r="93" spans="1:54" s="77" customFormat="1" ht="12.75" hidden="1" customHeight="1" outlineLevel="1">
      <c r="A93" s="392"/>
      <c r="B93" s="393" t="s">
        <v>425</v>
      </c>
      <c r="C93" s="394"/>
      <c r="D93" s="394"/>
      <c r="E93" s="394"/>
      <c r="F93" s="394"/>
      <c r="G93" s="394"/>
      <c r="H93" s="394"/>
      <c r="I93" s="394"/>
      <c r="J93" s="394"/>
      <c r="K93" s="394"/>
      <c r="L93" s="394"/>
      <c r="M93" s="394"/>
      <c r="N93" s="394"/>
      <c r="O93" s="394"/>
      <c r="P93" s="394"/>
      <c r="Q93" s="394"/>
      <c r="R93" s="394"/>
      <c r="S93" s="394"/>
      <c r="T93" s="397"/>
      <c r="U93" s="397"/>
      <c r="V93" s="397"/>
      <c r="W93" s="397"/>
      <c r="X93" s="394"/>
      <c r="Y93" s="397"/>
      <c r="Z93" s="397"/>
      <c r="AA93" s="397"/>
      <c r="AB93" s="397"/>
      <c r="AC93" s="394"/>
      <c r="AD93" s="394"/>
      <c r="AE93" s="394"/>
      <c r="AF93" s="394"/>
      <c r="AG93" s="394"/>
      <c r="AH93" s="394"/>
      <c r="AI93" s="716"/>
      <c r="AJ93" s="716"/>
      <c r="AK93" s="716"/>
      <c r="AL93" s="716"/>
      <c r="AM93" s="394"/>
      <c r="AN93" s="394">
        <f>AN92</f>
        <v>6.5000000000000002E-2</v>
      </c>
      <c r="AO93" s="394">
        <f>AN93*0.85</f>
        <v>5.525E-2</v>
      </c>
      <c r="AP93" s="394">
        <f>AO93*0.85</f>
        <v>4.6962499999999997E-2</v>
      </c>
      <c r="AQ93" s="394">
        <f>AP93*0.85</f>
        <v>3.9918124999999999E-2</v>
      </c>
      <c r="AR93" s="397">
        <f t="shared" si="110"/>
        <v>3.9918124999999997E-3</v>
      </c>
      <c r="AS93" s="397">
        <f t="shared" si="110"/>
        <v>3.9918125E-4</v>
      </c>
      <c r="AT93" s="397">
        <f t="shared" ref="AT93:BA93" si="113">AS93*0.1</f>
        <v>3.9918125000000002E-5</v>
      </c>
      <c r="AU93" s="397">
        <f t="shared" si="113"/>
        <v>3.9918125000000005E-6</v>
      </c>
      <c r="AV93" s="397">
        <f t="shared" si="113"/>
        <v>3.9918125000000009E-7</v>
      </c>
      <c r="AW93" s="397">
        <f t="shared" si="113"/>
        <v>3.9918125000000011E-8</v>
      </c>
      <c r="AX93" s="397">
        <f t="shared" si="113"/>
        <v>3.9918125000000009E-9</v>
      </c>
      <c r="AY93" s="397">
        <f t="shared" si="113"/>
        <v>3.991812500000001E-10</v>
      </c>
      <c r="AZ93" s="397">
        <f t="shared" si="113"/>
        <v>3.9918125000000013E-11</v>
      </c>
      <c r="BA93" s="397">
        <f t="shared" si="113"/>
        <v>3.9918125000000016E-12</v>
      </c>
    </row>
    <row r="94" spans="1:54" s="77" customFormat="1" ht="12.75" customHeight="1" collapsed="1">
      <c r="A94" s="379" t="s">
        <v>578</v>
      </c>
      <c r="B94" s="395" t="str">
        <f>B35</f>
        <v>Truvada (2021 Expiry)</v>
      </c>
      <c r="C94" s="394"/>
      <c r="D94" s="394">
        <v>0</v>
      </c>
      <c r="E94" s="394">
        <v>0</v>
      </c>
      <c r="F94" s="394">
        <v>0</v>
      </c>
      <c r="G94" s="394">
        <v>0.32</v>
      </c>
      <c r="H94" s="394">
        <v>0.6</v>
      </c>
      <c r="I94" s="394">
        <v>0.61</v>
      </c>
      <c r="J94" s="394">
        <v>0.3</v>
      </c>
      <c r="K94" s="394">
        <v>0.3</v>
      </c>
      <c r="L94" s="394">
        <v>0.36</v>
      </c>
      <c r="M94" s="394">
        <v>0.38</v>
      </c>
      <c r="N94" s="394">
        <v>0.38500000000000001</v>
      </c>
      <c r="O94" s="394">
        <v>0.32</v>
      </c>
      <c r="P94" s="394">
        <v>0.31</v>
      </c>
      <c r="Q94" s="394">
        <v>0.34</v>
      </c>
      <c r="R94" s="394">
        <v>0.23</v>
      </c>
      <c r="S94" s="394">
        <f>AVERAGE(O94:R94)</f>
        <v>0.3</v>
      </c>
      <c r="T94" s="404">
        <v>0.23</v>
      </c>
      <c r="U94" s="404">
        <v>0.22</v>
      </c>
      <c r="V94" s="404">
        <v>0.2</v>
      </c>
      <c r="W94" s="404">
        <v>0.21</v>
      </c>
      <c r="X94" s="394">
        <f>AVERAGE(T94:W94)</f>
        <v>0.215</v>
      </c>
      <c r="Y94" s="404">
        <v>0.19</v>
      </c>
      <c r="Z94" s="404">
        <v>0.19</v>
      </c>
      <c r="AA94" s="404">
        <v>0.17</v>
      </c>
      <c r="AB94" s="404">
        <v>0.17</v>
      </c>
      <c r="AC94" s="394">
        <f>AVERAGE(Y94:AB94)</f>
        <v>0.18000000000000002</v>
      </c>
      <c r="AD94" s="404">
        <v>0.14000000000000001</v>
      </c>
      <c r="AE94" s="404">
        <v>0.16</v>
      </c>
      <c r="AF94" s="404">
        <v>0.16</v>
      </c>
      <c r="AG94" s="404">
        <v>0.16</v>
      </c>
      <c r="AH94" s="716">
        <f>AVERAGE(AD94:AG94)</f>
        <v>0.15500000000000003</v>
      </c>
      <c r="AI94" s="720">
        <v>0.17</v>
      </c>
      <c r="AJ94" s="720">
        <v>0.1</v>
      </c>
      <c r="AK94" s="720">
        <v>0.06</v>
      </c>
      <c r="AL94" s="720">
        <v>7.0000000000000007E-2</v>
      </c>
      <c r="AM94" s="716">
        <f>AVERAGE(AI94:AL94)</f>
        <v>0.1</v>
      </c>
      <c r="AN94" s="396">
        <f t="shared" ref="AN94:BA94" si="114">CHOOSE($U$1,AN91,AN92,AN93)</f>
        <v>6.5000000000000002E-2</v>
      </c>
      <c r="AO94" s="396">
        <f t="shared" si="114"/>
        <v>6.0000000000000005E-2</v>
      </c>
      <c r="AP94" s="396">
        <f t="shared" si="114"/>
        <v>5.5000000000000007E-2</v>
      </c>
      <c r="AQ94" s="396">
        <f t="shared" si="114"/>
        <v>5.000000000000001E-2</v>
      </c>
      <c r="AR94" s="396">
        <f t="shared" si="114"/>
        <v>5.000000000000001E-3</v>
      </c>
      <c r="AS94" s="396">
        <f t="shared" si="114"/>
        <v>5.0000000000000012E-4</v>
      </c>
      <c r="AT94" s="396">
        <f t="shared" si="114"/>
        <v>5.0000000000000016E-5</v>
      </c>
      <c r="AU94" s="396">
        <f t="shared" si="114"/>
        <v>5.0000000000000021E-6</v>
      </c>
      <c r="AV94" s="396">
        <f t="shared" si="114"/>
        <v>5.0000000000000019E-7</v>
      </c>
      <c r="AW94" s="396">
        <f t="shared" si="114"/>
        <v>5.0000000000000024E-8</v>
      </c>
      <c r="AX94" s="396">
        <f t="shared" si="114"/>
        <v>5.0000000000000026E-9</v>
      </c>
      <c r="AY94" s="396">
        <f t="shared" si="114"/>
        <v>5.0000000000000024E-10</v>
      </c>
      <c r="AZ94" s="396">
        <f t="shared" si="114"/>
        <v>5.0000000000000028E-11</v>
      </c>
      <c r="BA94" s="396">
        <f t="shared" si="114"/>
        <v>5.0000000000000029E-12</v>
      </c>
    </row>
    <row r="95" spans="1:54" s="77" customFormat="1" ht="12.75" hidden="1" customHeight="1" outlineLevel="1">
      <c r="A95" s="379"/>
      <c r="B95" s="393" t="s">
        <v>423</v>
      </c>
      <c r="C95" s="394"/>
      <c r="D95" s="394"/>
      <c r="E95" s="394"/>
      <c r="F95" s="394"/>
      <c r="G95" s="394"/>
      <c r="H95" s="394"/>
      <c r="I95" s="394"/>
      <c r="J95" s="394"/>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716"/>
      <c r="AI95" s="716"/>
      <c r="AJ95" s="716"/>
      <c r="AK95" s="716"/>
      <c r="AL95" s="716"/>
      <c r="AM95" s="394"/>
      <c r="AN95" s="394">
        <f>AN96</f>
        <v>3.6000000000000004E-2</v>
      </c>
      <c r="AO95" s="394">
        <f>AN96</f>
        <v>3.6000000000000004E-2</v>
      </c>
      <c r="AP95" s="394">
        <f>AO95</f>
        <v>3.6000000000000004E-2</v>
      </c>
      <c r="AQ95" s="394">
        <f>AP95</f>
        <v>3.6000000000000004E-2</v>
      </c>
      <c r="AR95" s="642">
        <f t="shared" ref="AR95:AS97" si="115">AQ95*0.1</f>
        <v>3.6000000000000008E-3</v>
      </c>
      <c r="AS95" s="642">
        <f t="shared" si="115"/>
        <v>3.6000000000000008E-4</v>
      </c>
      <c r="AT95" s="642">
        <f t="shared" ref="AT95:BA95" si="116">AS95*0.1</f>
        <v>3.6000000000000008E-5</v>
      </c>
      <c r="AU95" s="642">
        <f t="shared" si="116"/>
        <v>3.6000000000000011E-6</v>
      </c>
      <c r="AV95" s="642">
        <f t="shared" si="116"/>
        <v>3.6000000000000015E-7</v>
      </c>
      <c r="AW95" s="642">
        <f t="shared" si="116"/>
        <v>3.6000000000000018E-8</v>
      </c>
      <c r="AX95" s="642">
        <f t="shared" si="116"/>
        <v>3.600000000000002E-9</v>
      </c>
      <c r="AY95" s="642">
        <f t="shared" si="116"/>
        <v>3.600000000000002E-10</v>
      </c>
      <c r="AZ95" s="642">
        <f t="shared" si="116"/>
        <v>3.6000000000000024E-11</v>
      </c>
      <c r="BA95" s="642">
        <f t="shared" si="116"/>
        <v>3.6000000000000024E-12</v>
      </c>
    </row>
    <row r="96" spans="1:54" s="77" customFormat="1" ht="12.75" hidden="1" customHeight="1" outlineLevel="1">
      <c r="A96" s="379"/>
      <c r="B96" s="393" t="s">
        <v>424</v>
      </c>
      <c r="C96" s="394"/>
      <c r="D96" s="394"/>
      <c r="E96" s="394"/>
      <c r="F96" s="394"/>
      <c r="G96" s="394"/>
      <c r="H96" s="394"/>
      <c r="I96" s="394"/>
      <c r="J96" s="394"/>
      <c r="K96" s="394"/>
      <c r="L96" s="394"/>
      <c r="M96" s="394"/>
      <c r="N96" s="394"/>
      <c r="O96" s="394"/>
      <c r="P96" s="394"/>
      <c r="Q96" s="394"/>
      <c r="R96" s="394"/>
      <c r="S96" s="394"/>
      <c r="T96" s="394"/>
      <c r="U96" s="394"/>
      <c r="V96" s="394"/>
      <c r="W96" s="394"/>
      <c r="X96" s="394"/>
      <c r="Y96" s="394"/>
      <c r="Z96" s="394"/>
      <c r="AA96" s="394"/>
      <c r="AB96" s="394"/>
      <c r="AC96" s="394"/>
      <c r="AD96" s="394"/>
      <c r="AE96" s="394"/>
      <c r="AF96" s="394"/>
      <c r="AG96" s="394"/>
      <c r="AH96" s="716"/>
      <c r="AI96" s="716"/>
      <c r="AJ96" s="716"/>
      <c r="AK96" s="716"/>
      <c r="AL96" s="716"/>
      <c r="AM96" s="397"/>
      <c r="AN96" s="397">
        <f>AL98*0.9</f>
        <v>3.6000000000000004E-2</v>
      </c>
      <c r="AO96" s="397">
        <f>AN96*0.9</f>
        <v>3.2400000000000005E-2</v>
      </c>
      <c r="AP96" s="397">
        <f>AO96*0.9</f>
        <v>2.9160000000000005E-2</v>
      </c>
      <c r="AQ96" s="397">
        <f>AP96*0.9</f>
        <v>2.6244000000000007E-2</v>
      </c>
      <c r="AR96" s="642">
        <f t="shared" si="115"/>
        <v>2.6244000000000007E-3</v>
      </c>
      <c r="AS96" s="642">
        <f t="shared" si="115"/>
        <v>2.6244000000000007E-4</v>
      </c>
      <c r="AT96" s="642">
        <f t="shared" ref="AT96:BA96" si="117">AS96*0.1</f>
        <v>2.6244000000000008E-5</v>
      </c>
      <c r="AU96" s="642">
        <f t="shared" si="117"/>
        <v>2.6244000000000011E-6</v>
      </c>
      <c r="AV96" s="642">
        <f t="shared" si="117"/>
        <v>2.6244000000000012E-7</v>
      </c>
      <c r="AW96" s="642">
        <f t="shared" si="117"/>
        <v>2.6244000000000013E-8</v>
      </c>
      <c r="AX96" s="642">
        <f t="shared" si="117"/>
        <v>2.6244000000000014E-9</v>
      </c>
      <c r="AY96" s="642">
        <f t="shared" si="117"/>
        <v>2.6244000000000013E-10</v>
      </c>
      <c r="AZ96" s="642">
        <f t="shared" si="117"/>
        <v>2.6244000000000013E-11</v>
      </c>
      <c r="BA96" s="642">
        <f t="shared" si="117"/>
        <v>2.6244000000000016E-12</v>
      </c>
    </row>
    <row r="97" spans="1:53" s="77" customFormat="1" ht="12.75" hidden="1" customHeight="1" outlineLevel="1">
      <c r="A97" s="379"/>
      <c r="B97" s="393" t="s">
        <v>425</v>
      </c>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716"/>
      <c r="AI97" s="716"/>
      <c r="AJ97" s="716"/>
      <c r="AK97" s="716"/>
      <c r="AL97" s="716"/>
      <c r="AM97" s="394"/>
      <c r="AN97" s="394">
        <f>AN96</f>
        <v>3.6000000000000004E-2</v>
      </c>
      <c r="AO97" s="394">
        <f>AN97*0.85</f>
        <v>3.0600000000000002E-2</v>
      </c>
      <c r="AP97" s="394">
        <f>AO97*0.85</f>
        <v>2.6010000000000002E-2</v>
      </c>
      <c r="AQ97" s="394">
        <f>AP97*0.85</f>
        <v>2.21085E-2</v>
      </c>
      <c r="AR97" s="397">
        <f t="shared" si="115"/>
        <v>2.2108499999999999E-3</v>
      </c>
      <c r="AS97" s="397">
        <f t="shared" si="115"/>
        <v>2.2108499999999999E-4</v>
      </c>
      <c r="AT97" s="397">
        <f t="shared" ref="AT97:BA97" si="118">AS97*0.1</f>
        <v>2.21085E-5</v>
      </c>
      <c r="AU97" s="397">
        <f t="shared" si="118"/>
        <v>2.2108500000000002E-6</v>
      </c>
      <c r="AV97" s="397">
        <f t="shared" si="118"/>
        <v>2.2108500000000002E-7</v>
      </c>
      <c r="AW97" s="397">
        <f t="shared" si="118"/>
        <v>2.2108500000000002E-8</v>
      </c>
      <c r="AX97" s="397">
        <f t="shared" si="118"/>
        <v>2.2108500000000005E-9</v>
      </c>
      <c r="AY97" s="397">
        <f t="shared" si="118"/>
        <v>2.2108500000000007E-10</v>
      </c>
      <c r="AZ97" s="397">
        <f t="shared" si="118"/>
        <v>2.2108500000000008E-11</v>
      </c>
      <c r="BA97" s="397">
        <f t="shared" si="118"/>
        <v>2.2108500000000008E-12</v>
      </c>
    </row>
    <row r="98" spans="1:53" s="77" customFormat="1" ht="12.75" customHeight="1" collapsed="1">
      <c r="A98" s="379" t="s">
        <v>578</v>
      </c>
      <c r="B98" s="395" t="str">
        <f>B39</f>
        <v>Atripla (2021 Expiry)</v>
      </c>
      <c r="C98" s="394"/>
      <c r="D98" s="394"/>
      <c r="E98" s="394"/>
      <c r="F98" s="394"/>
      <c r="G98" s="394">
        <v>0</v>
      </c>
      <c r="H98" s="394">
        <v>0</v>
      </c>
      <c r="I98" s="394">
        <v>0.09</v>
      </c>
      <c r="J98" s="394">
        <v>0.49</v>
      </c>
      <c r="K98" s="394">
        <v>0.51</v>
      </c>
      <c r="L98" s="394">
        <v>0.49</v>
      </c>
      <c r="M98" s="394">
        <v>0.48249999999999998</v>
      </c>
      <c r="N98" s="394">
        <v>0.45499999999999996</v>
      </c>
      <c r="O98" s="394">
        <v>0.34</v>
      </c>
      <c r="P98" s="394">
        <v>0.34</v>
      </c>
      <c r="Q98" s="394">
        <v>0.33</v>
      </c>
      <c r="R98" s="394">
        <v>0.25</v>
      </c>
      <c r="S98" s="394">
        <f>AVERAGE(O98:R98)</f>
        <v>0.315</v>
      </c>
      <c r="T98" s="404">
        <v>0.26</v>
      </c>
      <c r="U98" s="404">
        <v>0.2</v>
      </c>
      <c r="V98" s="404">
        <v>0.22</v>
      </c>
      <c r="W98" s="404">
        <v>0.21</v>
      </c>
      <c r="X98" s="394">
        <f>AVERAGE(T98:W98)</f>
        <v>0.2225</v>
      </c>
      <c r="Y98" s="404">
        <v>0.19</v>
      </c>
      <c r="Z98" s="404">
        <v>0.16</v>
      </c>
      <c r="AA98" s="404">
        <v>0.14000000000000001</v>
      </c>
      <c r="AB98" s="404">
        <v>0.13</v>
      </c>
      <c r="AC98" s="394">
        <f>AVERAGE(Y98:AB98)</f>
        <v>0.155</v>
      </c>
      <c r="AD98" s="404">
        <v>0.14000000000000001</v>
      </c>
      <c r="AE98" s="404">
        <v>0.09</v>
      </c>
      <c r="AF98" s="404">
        <v>0.08</v>
      </c>
      <c r="AG98" s="404">
        <v>7.0000000000000007E-2</v>
      </c>
      <c r="AH98" s="716">
        <f>AVERAGE(AD98:AG98)</f>
        <v>9.5000000000000001E-2</v>
      </c>
      <c r="AI98" s="720">
        <v>7.0000000000000007E-2</v>
      </c>
      <c r="AJ98" s="720">
        <v>0.04</v>
      </c>
      <c r="AK98" s="720">
        <v>0.05</v>
      </c>
      <c r="AL98" s="720">
        <v>0.04</v>
      </c>
      <c r="AM98" s="716">
        <f>AVERAGE(AI98:AL98)</f>
        <v>5.000000000000001E-2</v>
      </c>
      <c r="AN98" s="396">
        <f t="shared" ref="AN98:BA98" si="119">CHOOSE($U$1,AN95,AN96,AN97)</f>
        <v>3.6000000000000004E-2</v>
      </c>
      <c r="AO98" s="396">
        <f t="shared" si="119"/>
        <v>3.2400000000000005E-2</v>
      </c>
      <c r="AP98" s="396">
        <f t="shared" si="119"/>
        <v>2.9160000000000005E-2</v>
      </c>
      <c r="AQ98" s="396">
        <f t="shared" si="119"/>
        <v>2.6244000000000007E-2</v>
      </c>
      <c r="AR98" s="396">
        <f t="shared" si="119"/>
        <v>2.6244000000000007E-3</v>
      </c>
      <c r="AS98" s="396">
        <f t="shared" si="119"/>
        <v>2.6244000000000007E-4</v>
      </c>
      <c r="AT98" s="396">
        <f t="shared" si="119"/>
        <v>2.6244000000000008E-5</v>
      </c>
      <c r="AU98" s="396">
        <f t="shared" si="119"/>
        <v>2.6244000000000011E-6</v>
      </c>
      <c r="AV98" s="396">
        <f t="shared" si="119"/>
        <v>2.6244000000000012E-7</v>
      </c>
      <c r="AW98" s="396">
        <f t="shared" si="119"/>
        <v>2.6244000000000013E-8</v>
      </c>
      <c r="AX98" s="396">
        <f t="shared" si="119"/>
        <v>2.6244000000000014E-9</v>
      </c>
      <c r="AY98" s="396">
        <f t="shared" si="119"/>
        <v>2.6244000000000013E-10</v>
      </c>
      <c r="AZ98" s="396">
        <f t="shared" si="119"/>
        <v>2.6244000000000013E-11</v>
      </c>
      <c r="BA98" s="396">
        <f t="shared" si="119"/>
        <v>2.6244000000000016E-12</v>
      </c>
    </row>
    <row r="99" spans="1:53" s="77" customFormat="1" ht="12.75" hidden="1" customHeight="1" outlineLevel="1">
      <c r="A99" s="379"/>
      <c r="B99" s="393" t="s">
        <v>423</v>
      </c>
      <c r="C99" s="394"/>
      <c r="D99" s="394"/>
      <c r="E99" s="394"/>
      <c r="F99" s="394"/>
      <c r="G99" s="394"/>
      <c r="H99" s="394"/>
      <c r="I99" s="394"/>
      <c r="J99" s="394"/>
      <c r="K99" s="394"/>
      <c r="L99" s="394"/>
      <c r="M99" s="394"/>
      <c r="N99" s="394"/>
      <c r="O99" s="394"/>
      <c r="P99" s="394"/>
      <c r="Q99" s="394"/>
      <c r="R99" s="394"/>
      <c r="S99" s="394"/>
      <c r="T99" s="394"/>
      <c r="U99" s="394"/>
      <c r="V99" s="394"/>
      <c r="W99" s="394"/>
      <c r="X99" s="394"/>
      <c r="Y99" s="394"/>
      <c r="Z99" s="394"/>
      <c r="AA99" s="394"/>
      <c r="AB99" s="394"/>
      <c r="AC99" s="394"/>
      <c r="AD99" s="394"/>
      <c r="AE99" s="394"/>
      <c r="AF99" s="394"/>
      <c r="AG99" s="394"/>
      <c r="AH99" s="716"/>
      <c r="AI99" s="716"/>
      <c r="AJ99" s="716"/>
      <c r="AK99" s="716"/>
      <c r="AL99" s="716"/>
      <c r="AM99" s="394"/>
      <c r="AN99" s="394">
        <f t="shared" ref="AN99:AS99" si="120">AM99*1.025</f>
        <v>0</v>
      </c>
      <c r="AO99" s="394">
        <f t="shared" si="120"/>
        <v>0</v>
      </c>
      <c r="AP99" s="394">
        <f t="shared" si="120"/>
        <v>0</v>
      </c>
      <c r="AQ99" s="394">
        <f t="shared" si="120"/>
        <v>0</v>
      </c>
      <c r="AR99" s="394">
        <f t="shared" si="120"/>
        <v>0</v>
      </c>
      <c r="AS99" s="394">
        <f t="shared" si="120"/>
        <v>0</v>
      </c>
      <c r="AT99" s="642">
        <f t="shared" ref="AT99:BA99" si="121">AS99*0.1</f>
        <v>0</v>
      </c>
      <c r="AU99" s="642">
        <f t="shared" si="121"/>
        <v>0</v>
      </c>
      <c r="AV99" s="642">
        <f t="shared" si="121"/>
        <v>0</v>
      </c>
      <c r="AW99" s="642">
        <f t="shared" si="121"/>
        <v>0</v>
      </c>
      <c r="AX99" s="642">
        <f t="shared" si="121"/>
        <v>0</v>
      </c>
      <c r="AY99" s="642">
        <f t="shared" si="121"/>
        <v>0</v>
      </c>
      <c r="AZ99" s="642">
        <f t="shared" si="121"/>
        <v>0</v>
      </c>
      <c r="BA99" s="642">
        <f t="shared" si="121"/>
        <v>0</v>
      </c>
    </row>
    <row r="100" spans="1:53" s="77" customFormat="1" ht="12.75" hidden="1" customHeight="1" outlineLevel="1">
      <c r="A100" s="379"/>
      <c r="B100" s="393" t="s">
        <v>424</v>
      </c>
      <c r="C100" s="394"/>
      <c r="D100" s="394"/>
      <c r="E100" s="394"/>
      <c r="F100" s="394"/>
      <c r="G100" s="394"/>
      <c r="H100" s="394"/>
      <c r="I100" s="394"/>
      <c r="J100" s="394"/>
      <c r="K100" s="394"/>
      <c r="L100" s="394"/>
      <c r="M100" s="394"/>
      <c r="N100" s="394"/>
      <c r="O100" s="394"/>
      <c r="P100" s="394"/>
      <c r="Q100" s="394"/>
      <c r="R100" s="394"/>
      <c r="S100" s="394"/>
      <c r="T100" s="394"/>
      <c r="U100" s="394"/>
      <c r="V100" s="394"/>
      <c r="W100" s="394"/>
      <c r="X100" s="394"/>
      <c r="Y100" s="394"/>
      <c r="Z100" s="394"/>
      <c r="AA100" s="394"/>
      <c r="AB100" s="394"/>
      <c r="AC100" s="394"/>
      <c r="AD100" s="394"/>
      <c r="AE100" s="394"/>
      <c r="AF100" s="394"/>
      <c r="AG100" s="394"/>
      <c r="AH100" s="716"/>
      <c r="AI100" s="716"/>
      <c r="AJ100" s="716"/>
      <c r="AK100" s="716"/>
      <c r="AL100" s="716"/>
      <c r="AM100" s="397"/>
      <c r="AN100" s="397">
        <f>AL102*0.65</f>
        <v>3.9E-2</v>
      </c>
      <c r="AO100" s="397">
        <f>AN100*0.5</f>
        <v>1.95E-2</v>
      </c>
      <c r="AP100" s="397">
        <f t="shared" ref="AP100:AU100" si="122">AO100*0.9</f>
        <v>1.755E-2</v>
      </c>
      <c r="AQ100" s="718">
        <f t="shared" si="122"/>
        <v>1.5795E-2</v>
      </c>
      <c r="AR100" s="718">
        <f t="shared" si="122"/>
        <v>1.4215500000000001E-2</v>
      </c>
      <c r="AS100" s="718">
        <f t="shared" si="122"/>
        <v>1.279395E-2</v>
      </c>
      <c r="AT100" s="718">
        <f t="shared" si="122"/>
        <v>1.1514555000000001E-2</v>
      </c>
      <c r="AU100" s="718">
        <f t="shared" si="122"/>
        <v>1.03630995E-2</v>
      </c>
      <c r="AV100" s="642">
        <f t="shared" ref="AV100:BA100" si="123">AU100*0.1</f>
        <v>1.0363099500000001E-3</v>
      </c>
      <c r="AW100" s="642">
        <f t="shared" si="123"/>
        <v>1.0363099500000002E-4</v>
      </c>
      <c r="AX100" s="642">
        <f t="shared" si="123"/>
        <v>1.0363099500000003E-5</v>
      </c>
      <c r="AY100" s="642">
        <f t="shared" si="123"/>
        <v>1.0363099500000002E-6</v>
      </c>
      <c r="AZ100" s="642">
        <f t="shared" si="123"/>
        <v>1.0363099500000003E-7</v>
      </c>
      <c r="BA100" s="642">
        <f t="shared" si="123"/>
        <v>1.0363099500000003E-8</v>
      </c>
    </row>
    <row r="101" spans="1:53" s="77" customFormat="1" ht="12.75" hidden="1" customHeight="1" outlineLevel="1">
      <c r="A101" s="379"/>
      <c r="B101" s="393" t="s">
        <v>425</v>
      </c>
      <c r="C101" s="394"/>
      <c r="D101" s="394"/>
      <c r="E101" s="394"/>
      <c r="F101" s="394"/>
      <c r="G101" s="394"/>
      <c r="H101" s="394"/>
      <c r="I101" s="394"/>
      <c r="J101" s="394"/>
      <c r="K101" s="394"/>
      <c r="L101" s="394"/>
      <c r="M101" s="394"/>
      <c r="N101" s="394"/>
      <c r="O101" s="394"/>
      <c r="P101" s="394"/>
      <c r="Q101" s="394"/>
      <c r="R101" s="394"/>
      <c r="S101" s="394"/>
      <c r="T101" s="394"/>
      <c r="U101" s="394"/>
      <c r="V101" s="394"/>
      <c r="W101" s="394"/>
      <c r="X101" s="394"/>
      <c r="Y101" s="394"/>
      <c r="Z101" s="394"/>
      <c r="AA101" s="394"/>
      <c r="AB101" s="394"/>
      <c r="AC101" s="394"/>
      <c r="AD101" s="394"/>
      <c r="AE101" s="394"/>
      <c r="AF101" s="394"/>
      <c r="AG101" s="394"/>
      <c r="AH101" s="716"/>
      <c r="AI101" s="716"/>
      <c r="AJ101" s="716"/>
      <c r="AK101" s="716"/>
      <c r="AL101" s="716"/>
      <c r="AM101" s="394"/>
      <c r="AN101" s="394">
        <f>AN100</f>
        <v>3.9E-2</v>
      </c>
      <c r="AO101" s="394">
        <f>AN101*0.85</f>
        <v>3.3149999999999999E-2</v>
      </c>
      <c r="AP101" s="394">
        <f>AO101*0.85</f>
        <v>2.8177499999999998E-2</v>
      </c>
      <c r="AQ101" s="394">
        <f>AP101*0.85</f>
        <v>2.3950874999999996E-2</v>
      </c>
      <c r="AR101" s="394">
        <f>AQ101*0.85</f>
        <v>2.0358243749999998E-2</v>
      </c>
      <c r="AS101" s="394">
        <f>AR101*0.85</f>
        <v>1.7304507187499998E-2</v>
      </c>
      <c r="AT101" s="397">
        <f t="shared" ref="AT101:BA101" si="124">AS101*0.1</f>
        <v>1.73045071875E-3</v>
      </c>
      <c r="AU101" s="397">
        <f t="shared" si="124"/>
        <v>1.7304507187500002E-4</v>
      </c>
      <c r="AV101" s="397">
        <f t="shared" si="124"/>
        <v>1.7304507187500002E-5</v>
      </c>
      <c r="AW101" s="397">
        <f t="shared" si="124"/>
        <v>1.7304507187500002E-6</v>
      </c>
      <c r="AX101" s="397">
        <f t="shared" si="124"/>
        <v>1.7304507187500003E-7</v>
      </c>
      <c r="AY101" s="397">
        <f t="shared" si="124"/>
        <v>1.7304507187500004E-8</v>
      </c>
      <c r="AZ101" s="397">
        <f t="shared" si="124"/>
        <v>1.7304507187500005E-9</v>
      </c>
      <c r="BA101" s="397">
        <f t="shared" si="124"/>
        <v>1.7304507187500007E-10</v>
      </c>
    </row>
    <row r="102" spans="1:53" s="77" customFormat="1" ht="12.75" customHeight="1" collapsed="1">
      <c r="A102" s="379" t="s">
        <v>578</v>
      </c>
      <c r="B102" s="395" t="str">
        <f>B43</f>
        <v>Complera (2023 Expiry)</v>
      </c>
      <c r="C102" s="394"/>
      <c r="D102" s="394"/>
      <c r="E102" s="394"/>
      <c r="F102" s="394"/>
      <c r="G102" s="394"/>
      <c r="H102" s="394"/>
      <c r="I102" s="394"/>
      <c r="J102" s="394"/>
      <c r="K102" s="394"/>
      <c r="L102" s="394"/>
      <c r="M102" s="394"/>
      <c r="N102" s="394">
        <v>0.05</v>
      </c>
      <c r="O102" s="394">
        <v>0.24</v>
      </c>
      <c r="P102" s="394">
        <v>0.25</v>
      </c>
      <c r="Q102" s="394">
        <v>0.24</v>
      </c>
      <c r="R102" s="394">
        <v>0.25</v>
      </c>
      <c r="S102" s="394">
        <f>AVERAGE(O102:R102)</f>
        <v>0.245</v>
      </c>
      <c r="T102" s="404">
        <v>0.22</v>
      </c>
      <c r="U102" s="404">
        <v>0.21</v>
      </c>
      <c r="V102" s="404">
        <v>0.23</v>
      </c>
      <c r="W102" s="404">
        <v>0.18</v>
      </c>
      <c r="X102" s="394">
        <f>AVERAGE(T102:W102)</f>
        <v>0.21000000000000002</v>
      </c>
      <c r="Y102" s="404">
        <v>0.23</v>
      </c>
      <c r="Z102" s="404">
        <v>0.22</v>
      </c>
      <c r="AA102" s="404">
        <v>0.22</v>
      </c>
      <c r="AB102" s="404">
        <v>0.21</v>
      </c>
      <c r="AC102" s="394">
        <f>AVERAGE(Y102:AB102)</f>
        <v>0.22</v>
      </c>
      <c r="AD102" s="404">
        <v>0.2</v>
      </c>
      <c r="AE102" s="404">
        <v>0.18</v>
      </c>
      <c r="AF102" s="404">
        <v>0.17</v>
      </c>
      <c r="AG102" s="404">
        <v>0.17</v>
      </c>
      <c r="AH102" s="716">
        <f>AVERAGE(AD102:AG102)</f>
        <v>0.18000000000000002</v>
      </c>
      <c r="AI102" s="720">
        <v>0.12</v>
      </c>
      <c r="AJ102" s="720">
        <v>0.09</v>
      </c>
      <c r="AK102" s="720">
        <v>7.0000000000000007E-2</v>
      </c>
      <c r="AL102" s="720">
        <v>0.06</v>
      </c>
      <c r="AM102" s="716">
        <f>AVERAGE(AI102:AL102)</f>
        <v>8.5000000000000006E-2</v>
      </c>
      <c r="AN102" s="396">
        <f t="shared" ref="AN102:BA102" si="125">CHOOSE($U$1,AN99,AN100,AN101)</f>
        <v>3.9E-2</v>
      </c>
      <c r="AO102" s="396">
        <f t="shared" si="125"/>
        <v>1.95E-2</v>
      </c>
      <c r="AP102" s="396">
        <f t="shared" si="125"/>
        <v>1.755E-2</v>
      </c>
      <c r="AQ102" s="396">
        <f t="shared" si="125"/>
        <v>1.5795E-2</v>
      </c>
      <c r="AR102" s="396">
        <f t="shared" si="125"/>
        <v>1.4215500000000001E-2</v>
      </c>
      <c r="AS102" s="396">
        <f t="shared" si="125"/>
        <v>1.279395E-2</v>
      </c>
      <c r="AT102" s="396">
        <f t="shared" si="125"/>
        <v>1.1514555000000001E-2</v>
      </c>
      <c r="AU102" s="396">
        <f t="shared" si="125"/>
        <v>1.03630995E-2</v>
      </c>
      <c r="AV102" s="396">
        <f t="shared" si="125"/>
        <v>1.0363099500000001E-3</v>
      </c>
      <c r="AW102" s="396">
        <f t="shared" si="125"/>
        <v>1.0363099500000002E-4</v>
      </c>
      <c r="AX102" s="396">
        <f t="shared" si="125"/>
        <v>1.0363099500000003E-5</v>
      </c>
      <c r="AY102" s="396">
        <f t="shared" si="125"/>
        <v>1.0363099500000002E-6</v>
      </c>
      <c r="AZ102" s="396">
        <f t="shared" si="125"/>
        <v>1.0363099500000003E-7</v>
      </c>
      <c r="BA102" s="396">
        <f t="shared" si="125"/>
        <v>1.0363099500000003E-8</v>
      </c>
    </row>
    <row r="103" spans="1:53" s="77" customFormat="1" ht="12.75" hidden="1" customHeight="1" outlineLevel="1">
      <c r="A103" s="379"/>
      <c r="B103" s="393" t="s">
        <v>423</v>
      </c>
      <c r="C103" s="394"/>
      <c r="D103" s="394"/>
      <c r="E103" s="394"/>
      <c r="F103" s="394"/>
      <c r="G103" s="394"/>
      <c r="H103" s="394"/>
      <c r="I103" s="394"/>
      <c r="J103" s="394"/>
      <c r="K103" s="394"/>
      <c r="L103" s="394"/>
      <c r="M103" s="394"/>
      <c r="N103" s="394"/>
      <c r="O103" s="394"/>
      <c r="P103" s="394"/>
      <c r="Q103" s="394"/>
      <c r="R103" s="394"/>
      <c r="S103" s="394"/>
      <c r="T103" s="394"/>
      <c r="U103" s="394"/>
      <c r="V103" s="394"/>
      <c r="W103" s="394"/>
      <c r="X103" s="394"/>
      <c r="Y103" s="394"/>
      <c r="Z103" s="394"/>
      <c r="AA103" s="394"/>
      <c r="AB103" s="394"/>
      <c r="AC103" s="394"/>
      <c r="AD103" s="394"/>
      <c r="AE103" s="394"/>
      <c r="AF103" s="394"/>
      <c r="AG103" s="394"/>
      <c r="AH103" s="716"/>
      <c r="AI103" s="716"/>
      <c r="AJ103" s="716"/>
      <c r="AK103" s="716"/>
      <c r="AL103" s="716"/>
      <c r="AM103" s="394"/>
      <c r="AN103" s="394">
        <f t="shared" ref="AN103:BA103" si="126">AM103*1.025</f>
        <v>0</v>
      </c>
      <c r="AO103" s="394">
        <f t="shared" si="126"/>
        <v>0</v>
      </c>
      <c r="AP103" s="394">
        <f t="shared" si="126"/>
        <v>0</v>
      </c>
      <c r="AQ103" s="394">
        <f t="shared" si="126"/>
        <v>0</v>
      </c>
      <c r="AR103" s="394">
        <f t="shared" si="126"/>
        <v>0</v>
      </c>
      <c r="AS103" s="394">
        <f t="shared" si="126"/>
        <v>0</v>
      </c>
      <c r="AT103" s="394">
        <f t="shared" si="126"/>
        <v>0</v>
      </c>
      <c r="AU103" s="394">
        <f t="shared" si="126"/>
        <v>0</v>
      </c>
      <c r="AV103" s="394">
        <f t="shared" si="126"/>
        <v>0</v>
      </c>
      <c r="AW103" s="394">
        <f t="shared" si="126"/>
        <v>0</v>
      </c>
      <c r="AX103" s="394">
        <f t="shared" si="126"/>
        <v>0</v>
      </c>
      <c r="AY103" s="394">
        <f t="shared" si="126"/>
        <v>0</v>
      </c>
      <c r="AZ103" s="394">
        <f t="shared" si="126"/>
        <v>0</v>
      </c>
      <c r="BA103" s="394">
        <f t="shared" si="126"/>
        <v>0</v>
      </c>
    </row>
    <row r="104" spans="1:53" s="77" customFormat="1" ht="12.75" hidden="1" customHeight="1" outlineLevel="1">
      <c r="A104" s="379"/>
      <c r="B104" s="393" t="s">
        <v>424</v>
      </c>
      <c r="C104" s="394"/>
      <c r="D104" s="394"/>
      <c r="E104" s="394"/>
      <c r="F104" s="394"/>
      <c r="G104" s="394"/>
      <c r="H104" s="394"/>
      <c r="I104" s="394"/>
      <c r="J104" s="394"/>
      <c r="K104" s="394"/>
      <c r="L104" s="394"/>
      <c r="M104" s="394"/>
      <c r="N104" s="394"/>
      <c r="O104" s="394"/>
      <c r="P104" s="394"/>
      <c r="Q104" s="394"/>
      <c r="R104" s="394"/>
      <c r="S104" s="394"/>
      <c r="T104" s="394"/>
      <c r="U104" s="394"/>
      <c r="V104" s="394"/>
      <c r="W104" s="394"/>
      <c r="X104" s="394"/>
      <c r="Y104" s="394"/>
      <c r="Z104" s="394"/>
      <c r="AA104" s="394"/>
      <c r="AB104" s="394"/>
      <c r="AC104" s="394"/>
      <c r="AD104" s="394"/>
      <c r="AE104" s="394"/>
      <c r="AF104" s="394"/>
      <c r="AG104" s="394"/>
      <c r="AH104" s="716"/>
      <c r="AI104" s="716"/>
      <c r="AJ104" s="716"/>
      <c r="AK104" s="716"/>
      <c r="AL104" s="716"/>
      <c r="AM104" s="397"/>
      <c r="AN104" s="397">
        <f>AM106-0.075</f>
        <v>6.2500000000000014E-2</v>
      </c>
      <c r="AO104" s="397">
        <f>AN104*0.8</f>
        <v>5.0000000000000017E-2</v>
      </c>
      <c r="AP104" s="718">
        <f>AO104*0.7</f>
        <v>3.500000000000001E-2</v>
      </c>
      <c r="AQ104" s="718">
        <f>AP104*0.9</f>
        <v>3.1500000000000007E-2</v>
      </c>
      <c r="AR104" s="718">
        <f t="shared" ref="AR104:AY104" si="127">AQ104*0.9</f>
        <v>2.8350000000000007E-2</v>
      </c>
      <c r="AS104" s="718">
        <f t="shared" si="127"/>
        <v>2.5515000000000006E-2</v>
      </c>
      <c r="AT104" s="718">
        <f t="shared" si="127"/>
        <v>2.2963500000000005E-2</v>
      </c>
      <c r="AU104" s="718">
        <f t="shared" si="127"/>
        <v>2.0667150000000006E-2</v>
      </c>
      <c r="AV104" s="718">
        <f t="shared" si="127"/>
        <v>1.8600435000000005E-2</v>
      </c>
      <c r="AW104" s="718">
        <f t="shared" si="127"/>
        <v>1.6740391500000007E-2</v>
      </c>
      <c r="AX104" s="718">
        <f t="shared" si="127"/>
        <v>1.5066352350000006E-2</v>
      </c>
      <c r="AY104" s="718">
        <f t="shared" si="127"/>
        <v>1.3559717115000007E-2</v>
      </c>
      <c r="AZ104" s="397">
        <f>AY104*0.1</f>
        <v>1.3559717115000007E-3</v>
      </c>
      <c r="BA104" s="397">
        <f>AZ104*0.1</f>
        <v>1.3559717115000007E-4</v>
      </c>
    </row>
    <row r="105" spans="1:53" s="77" customFormat="1" ht="12.75" hidden="1" customHeight="1" outlineLevel="1">
      <c r="A105" s="379"/>
      <c r="B105" s="393" t="s">
        <v>425</v>
      </c>
      <c r="C105" s="394"/>
      <c r="D105" s="394"/>
      <c r="E105" s="394"/>
      <c r="F105" s="394"/>
      <c r="G105" s="394"/>
      <c r="H105" s="394"/>
      <c r="I105" s="394"/>
      <c r="J105" s="394"/>
      <c r="K105" s="394"/>
      <c r="L105" s="394"/>
      <c r="M105" s="394"/>
      <c r="N105" s="394"/>
      <c r="O105" s="394"/>
      <c r="P105" s="394"/>
      <c r="Q105" s="394"/>
      <c r="R105" s="394"/>
      <c r="S105" s="394"/>
      <c r="T105" s="394"/>
      <c r="U105" s="394"/>
      <c r="V105" s="394"/>
      <c r="W105" s="394"/>
      <c r="X105" s="394"/>
      <c r="Y105" s="394"/>
      <c r="Z105" s="394"/>
      <c r="AA105" s="394"/>
      <c r="AB105" s="394"/>
      <c r="AC105" s="394"/>
      <c r="AD105" s="394"/>
      <c r="AE105" s="394"/>
      <c r="AF105" s="394"/>
      <c r="AG105" s="394"/>
      <c r="AH105" s="716"/>
      <c r="AI105" s="716"/>
      <c r="AJ105" s="716"/>
      <c r="AK105" s="716"/>
      <c r="AL105" s="716"/>
      <c r="AM105" s="394"/>
      <c r="AN105" s="394">
        <f>AN104</f>
        <v>6.2500000000000014E-2</v>
      </c>
      <c r="AO105" s="394">
        <f>AN105*0.85</f>
        <v>5.3125000000000012E-2</v>
      </c>
      <c r="AP105" s="394">
        <f>AO105*0.85</f>
        <v>4.5156250000000009E-2</v>
      </c>
      <c r="AQ105" s="394">
        <f>AP105*0.85</f>
        <v>3.8382812500000009E-2</v>
      </c>
      <c r="AR105" s="394">
        <f t="shared" ref="AR105:BA105" si="128">AQ105*0.85</f>
        <v>3.2625390625000007E-2</v>
      </c>
      <c r="AS105" s="394">
        <f t="shared" si="128"/>
        <v>2.7731582031250004E-2</v>
      </c>
      <c r="AT105" s="394">
        <f t="shared" si="128"/>
        <v>2.3571844726562503E-2</v>
      </c>
      <c r="AU105" s="394">
        <f t="shared" si="128"/>
        <v>2.0036068017578127E-2</v>
      </c>
      <c r="AV105" s="394">
        <f t="shared" si="128"/>
        <v>1.7030657814941407E-2</v>
      </c>
      <c r="AW105" s="394">
        <f t="shared" si="128"/>
        <v>1.4476059142700195E-2</v>
      </c>
      <c r="AX105" s="394">
        <f t="shared" si="128"/>
        <v>1.2304650271295165E-2</v>
      </c>
      <c r="AY105" s="394">
        <f t="shared" si="128"/>
        <v>1.0458952730600891E-2</v>
      </c>
      <c r="AZ105" s="394">
        <f t="shared" si="128"/>
        <v>8.8901098210107578E-3</v>
      </c>
      <c r="BA105" s="394">
        <f t="shared" si="128"/>
        <v>7.5565933478591437E-3</v>
      </c>
    </row>
    <row r="106" spans="1:53" s="77" customFormat="1" ht="12.75" customHeight="1" collapsed="1">
      <c r="A106" s="379" t="s">
        <v>578</v>
      </c>
      <c r="B106" s="717" t="str">
        <f>B47</f>
        <v>Stribild (2029 Expiry)</v>
      </c>
      <c r="C106" s="394"/>
      <c r="D106" s="394"/>
      <c r="E106" s="394"/>
      <c r="F106" s="394"/>
      <c r="G106" s="394"/>
      <c r="H106" s="394"/>
      <c r="I106" s="394"/>
      <c r="J106" s="394"/>
      <c r="K106" s="394"/>
      <c r="L106" s="394"/>
      <c r="M106" s="394"/>
      <c r="N106" s="394"/>
      <c r="O106" s="394"/>
      <c r="P106" s="394"/>
      <c r="Q106" s="394">
        <v>0.02</v>
      </c>
      <c r="R106" s="394">
        <v>0.19</v>
      </c>
      <c r="S106" s="394">
        <f>AVERAGE(Q106:R106)</f>
        <v>0.105</v>
      </c>
      <c r="T106" s="404">
        <v>0.21</v>
      </c>
      <c r="U106" s="404">
        <v>0.27</v>
      </c>
      <c r="V106" s="404">
        <v>0.28999999999999998</v>
      </c>
      <c r="W106" s="404">
        <v>0.3</v>
      </c>
      <c r="X106" s="394">
        <f>AVERAGE(T106:W106)</f>
        <v>0.26750000000000002</v>
      </c>
      <c r="Y106" s="404">
        <v>0.28000000000000003</v>
      </c>
      <c r="Z106" s="404">
        <v>0.3</v>
      </c>
      <c r="AA106" s="404">
        <v>0.31</v>
      </c>
      <c r="AB106" s="404">
        <v>0.26</v>
      </c>
      <c r="AC106" s="394">
        <f>AVERAGE(Y106:AB106)</f>
        <v>0.28750000000000003</v>
      </c>
      <c r="AD106" s="404">
        <v>0.28000000000000003</v>
      </c>
      <c r="AE106" s="404">
        <v>0.28000000000000003</v>
      </c>
      <c r="AF106" s="404">
        <v>0.3</v>
      </c>
      <c r="AG106" s="404">
        <v>0.28000000000000003</v>
      </c>
      <c r="AH106" s="716">
        <f>AVERAGE(AD106:AG106)</f>
        <v>0.28500000000000003</v>
      </c>
      <c r="AI106" s="720">
        <v>0.2</v>
      </c>
      <c r="AJ106" s="720">
        <v>0.13</v>
      </c>
      <c r="AK106" s="720">
        <v>0.12</v>
      </c>
      <c r="AL106" s="720">
        <v>0.1</v>
      </c>
      <c r="AM106" s="716">
        <f>AVERAGE(AI106:AL106)</f>
        <v>0.13750000000000001</v>
      </c>
      <c r="AN106" s="396">
        <f t="shared" ref="AN106:BA106" si="129">CHOOSE($U$1,AN103,AN104,AN105)</f>
        <v>6.2500000000000014E-2</v>
      </c>
      <c r="AO106" s="396">
        <f t="shared" si="129"/>
        <v>5.0000000000000017E-2</v>
      </c>
      <c r="AP106" s="396">
        <f t="shared" si="129"/>
        <v>3.500000000000001E-2</v>
      </c>
      <c r="AQ106" s="396">
        <f t="shared" si="129"/>
        <v>3.1500000000000007E-2</v>
      </c>
      <c r="AR106" s="396">
        <f t="shared" si="129"/>
        <v>2.8350000000000007E-2</v>
      </c>
      <c r="AS106" s="396">
        <f t="shared" si="129"/>
        <v>2.5515000000000006E-2</v>
      </c>
      <c r="AT106" s="396">
        <f t="shared" si="129"/>
        <v>2.2963500000000005E-2</v>
      </c>
      <c r="AU106" s="396">
        <f t="shared" si="129"/>
        <v>2.0667150000000006E-2</v>
      </c>
      <c r="AV106" s="396">
        <f t="shared" si="129"/>
        <v>1.8600435000000005E-2</v>
      </c>
      <c r="AW106" s="396">
        <f t="shared" si="129"/>
        <v>1.6740391500000007E-2</v>
      </c>
      <c r="AX106" s="396">
        <f t="shared" si="129"/>
        <v>1.5066352350000006E-2</v>
      </c>
      <c r="AY106" s="396">
        <f t="shared" si="129"/>
        <v>1.3559717115000007E-2</v>
      </c>
      <c r="AZ106" s="396">
        <f t="shared" si="129"/>
        <v>1.3559717115000007E-3</v>
      </c>
      <c r="BA106" s="396">
        <f t="shared" si="129"/>
        <v>1.3559717115000007E-4</v>
      </c>
    </row>
    <row r="107" spans="1:53" s="77" customFormat="1" ht="12.75" hidden="1" customHeight="1" outlineLevel="1">
      <c r="A107" s="379"/>
      <c r="B107" s="393" t="s">
        <v>423</v>
      </c>
      <c r="C107" s="394"/>
      <c r="D107" s="394"/>
      <c r="E107" s="394"/>
      <c r="F107" s="394"/>
      <c r="G107" s="394"/>
      <c r="H107" s="394"/>
      <c r="I107" s="394"/>
      <c r="J107" s="394"/>
      <c r="K107" s="394"/>
      <c r="L107" s="394"/>
      <c r="M107" s="394"/>
      <c r="N107" s="394"/>
      <c r="O107" s="394"/>
      <c r="P107" s="394"/>
      <c r="Q107" s="394"/>
      <c r="R107" s="394"/>
      <c r="S107" s="394"/>
      <c r="T107" s="394"/>
      <c r="U107" s="394"/>
      <c r="V107" s="394"/>
      <c r="W107" s="394"/>
      <c r="X107" s="394"/>
      <c r="Y107" s="394"/>
      <c r="Z107" s="394"/>
      <c r="AA107" s="394"/>
      <c r="AB107" s="394"/>
      <c r="AC107" s="396"/>
      <c r="AD107" s="396"/>
      <c r="AE107" s="396"/>
      <c r="AF107" s="396"/>
      <c r="AG107" s="396"/>
      <c r="AH107" s="716"/>
      <c r="AI107" s="396"/>
      <c r="AJ107" s="396"/>
      <c r="AK107" s="396"/>
      <c r="AL107" s="396"/>
      <c r="AM107" s="394"/>
      <c r="AN107" s="394">
        <f>AN108*1.02</f>
        <v>0.34680000000000005</v>
      </c>
      <c r="AO107" s="394">
        <f>AO108*1.02</f>
        <v>0.34680000000000005</v>
      </c>
      <c r="AP107" s="394">
        <f>AP108*1.02</f>
        <v>0.31212000000000006</v>
      </c>
      <c r="AQ107" s="394">
        <f t="shared" ref="AQ107:BA107" si="130">AQ108*1.02</f>
        <v>0.28090800000000005</v>
      </c>
      <c r="AR107" s="394">
        <f t="shared" si="130"/>
        <v>0.25281720000000002</v>
      </c>
      <c r="AS107" s="394">
        <f t="shared" si="130"/>
        <v>0.22753548000000004</v>
      </c>
      <c r="AT107" s="394">
        <f t="shared" si="130"/>
        <v>0.20478193200000003</v>
      </c>
      <c r="AU107" s="394">
        <f t="shared" si="130"/>
        <v>0.18430373880000003</v>
      </c>
      <c r="AV107" s="394">
        <f t="shared" si="130"/>
        <v>0.16587336492000002</v>
      </c>
      <c r="AW107" s="394">
        <f t="shared" si="130"/>
        <v>0.14928602842800001</v>
      </c>
      <c r="AX107" s="394">
        <f t="shared" si="130"/>
        <v>0.13435742558520003</v>
      </c>
      <c r="AY107" s="394">
        <f t="shared" si="130"/>
        <v>0.12092168302668002</v>
      </c>
      <c r="AZ107" s="394">
        <f t="shared" si="130"/>
        <v>1.2092168302668004E-2</v>
      </c>
      <c r="BA107" s="394">
        <f t="shared" si="130"/>
        <v>1.2092168302668006E-3</v>
      </c>
    </row>
    <row r="108" spans="1:53" s="77" customFormat="1" ht="12.75" hidden="1" customHeight="1" outlineLevel="1">
      <c r="A108" s="379"/>
      <c r="B108" s="393" t="s">
        <v>424</v>
      </c>
      <c r="C108" s="394"/>
      <c r="D108" s="394"/>
      <c r="E108" s="394"/>
      <c r="F108" s="394"/>
      <c r="G108" s="394"/>
      <c r="H108" s="394"/>
      <c r="I108" s="394"/>
      <c r="J108" s="394"/>
      <c r="K108" s="394"/>
      <c r="L108" s="394"/>
      <c r="M108" s="394"/>
      <c r="N108" s="394"/>
      <c r="O108" s="394"/>
      <c r="P108" s="394"/>
      <c r="Q108" s="394"/>
      <c r="R108" s="394"/>
      <c r="S108" s="394"/>
      <c r="T108" s="394"/>
      <c r="U108" s="394"/>
      <c r="V108" s="394"/>
      <c r="W108" s="394"/>
      <c r="X108" s="394"/>
      <c r="Y108" s="394"/>
      <c r="Z108" s="394"/>
      <c r="AA108" s="394"/>
      <c r="AB108" s="394"/>
      <c r="AC108" s="396"/>
      <c r="AD108" s="396"/>
      <c r="AE108" s="396"/>
      <c r="AF108" s="396"/>
      <c r="AG108" s="396"/>
      <c r="AH108" s="716"/>
      <c r="AI108" s="396"/>
      <c r="AJ108" s="396"/>
      <c r="AK108" s="396"/>
      <c r="AL108" s="396"/>
      <c r="AM108" s="397"/>
      <c r="AN108" s="716">
        <f>AL110+2%</f>
        <v>0.34</v>
      </c>
      <c r="AO108" s="394">
        <f>AN108</f>
        <v>0.34</v>
      </c>
      <c r="AP108" s="394">
        <f>AO108*0.9</f>
        <v>0.30600000000000005</v>
      </c>
      <c r="AQ108" s="716">
        <f t="shared" ref="AQ108:AY108" si="131">AP108*0.9</f>
        <v>0.27540000000000003</v>
      </c>
      <c r="AR108" s="716">
        <f t="shared" si="131"/>
        <v>0.24786000000000002</v>
      </c>
      <c r="AS108" s="716">
        <f t="shared" si="131"/>
        <v>0.22307400000000002</v>
      </c>
      <c r="AT108" s="716">
        <f t="shared" si="131"/>
        <v>0.20076660000000002</v>
      </c>
      <c r="AU108" s="716">
        <f t="shared" si="131"/>
        <v>0.18068994000000002</v>
      </c>
      <c r="AV108" s="716">
        <f t="shared" si="131"/>
        <v>0.16262094600000002</v>
      </c>
      <c r="AW108" s="716">
        <f t="shared" si="131"/>
        <v>0.14635885140000002</v>
      </c>
      <c r="AX108" s="716">
        <f t="shared" si="131"/>
        <v>0.13172296626000002</v>
      </c>
      <c r="AY108" s="716">
        <f t="shared" si="131"/>
        <v>0.11855066963400002</v>
      </c>
      <c r="AZ108" s="394">
        <f>AY108*0.1</f>
        <v>1.1855066963400003E-2</v>
      </c>
      <c r="BA108" s="394">
        <f>AZ108*0.1</f>
        <v>1.1855066963400004E-3</v>
      </c>
    </row>
    <row r="109" spans="1:53" s="77" customFormat="1" ht="12.75" hidden="1" customHeight="1" outlineLevel="1">
      <c r="A109" s="379"/>
      <c r="B109" s="393" t="s">
        <v>425</v>
      </c>
      <c r="C109" s="394"/>
      <c r="D109" s="394"/>
      <c r="E109" s="394"/>
      <c r="F109" s="394"/>
      <c r="G109" s="394"/>
      <c r="H109" s="394"/>
      <c r="I109" s="394"/>
      <c r="J109" s="394"/>
      <c r="K109" s="394"/>
      <c r="L109" s="394"/>
      <c r="M109" s="394"/>
      <c r="N109" s="394"/>
      <c r="O109" s="394"/>
      <c r="P109" s="394"/>
      <c r="Q109" s="394"/>
      <c r="R109" s="394"/>
      <c r="S109" s="394"/>
      <c r="T109" s="394"/>
      <c r="U109" s="394"/>
      <c r="V109" s="394"/>
      <c r="W109" s="394"/>
      <c r="X109" s="394"/>
      <c r="Y109" s="394"/>
      <c r="Z109" s="394"/>
      <c r="AA109" s="394"/>
      <c r="AB109" s="394"/>
      <c r="AC109" s="396"/>
      <c r="AD109" s="396"/>
      <c r="AE109" s="396"/>
      <c r="AF109" s="396"/>
      <c r="AG109" s="396"/>
      <c r="AH109" s="716"/>
      <c r="AI109" s="396"/>
      <c r="AJ109" s="396"/>
      <c r="AK109" s="396"/>
      <c r="AL109" s="396"/>
      <c r="AM109" s="394"/>
      <c r="AN109" s="394">
        <f>AN108*0.8</f>
        <v>0.27200000000000002</v>
      </c>
      <c r="AO109" s="394">
        <f>AO108*0.8</f>
        <v>0.27200000000000002</v>
      </c>
      <c r="AP109" s="394">
        <f>AP108*0.8</f>
        <v>0.24480000000000005</v>
      </c>
      <c r="AQ109" s="394">
        <f t="shared" ref="AQ109:BA109" si="132">AQ108*0.8</f>
        <v>0.22032000000000004</v>
      </c>
      <c r="AR109" s="394">
        <f t="shared" si="132"/>
        <v>0.19828800000000002</v>
      </c>
      <c r="AS109" s="394">
        <f t="shared" si="132"/>
        <v>0.17845920000000004</v>
      </c>
      <c r="AT109" s="394">
        <f t="shared" si="132"/>
        <v>0.16061328000000002</v>
      </c>
      <c r="AU109" s="394">
        <f t="shared" si="132"/>
        <v>0.14455195200000001</v>
      </c>
      <c r="AV109" s="394">
        <f t="shared" si="132"/>
        <v>0.13009675680000002</v>
      </c>
      <c r="AW109" s="394">
        <f t="shared" si="132"/>
        <v>0.11708708112000002</v>
      </c>
      <c r="AX109" s="394">
        <f t="shared" si="132"/>
        <v>0.10537837300800001</v>
      </c>
      <c r="AY109" s="394">
        <f t="shared" si="132"/>
        <v>9.4840535707200024E-2</v>
      </c>
      <c r="AZ109" s="394">
        <f t="shared" si="132"/>
        <v>9.4840535707200035E-3</v>
      </c>
      <c r="BA109" s="394">
        <f t="shared" si="132"/>
        <v>9.4840535707200037E-4</v>
      </c>
    </row>
    <row r="110" spans="1:53" s="77" customFormat="1" ht="12.75" customHeight="1" collapsed="1">
      <c r="A110" s="379" t="s">
        <v>578</v>
      </c>
      <c r="B110" s="395" t="str">
        <f>B51</f>
        <v>Genvoya (2029 Expiry)</v>
      </c>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6"/>
      <c r="AD110" s="396"/>
      <c r="AE110" s="396"/>
      <c r="AF110" s="396"/>
      <c r="AG110" s="720">
        <v>0.05</v>
      </c>
      <c r="AH110" s="716">
        <f>AVERAGE(AD110:AG110)</f>
        <v>0.05</v>
      </c>
      <c r="AI110" s="720">
        <v>0.2</v>
      </c>
      <c r="AJ110" s="720">
        <v>0.3</v>
      </c>
      <c r="AK110" s="720">
        <v>0.3</v>
      </c>
      <c r="AL110" s="720">
        <v>0.32</v>
      </c>
      <c r="AM110" s="716">
        <f>AVERAGE(AI110:AL110)</f>
        <v>0.28000000000000003</v>
      </c>
      <c r="AN110" s="396">
        <f t="shared" ref="AN110:BA110" si="133">CHOOSE($U$1,AN107,AN108,AN109)</f>
        <v>0.34</v>
      </c>
      <c r="AO110" s="396">
        <f t="shared" si="133"/>
        <v>0.34</v>
      </c>
      <c r="AP110" s="396">
        <f t="shared" si="133"/>
        <v>0.30600000000000005</v>
      </c>
      <c r="AQ110" s="396">
        <f t="shared" si="133"/>
        <v>0.27540000000000003</v>
      </c>
      <c r="AR110" s="396">
        <f t="shared" si="133"/>
        <v>0.24786000000000002</v>
      </c>
      <c r="AS110" s="396">
        <f t="shared" si="133"/>
        <v>0.22307400000000002</v>
      </c>
      <c r="AT110" s="396">
        <f t="shared" si="133"/>
        <v>0.20076660000000002</v>
      </c>
      <c r="AU110" s="396">
        <f t="shared" si="133"/>
        <v>0.18068994000000002</v>
      </c>
      <c r="AV110" s="396">
        <f t="shared" si="133"/>
        <v>0.16262094600000002</v>
      </c>
      <c r="AW110" s="396">
        <f t="shared" si="133"/>
        <v>0.14635885140000002</v>
      </c>
      <c r="AX110" s="396">
        <f t="shared" si="133"/>
        <v>0.13172296626000002</v>
      </c>
      <c r="AY110" s="396">
        <f t="shared" si="133"/>
        <v>0.11855066963400002</v>
      </c>
      <c r="AZ110" s="396">
        <f t="shared" si="133"/>
        <v>1.1855066963400003E-2</v>
      </c>
      <c r="BA110" s="396">
        <f t="shared" si="133"/>
        <v>1.1855066963400004E-3</v>
      </c>
    </row>
    <row r="111" spans="1:53" s="77" customFormat="1" ht="12.75" hidden="1" customHeight="1" outlineLevel="1">
      <c r="A111" s="379"/>
      <c r="B111" s="393" t="s">
        <v>423</v>
      </c>
      <c r="C111" s="394"/>
      <c r="D111" s="394"/>
      <c r="E111" s="394"/>
      <c r="F111" s="394"/>
      <c r="G111" s="394"/>
      <c r="H111" s="394"/>
      <c r="I111" s="394"/>
      <c r="J111" s="394"/>
      <c r="K111" s="394"/>
      <c r="L111" s="394"/>
      <c r="M111" s="394"/>
      <c r="N111" s="394"/>
      <c r="O111" s="394"/>
      <c r="P111" s="394"/>
      <c r="Q111" s="394"/>
      <c r="R111" s="394"/>
      <c r="S111" s="394"/>
      <c r="T111" s="394"/>
      <c r="U111" s="394"/>
      <c r="V111" s="394"/>
      <c r="W111" s="394"/>
      <c r="X111" s="394"/>
      <c r="Y111" s="394"/>
      <c r="Z111" s="394"/>
      <c r="AA111" s="394"/>
      <c r="AB111" s="394"/>
      <c r="AC111" s="396"/>
      <c r="AD111" s="396"/>
      <c r="AE111" s="396"/>
      <c r="AF111" s="396"/>
      <c r="AG111" s="396"/>
      <c r="AH111" s="396"/>
      <c r="AI111" s="396"/>
      <c r="AJ111" s="396"/>
      <c r="AK111" s="396"/>
      <c r="AL111" s="396"/>
      <c r="AM111" s="394"/>
      <c r="AN111" s="394">
        <f t="shared" ref="AN111:BA111" si="134">AN112*1.02</f>
        <v>9.1799999999999993E-2</v>
      </c>
      <c r="AO111" s="394">
        <f t="shared" si="134"/>
        <v>7.8030000000000002E-2</v>
      </c>
      <c r="AP111" s="394">
        <f t="shared" si="134"/>
        <v>6.6325499999999996E-2</v>
      </c>
      <c r="AQ111" s="394">
        <f t="shared" si="134"/>
        <v>5.6376675000000001E-2</v>
      </c>
      <c r="AR111" s="394">
        <f t="shared" si="134"/>
        <v>4.7920173749999996E-2</v>
      </c>
      <c r="AS111" s="394">
        <f t="shared" si="134"/>
        <v>4.0732147687499998E-2</v>
      </c>
      <c r="AT111" s="394">
        <f t="shared" si="134"/>
        <v>3.4622325534374998E-2</v>
      </c>
      <c r="AU111" s="394">
        <f t="shared" si="134"/>
        <v>2.9428976704218745E-2</v>
      </c>
      <c r="AV111" s="394">
        <f t="shared" si="134"/>
        <v>2.9428976704218746E-3</v>
      </c>
      <c r="AW111" s="394">
        <f t="shared" si="134"/>
        <v>2.9428976704218751E-4</v>
      </c>
      <c r="AX111" s="394">
        <f t="shared" si="134"/>
        <v>2.942897670421875E-5</v>
      </c>
      <c r="AY111" s="394">
        <f t="shared" si="134"/>
        <v>2.9428976704218754E-6</v>
      </c>
      <c r="AZ111" s="394">
        <f t="shared" si="134"/>
        <v>2.9428976704218756E-7</v>
      </c>
      <c r="BA111" s="394">
        <f t="shared" si="134"/>
        <v>2.9428976704218759E-8</v>
      </c>
    </row>
    <row r="112" spans="1:53" s="77" customFormat="1" ht="12.75" hidden="1" customHeight="1" outlineLevel="1">
      <c r="A112" s="379"/>
      <c r="B112" s="393" t="s">
        <v>424</v>
      </c>
      <c r="C112" s="394"/>
      <c r="D112" s="394"/>
      <c r="E112" s="394"/>
      <c r="F112" s="394"/>
      <c r="G112" s="394"/>
      <c r="H112" s="394"/>
      <c r="I112" s="394"/>
      <c r="J112" s="394"/>
      <c r="K112" s="394"/>
      <c r="L112" s="394"/>
      <c r="M112" s="394"/>
      <c r="N112" s="394"/>
      <c r="O112" s="394"/>
      <c r="P112" s="394"/>
      <c r="Q112" s="394"/>
      <c r="R112" s="394"/>
      <c r="S112" s="394"/>
      <c r="T112" s="394"/>
      <c r="U112" s="394"/>
      <c r="V112" s="394"/>
      <c r="W112" s="394"/>
      <c r="X112" s="394"/>
      <c r="Y112" s="394"/>
      <c r="Z112" s="394"/>
      <c r="AA112" s="394"/>
      <c r="AB112" s="394"/>
      <c r="AC112" s="396"/>
      <c r="AD112" s="396"/>
      <c r="AE112" s="396"/>
      <c r="AF112" s="396"/>
      <c r="AG112" s="396"/>
      <c r="AH112" s="396"/>
      <c r="AI112" s="396"/>
      <c r="AJ112" s="396"/>
      <c r="AK112" s="396"/>
      <c r="AL112" s="396"/>
      <c r="AM112" s="397"/>
      <c r="AN112" s="394">
        <v>0.09</v>
      </c>
      <c r="AO112" s="394">
        <f>AN112*0.85</f>
        <v>7.6499999999999999E-2</v>
      </c>
      <c r="AP112" s="716">
        <f t="shared" ref="AP112:AU112" si="135">AO112*0.85</f>
        <v>6.5024999999999999E-2</v>
      </c>
      <c r="AQ112" s="716">
        <f t="shared" si="135"/>
        <v>5.5271250000000001E-2</v>
      </c>
      <c r="AR112" s="716">
        <f t="shared" si="135"/>
        <v>4.6980562499999996E-2</v>
      </c>
      <c r="AS112" s="716">
        <f t="shared" si="135"/>
        <v>3.9933478124999998E-2</v>
      </c>
      <c r="AT112" s="716">
        <f t="shared" si="135"/>
        <v>3.3943456406249996E-2</v>
      </c>
      <c r="AU112" s="716">
        <f t="shared" si="135"/>
        <v>2.8851937945312496E-2</v>
      </c>
      <c r="AV112" s="733">
        <f t="shared" ref="AV112:BA112" si="136">AU112*0.1</f>
        <v>2.8851937945312497E-3</v>
      </c>
      <c r="AW112" s="733">
        <f t="shared" si="136"/>
        <v>2.88519379453125E-4</v>
      </c>
      <c r="AX112" s="733">
        <f t="shared" si="136"/>
        <v>2.8851937945312502E-5</v>
      </c>
      <c r="AY112" s="733">
        <f t="shared" si="136"/>
        <v>2.8851937945312502E-6</v>
      </c>
      <c r="AZ112" s="733">
        <f t="shared" si="136"/>
        <v>2.8851937945312506E-7</v>
      </c>
      <c r="BA112" s="733">
        <f t="shared" si="136"/>
        <v>2.8851937945312508E-8</v>
      </c>
    </row>
    <row r="113" spans="1:53" s="77" customFormat="1" ht="12.75" hidden="1" customHeight="1" outlineLevel="1">
      <c r="A113" s="379"/>
      <c r="B113" s="393" t="s">
        <v>425</v>
      </c>
      <c r="C113" s="394"/>
      <c r="D113" s="394"/>
      <c r="E113" s="394"/>
      <c r="F113" s="394"/>
      <c r="G113" s="394"/>
      <c r="H113" s="394"/>
      <c r="I113" s="394"/>
      <c r="J113" s="394"/>
      <c r="K113" s="394"/>
      <c r="L113" s="394"/>
      <c r="M113" s="394"/>
      <c r="N113" s="394"/>
      <c r="O113" s="394"/>
      <c r="P113" s="394"/>
      <c r="Q113" s="394"/>
      <c r="R113" s="394"/>
      <c r="S113" s="394"/>
      <c r="T113" s="394"/>
      <c r="U113" s="394"/>
      <c r="V113" s="394"/>
      <c r="W113" s="394"/>
      <c r="X113" s="394"/>
      <c r="Y113" s="394"/>
      <c r="Z113" s="394"/>
      <c r="AA113" s="394"/>
      <c r="AB113" s="394"/>
      <c r="AC113" s="396"/>
      <c r="AD113" s="396"/>
      <c r="AE113" s="396"/>
      <c r="AF113" s="396"/>
      <c r="AG113" s="396"/>
      <c r="AH113" s="396"/>
      <c r="AI113" s="396"/>
      <c r="AJ113" s="396"/>
      <c r="AK113" s="396"/>
      <c r="AL113" s="396"/>
      <c r="AM113" s="394"/>
      <c r="AN113" s="394">
        <f t="shared" ref="AN113:BA113" si="137">AN112*0.8</f>
        <v>7.1999999999999995E-2</v>
      </c>
      <c r="AO113" s="394">
        <f t="shared" si="137"/>
        <v>6.1200000000000004E-2</v>
      </c>
      <c r="AP113" s="394">
        <f t="shared" si="137"/>
        <v>5.2020000000000004E-2</v>
      </c>
      <c r="AQ113" s="394">
        <f t="shared" si="137"/>
        <v>4.4217000000000006E-2</v>
      </c>
      <c r="AR113" s="394">
        <f t="shared" si="137"/>
        <v>3.7584449999999998E-2</v>
      </c>
      <c r="AS113" s="394">
        <f t="shared" si="137"/>
        <v>3.19467825E-2</v>
      </c>
      <c r="AT113" s="394">
        <f t="shared" si="137"/>
        <v>2.7154765124999997E-2</v>
      </c>
      <c r="AU113" s="394">
        <f t="shared" si="137"/>
        <v>2.3081550356249998E-2</v>
      </c>
      <c r="AV113" s="394">
        <f t="shared" si="137"/>
        <v>2.308155035625E-3</v>
      </c>
      <c r="AW113" s="394">
        <f t="shared" si="137"/>
        <v>2.3081550356250001E-4</v>
      </c>
      <c r="AX113" s="394">
        <f t="shared" si="137"/>
        <v>2.3081550356250002E-5</v>
      </c>
      <c r="AY113" s="394">
        <f t="shared" si="137"/>
        <v>2.3081550356250004E-6</v>
      </c>
      <c r="AZ113" s="394">
        <f t="shared" si="137"/>
        <v>2.3081550356250007E-7</v>
      </c>
      <c r="BA113" s="394">
        <f t="shared" si="137"/>
        <v>2.3081550356250007E-8</v>
      </c>
    </row>
    <row r="114" spans="1:53" s="77" customFormat="1" ht="12.75" customHeight="1" collapsed="1">
      <c r="A114" s="379" t="s">
        <v>578</v>
      </c>
      <c r="B114" s="395" t="str">
        <f>B79</f>
        <v>Odefsey (2025 Expiry)</v>
      </c>
      <c r="C114" s="394"/>
      <c r="D114" s="394"/>
      <c r="E114" s="394"/>
      <c r="F114" s="394"/>
      <c r="G114" s="394"/>
      <c r="H114" s="394"/>
      <c r="I114" s="394"/>
      <c r="J114" s="394"/>
      <c r="K114" s="394"/>
      <c r="L114" s="394"/>
      <c r="M114" s="394"/>
      <c r="N114" s="394"/>
      <c r="O114" s="394"/>
      <c r="P114" s="394"/>
      <c r="Q114" s="394"/>
      <c r="R114" s="394"/>
      <c r="S114" s="394"/>
      <c r="T114" s="394"/>
      <c r="U114" s="394"/>
      <c r="V114" s="394"/>
      <c r="W114" s="394"/>
      <c r="X114" s="394"/>
      <c r="Y114" s="394"/>
      <c r="Z114" s="394"/>
      <c r="AA114" s="394"/>
      <c r="AB114" s="394"/>
      <c r="AC114" s="396"/>
      <c r="AD114" s="396"/>
      <c r="AE114" s="396"/>
      <c r="AF114" s="396"/>
      <c r="AG114" s="396"/>
      <c r="AH114" s="396"/>
      <c r="AI114" s="720">
        <v>0</v>
      </c>
      <c r="AJ114" s="720">
        <v>0.06</v>
      </c>
      <c r="AK114" s="720">
        <v>0.08</v>
      </c>
      <c r="AL114" s="720">
        <v>0.08</v>
      </c>
      <c r="AM114" s="716">
        <f>AVERAGE(AI114:AL114)</f>
        <v>5.5000000000000007E-2</v>
      </c>
      <c r="AN114" s="396">
        <f t="shared" ref="AN114:BA114" si="138">CHOOSE($U$1,AN111,AN112,AN113)</f>
        <v>0.09</v>
      </c>
      <c r="AO114" s="396">
        <f t="shared" si="138"/>
        <v>7.6499999999999999E-2</v>
      </c>
      <c r="AP114" s="396">
        <f t="shared" si="138"/>
        <v>6.5024999999999999E-2</v>
      </c>
      <c r="AQ114" s="396">
        <f t="shared" si="138"/>
        <v>5.5271250000000001E-2</v>
      </c>
      <c r="AR114" s="396">
        <f t="shared" si="138"/>
        <v>4.6980562499999996E-2</v>
      </c>
      <c r="AS114" s="396">
        <f t="shared" si="138"/>
        <v>3.9933478124999998E-2</v>
      </c>
      <c r="AT114" s="396">
        <f t="shared" si="138"/>
        <v>3.3943456406249996E-2</v>
      </c>
      <c r="AU114" s="396">
        <f t="shared" si="138"/>
        <v>2.8851937945312496E-2</v>
      </c>
      <c r="AV114" s="396">
        <f t="shared" si="138"/>
        <v>2.8851937945312497E-3</v>
      </c>
      <c r="AW114" s="396">
        <f t="shared" si="138"/>
        <v>2.88519379453125E-4</v>
      </c>
      <c r="AX114" s="396">
        <f t="shared" si="138"/>
        <v>2.8851937945312502E-5</v>
      </c>
      <c r="AY114" s="396">
        <f t="shared" si="138"/>
        <v>2.8851937945312502E-6</v>
      </c>
      <c r="AZ114" s="396">
        <f t="shared" si="138"/>
        <v>2.8851937945312506E-7</v>
      </c>
      <c r="BA114" s="396">
        <f t="shared" si="138"/>
        <v>2.8851937945312508E-8</v>
      </c>
    </row>
    <row r="115" spans="1:53" s="77" customFormat="1" ht="12.75" hidden="1" customHeight="1" outlineLevel="1">
      <c r="A115" s="379"/>
      <c r="B115" s="393" t="s">
        <v>423</v>
      </c>
      <c r="C115" s="394"/>
      <c r="D115" s="394"/>
      <c r="E115" s="394"/>
      <c r="F115" s="394"/>
      <c r="G115" s="394"/>
      <c r="H115" s="394"/>
      <c r="I115" s="394"/>
      <c r="J115" s="394"/>
      <c r="K115" s="394"/>
      <c r="L115" s="394"/>
      <c r="M115" s="394"/>
      <c r="N115" s="394"/>
      <c r="O115" s="394"/>
      <c r="P115" s="394"/>
      <c r="Q115" s="394"/>
      <c r="R115" s="394"/>
      <c r="S115" s="394"/>
      <c r="T115" s="394"/>
      <c r="U115" s="394"/>
      <c r="V115" s="394"/>
      <c r="W115" s="394"/>
      <c r="X115" s="394"/>
      <c r="Y115" s="394"/>
      <c r="Z115" s="394"/>
      <c r="AA115" s="394"/>
      <c r="AB115" s="394"/>
      <c r="AC115" s="396"/>
      <c r="AD115" s="396"/>
      <c r="AE115" s="396"/>
      <c r="AF115" s="396"/>
      <c r="AG115" s="396"/>
      <c r="AH115" s="396"/>
      <c r="AI115" s="396"/>
      <c r="AJ115" s="396"/>
      <c r="AK115" s="396"/>
      <c r="AL115" s="396"/>
      <c r="AM115" s="394"/>
      <c r="AN115" s="394">
        <f t="shared" ref="AN115:BA115" si="139">AN116*1.02</f>
        <v>8.1600000000000006E-2</v>
      </c>
      <c r="AO115" s="394">
        <f t="shared" si="139"/>
        <v>0.1275</v>
      </c>
      <c r="AP115" s="394">
        <f t="shared" si="139"/>
        <v>0.121125</v>
      </c>
      <c r="AQ115" s="394">
        <f t="shared" si="139"/>
        <v>0.11809687499999999</v>
      </c>
      <c r="AR115" s="394">
        <f t="shared" si="139"/>
        <v>0.11514445312499999</v>
      </c>
      <c r="AS115" s="394">
        <f t="shared" si="139"/>
        <v>0.11226584179687499</v>
      </c>
      <c r="AT115" s="394">
        <f t="shared" si="139"/>
        <v>0.10945919575195311</v>
      </c>
      <c r="AU115" s="394">
        <f t="shared" si="139"/>
        <v>0.10672271585815428</v>
      </c>
      <c r="AV115" s="394">
        <f t="shared" si="139"/>
        <v>1.0672271585815428E-2</v>
      </c>
      <c r="AW115" s="394">
        <f t="shared" si="139"/>
        <v>1.0672271585815429E-3</v>
      </c>
      <c r="AX115" s="394">
        <f t="shared" si="139"/>
        <v>1.067227158581543E-4</v>
      </c>
      <c r="AY115" s="394">
        <f t="shared" si="139"/>
        <v>1.067227158581543E-5</v>
      </c>
      <c r="AZ115" s="394">
        <f t="shared" si="139"/>
        <v>1.0672271585815431E-6</v>
      </c>
      <c r="BA115" s="394">
        <f t="shared" si="139"/>
        <v>1.0672271585815433E-7</v>
      </c>
    </row>
    <row r="116" spans="1:53" s="77" customFormat="1" ht="12.75" hidden="1" customHeight="1" outlineLevel="1">
      <c r="A116" s="379"/>
      <c r="B116" s="393" t="s">
        <v>424</v>
      </c>
      <c r="C116" s="394"/>
      <c r="D116" s="394"/>
      <c r="E116" s="394"/>
      <c r="F116" s="394"/>
      <c r="G116" s="394"/>
      <c r="H116" s="394"/>
      <c r="I116" s="394"/>
      <c r="J116" s="394"/>
      <c r="K116" s="394"/>
      <c r="L116" s="394"/>
      <c r="M116" s="394"/>
      <c r="N116" s="394"/>
      <c r="O116" s="394"/>
      <c r="P116" s="394"/>
      <c r="Q116" s="394"/>
      <c r="R116" s="394"/>
      <c r="S116" s="394"/>
      <c r="T116" s="394"/>
      <c r="U116" s="394"/>
      <c r="V116" s="394"/>
      <c r="W116" s="394"/>
      <c r="X116" s="394"/>
      <c r="Y116" s="394"/>
      <c r="Z116" s="394"/>
      <c r="AA116" s="394"/>
      <c r="AB116" s="394"/>
      <c r="AC116" s="396"/>
      <c r="AD116" s="396"/>
      <c r="AE116" s="396"/>
      <c r="AF116" s="396"/>
      <c r="AG116" s="396"/>
      <c r="AH116" s="396"/>
      <c r="AI116" s="396"/>
      <c r="AJ116" s="396"/>
      <c r="AK116" s="396"/>
      <c r="AL116" s="396"/>
      <c r="AM116" s="397"/>
      <c r="AN116" s="394">
        <v>0.08</v>
      </c>
      <c r="AO116" s="394">
        <v>0.125</v>
      </c>
      <c r="AP116" s="394">
        <f>AO116*0.95</f>
        <v>0.11874999999999999</v>
      </c>
      <c r="AQ116" s="716">
        <f>AP116*0.975</f>
        <v>0.11578124999999999</v>
      </c>
      <c r="AR116" s="716">
        <f>AQ116*0.975</f>
        <v>0.11288671874999999</v>
      </c>
      <c r="AS116" s="716">
        <f>AR116*0.975</f>
        <v>0.11006455078124999</v>
      </c>
      <c r="AT116" s="716">
        <f>AS116*0.975</f>
        <v>0.10731293701171873</v>
      </c>
      <c r="AU116" s="716">
        <f>AT116*0.975</f>
        <v>0.10463011358642577</v>
      </c>
      <c r="AV116" s="733">
        <f t="shared" ref="AV116:BA116" si="140">AU116*0.1</f>
        <v>1.0463011358642577E-2</v>
      </c>
      <c r="AW116" s="733">
        <f t="shared" si="140"/>
        <v>1.0463011358642577E-3</v>
      </c>
      <c r="AX116" s="733">
        <f t="shared" si="140"/>
        <v>1.0463011358642578E-4</v>
      </c>
      <c r="AY116" s="733">
        <f t="shared" si="140"/>
        <v>1.0463011358642579E-5</v>
      </c>
      <c r="AZ116" s="733">
        <f t="shared" si="140"/>
        <v>1.046301135864258E-6</v>
      </c>
      <c r="BA116" s="733">
        <f t="shared" si="140"/>
        <v>1.0463011358642581E-7</v>
      </c>
    </row>
    <row r="117" spans="1:53" s="77" customFormat="1" ht="12.75" hidden="1" customHeight="1" outlineLevel="1">
      <c r="A117" s="379"/>
      <c r="B117" s="393" t="s">
        <v>425</v>
      </c>
      <c r="C117" s="394"/>
      <c r="D117" s="394"/>
      <c r="E117" s="394"/>
      <c r="F117" s="394"/>
      <c r="G117" s="394"/>
      <c r="H117" s="394"/>
      <c r="I117" s="394"/>
      <c r="J117" s="394"/>
      <c r="K117" s="394"/>
      <c r="L117" s="394"/>
      <c r="M117" s="394"/>
      <c r="N117" s="394"/>
      <c r="O117" s="394"/>
      <c r="P117" s="394"/>
      <c r="Q117" s="394"/>
      <c r="R117" s="394"/>
      <c r="S117" s="394"/>
      <c r="T117" s="394"/>
      <c r="U117" s="394"/>
      <c r="V117" s="394"/>
      <c r="W117" s="394"/>
      <c r="X117" s="394"/>
      <c r="Y117" s="394"/>
      <c r="Z117" s="394"/>
      <c r="AA117" s="394"/>
      <c r="AB117" s="394"/>
      <c r="AC117" s="396"/>
      <c r="AD117" s="396"/>
      <c r="AE117" s="396"/>
      <c r="AF117" s="396"/>
      <c r="AG117" s="396"/>
      <c r="AH117" s="396"/>
      <c r="AI117" s="396"/>
      <c r="AJ117" s="396"/>
      <c r="AK117" s="396"/>
      <c r="AL117" s="396"/>
      <c r="AM117" s="394"/>
      <c r="AN117" s="394">
        <f t="shared" ref="AN117:BA117" si="141">AN116*0.8</f>
        <v>6.4000000000000001E-2</v>
      </c>
      <c r="AO117" s="394">
        <f t="shared" si="141"/>
        <v>0.1</v>
      </c>
      <c r="AP117" s="394">
        <f t="shared" si="141"/>
        <v>9.5000000000000001E-2</v>
      </c>
      <c r="AQ117" s="394">
        <f t="shared" si="141"/>
        <v>9.2624999999999999E-2</v>
      </c>
      <c r="AR117" s="394">
        <f t="shared" si="141"/>
        <v>9.0309374999999997E-2</v>
      </c>
      <c r="AS117" s="394">
        <f t="shared" si="141"/>
        <v>8.8051640624999997E-2</v>
      </c>
      <c r="AT117" s="394">
        <f t="shared" si="141"/>
        <v>8.5850349609374987E-2</v>
      </c>
      <c r="AU117" s="394">
        <f t="shared" si="141"/>
        <v>8.3704090869140615E-2</v>
      </c>
      <c r="AV117" s="394">
        <f t="shared" si="141"/>
        <v>8.3704090869140615E-3</v>
      </c>
      <c r="AW117" s="394">
        <f t="shared" si="141"/>
        <v>8.3704090869140624E-4</v>
      </c>
      <c r="AX117" s="394">
        <f t="shared" si="141"/>
        <v>8.3704090869140632E-5</v>
      </c>
      <c r="AY117" s="394">
        <f t="shared" si="141"/>
        <v>8.3704090869140642E-6</v>
      </c>
      <c r="AZ117" s="394">
        <f t="shared" si="141"/>
        <v>8.3704090869140647E-7</v>
      </c>
      <c r="BA117" s="394">
        <f t="shared" si="141"/>
        <v>8.3704090869140655E-8</v>
      </c>
    </row>
    <row r="118" spans="1:53" s="77" customFormat="1" ht="12.75" customHeight="1" collapsed="1">
      <c r="A118" s="379" t="s">
        <v>578</v>
      </c>
      <c r="B118" s="395" t="str">
        <f>B80</f>
        <v>Descovy (2025 Expiry)</v>
      </c>
      <c r="C118" s="394"/>
      <c r="D118" s="394"/>
      <c r="E118" s="394"/>
      <c r="F118" s="394"/>
      <c r="G118" s="394"/>
      <c r="H118" s="394"/>
      <c r="I118" s="394"/>
      <c r="J118" s="394"/>
      <c r="K118" s="394"/>
      <c r="L118" s="394"/>
      <c r="M118" s="394"/>
      <c r="N118" s="394"/>
      <c r="O118" s="394"/>
      <c r="P118" s="394"/>
      <c r="Q118" s="394"/>
      <c r="R118" s="394"/>
      <c r="S118" s="394"/>
      <c r="T118" s="394"/>
      <c r="U118" s="394"/>
      <c r="V118" s="394"/>
      <c r="W118" s="394"/>
      <c r="X118" s="394"/>
      <c r="Y118" s="394"/>
      <c r="Z118" s="394"/>
      <c r="AA118" s="394"/>
      <c r="AB118" s="394"/>
      <c r="AC118" s="396"/>
      <c r="AD118" s="396"/>
      <c r="AE118" s="396"/>
      <c r="AF118" s="396"/>
      <c r="AG118" s="396"/>
      <c r="AH118" s="396"/>
      <c r="AI118" s="720">
        <v>0</v>
      </c>
      <c r="AJ118" s="720">
        <v>0.02</v>
      </c>
      <c r="AK118" s="720">
        <v>0.04</v>
      </c>
      <c r="AL118" s="720">
        <v>0.08</v>
      </c>
      <c r="AM118" s="716">
        <f>AVERAGE(AI118:AL118)</f>
        <v>3.5000000000000003E-2</v>
      </c>
      <c r="AN118" s="396">
        <f t="shared" ref="AN118:BA118" si="142">CHOOSE($U$1,AN115,AN116,AN117)</f>
        <v>0.08</v>
      </c>
      <c r="AO118" s="396">
        <f t="shared" si="142"/>
        <v>0.125</v>
      </c>
      <c r="AP118" s="396">
        <f t="shared" si="142"/>
        <v>0.11874999999999999</v>
      </c>
      <c r="AQ118" s="396">
        <f t="shared" si="142"/>
        <v>0.11578124999999999</v>
      </c>
      <c r="AR118" s="396">
        <f t="shared" si="142"/>
        <v>0.11288671874999999</v>
      </c>
      <c r="AS118" s="396">
        <f t="shared" si="142"/>
        <v>0.11006455078124999</v>
      </c>
      <c r="AT118" s="396">
        <f t="shared" si="142"/>
        <v>0.10731293701171873</v>
      </c>
      <c r="AU118" s="396">
        <f t="shared" si="142"/>
        <v>0.10463011358642577</v>
      </c>
      <c r="AV118" s="396">
        <f t="shared" si="142"/>
        <v>1.0463011358642577E-2</v>
      </c>
      <c r="AW118" s="396">
        <f t="shared" si="142"/>
        <v>1.0463011358642577E-3</v>
      </c>
      <c r="AX118" s="396">
        <f t="shared" si="142"/>
        <v>1.0463011358642578E-4</v>
      </c>
      <c r="AY118" s="396">
        <f t="shared" si="142"/>
        <v>1.0463011358642579E-5</v>
      </c>
      <c r="AZ118" s="396">
        <f t="shared" si="142"/>
        <v>1.046301135864258E-6</v>
      </c>
      <c r="BA118" s="396">
        <f t="shared" si="142"/>
        <v>1.0463011358642581E-7</v>
      </c>
    </row>
    <row r="119" spans="1:53" s="77" customFormat="1" ht="12.75" hidden="1" customHeight="1" outlineLevel="1">
      <c r="A119" s="379"/>
      <c r="B119" s="393" t="s">
        <v>423</v>
      </c>
      <c r="C119" s="394"/>
      <c r="D119" s="394"/>
      <c r="E119" s="394"/>
      <c r="F119" s="394"/>
      <c r="G119" s="394"/>
      <c r="H119" s="394"/>
      <c r="I119" s="394"/>
      <c r="J119" s="394"/>
      <c r="K119" s="394"/>
      <c r="L119" s="394"/>
      <c r="M119" s="394"/>
      <c r="N119" s="394"/>
      <c r="O119" s="394"/>
      <c r="P119" s="394"/>
      <c r="Q119" s="394"/>
      <c r="R119" s="394"/>
      <c r="S119" s="394"/>
      <c r="T119" s="394"/>
      <c r="U119" s="394"/>
      <c r="V119" s="394"/>
      <c r="W119" s="394"/>
      <c r="X119" s="394"/>
      <c r="Y119" s="394"/>
      <c r="Z119" s="394"/>
      <c r="AA119" s="394"/>
      <c r="AB119" s="394"/>
      <c r="AC119" s="396"/>
      <c r="AD119" s="396"/>
      <c r="AE119" s="396"/>
      <c r="AF119" s="396"/>
      <c r="AG119" s="396"/>
      <c r="AH119" s="396"/>
      <c r="AI119" s="396"/>
      <c r="AJ119" s="396"/>
      <c r="AK119" s="396"/>
      <c r="AL119" s="396"/>
      <c r="AM119" s="394"/>
      <c r="AN119" s="394">
        <f t="shared" ref="AN119:BA119" si="143">AN120*1.02</f>
        <v>0</v>
      </c>
      <c r="AO119" s="394">
        <f t="shared" si="143"/>
        <v>7.1400000000000005E-2</v>
      </c>
      <c r="AP119" s="394">
        <f t="shared" si="143"/>
        <v>0.10200000000000001</v>
      </c>
      <c r="AQ119" s="394">
        <f t="shared" si="143"/>
        <v>0.153</v>
      </c>
      <c r="AR119" s="394">
        <f t="shared" si="143"/>
        <v>0.20400000000000001</v>
      </c>
      <c r="AS119" s="394">
        <f t="shared" si="143"/>
        <v>0.255</v>
      </c>
      <c r="AT119" s="394">
        <f t="shared" si="143"/>
        <v>0.26519999999999999</v>
      </c>
      <c r="AU119" s="394">
        <f t="shared" si="143"/>
        <v>0.27540000000000003</v>
      </c>
      <c r="AV119" s="394">
        <f t="shared" si="143"/>
        <v>0.27540000000000003</v>
      </c>
      <c r="AW119" s="394">
        <f t="shared" si="143"/>
        <v>0.27540000000000003</v>
      </c>
      <c r="AX119" s="394">
        <f t="shared" si="143"/>
        <v>0.27540000000000003</v>
      </c>
      <c r="AY119" s="394">
        <f t="shared" si="143"/>
        <v>0.27540000000000003</v>
      </c>
      <c r="AZ119" s="394">
        <f t="shared" si="143"/>
        <v>0.27540000000000003</v>
      </c>
      <c r="BA119" s="394">
        <f t="shared" si="143"/>
        <v>0.27540000000000003</v>
      </c>
    </row>
    <row r="120" spans="1:53" s="77" customFormat="1" ht="12.75" hidden="1" customHeight="1" outlineLevel="1">
      <c r="A120" s="379"/>
      <c r="B120" s="393" t="s">
        <v>424</v>
      </c>
      <c r="C120" s="394"/>
      <c r="D120" s="394"/>
      <c r="E120" s="394"/>
      <c r="F120" s="394"/>
      <c r="G120" s="394"/>
      <c r="H120" s="394"/>
      <c r="I120" s="394"/>
      <c r="J120" s="394"/>
      <c r="K120" s="394"/>
      <c r="L120" s="394"/>
      <c r="M120" s="394"/>
      <c r="N120" s="394"/>
      <c r="O120" s="394"/>
      <c r="P120" s="394"/>
      <c r="Q120" s="394"/>
      <c r="R120" s="394"/>
      <c r="S120" s="394"/>
      <c r="T120" s="394"/>
      <c r="U120" s="394"/>
      <c r="V120" s="394"/>
      <c r="W120" s="394"/>
      <c r="X120" s="394"/>
      <c r="Y120" s="394"/>
      <c r="Z120" s="394"/>
      <c r="AA120" s="394"/>
      <c r="AB120" s="394"/>
      <c r="AC120" s="396"/>
      <c r="AD120" s="396"/>
      <c r="AE120" s="396"/>
      <c r="AF120" s="396"/>
      <c r="AG120" s="396"/>
      <c r="AH120" s="396"/>
      <c r="AI120" s="396"/>
      <c r="AJ120" s="396"/>
      <c r="AK120" s="396"/>
      <c r="AL120" s="396"/>
      <c r="AM120" s="397"/>
      <c r="AN120" s="394">
        <v>0</v>
      </c>
      <c r="AO120" s="718">
        <v>7.0000000000000007E-2</v>
      </c>
      <c r="AP120" s="716">
        <v>0.1</v>
      </c>
      <c r="AQ120" s="716">
        <v>0.15</v>
      </c>
      <c r="AR120" s="716">
        <v>0.2</v>
      </c>
      <c r="AS120" s="716">
        <v>0.25</v>
      </c>
      <c r="AT120" s="716">
        <v>0.26</v>
      </c>
      <c r="AU120" s="716">
        <v>0.27</v>
      </c>
      <c r="AV120" s="716">
        <f t="shared" ref="AV120:BA120" si="144">AU120</f>
        <v>0.27</v>
      </c>
      <c r="AW120" s="716">
        <f t="shared" si="144"/>
        <v>0.27</v>
      </c>
      <c r="AX120" s="716">
        <f t="shared" si="144"/>
        <v>0.27</v>
      </c>
      <c r="AY120" s="394">
        <f t="shared" si="144"/>
        <v>0.27</v>
      </c>
      <c r="AZ120" s="716">
        <f t="shared" si="144"/>
        <v>0.27</v>
      </c>
      <c r="BA120" s="716">
        <f t="shared" si="144"/>
        <v>0.27</v>
      </c>
    </row>
    <row r="121" spans="1:53" s="77" customFormat="1" ht="12.75" hidden="1" customHeight="1" outlineLevel="1">
      <c r="A121" s="379"/>
      <c r="B121" s="393" t="s">
        <v>425</v>
      </c>
      <c r="C121" s="394"/>
      <c r="D121" s="394"/>
      <c r="E121" s="394"/>
      <c r="F121" s="394"/>
      <c r="G121" s="394"/>
      <c r="H121" s="394"/>
      <c r="I121" s="394"/>
      <c r="J121" s="394"/>
      <c r="K121" s="394"/>
      <c r="L121" s="394"/>
      <c r="M121" s="394"/>
      <c r="N121" s="394"/>
      <c r="O121" s="394"/>
      <c r="P121" s="394"/>
      <c r="Q121" s="394"/>
      <c r="R121" s="394"/>
      <c r="S121" s="394"/>
      <c r="T121" s="394"/>
      <c r="U121" s="394"/>
      <c r="V121" s="394"/>
      <c r="W121" s="394"/>
      <c r="X121" s="394"/>
      <c r="Y121" s="394"/>
      <c r="Z121" s="394"/>
      <c r="AA121" s="394"/>
      <c r="AB121" s="394"/>
      <c r="AC121" s="396"/>
      <c r="AD121" s="396"/>
      <c r="AE121" s="396"/>
      <c r="AF121" s="396"/>
      <c r="AG121" s="396"/>
      <c r="AH121" s="396"/>
      <c r="AI121" s="396"/>
      <c r="AJ121" s="396"/>
      <c r="AK121" s="396"/>
      <c r="AL121" s="396"/>
      <c r="AM121" s="394"/>
      <c r="AN121" s="394">
        <f t="shared" ref="AN121:BA121" si="145">AN120*0.8</f>
        <v>0</v>
      </c>
      <c r="AO121" s="394">
        <f t="shared" si="145"/>
        <v>5.6000000000000008E-2</v>
      </c>
      <c r="AP121" s="394">
        <f t="shared" si="145"/>
        <v>8.0000000000000016E-2</v>
      </c>
      <c r="AQ121" s="394">
        <f t="shared" si="145"/>
        <v>0.12</v>
      </c>
      <c r="AR121" s="394">
        <f t="shared" si="145"/>
        <v>0.16000000000000003</v>
      </c>
      <c r="AS121" s="394">
        <f t="shared" si="145"/>
        <v>0.2</v>
      </c>
      <c r="AT121" s="394">
        <f t="shared" si="145"/>
        <v>0.20800000000000002</v>
      </c>
      <c r="AU121" s="394">
        <f t="shared" si="145"/>
        <v>0.21600000000000003</v>
      </c>
      <c r="AV121" s="394">
        <f t="shared" si="145"/>
        <v>0.21600000000000003</v>
      </c>
      <c r="AW121" s="394">
        <f t="shared" si="145"/>
        <v>0.21600000000000003</v>
      </c>
      <c r="AX121" s="394">
        <f t="shared" si="145"/>
        <v>0.21600000000000003</v>
      </c>
      <c r="AY121" s="394">
        <f t="shared" si="145"/>
        <v>0.21600000000000003</v>
      </c>
      <c r="AZ121" s="394">
        <f t="shared" si="145"/>
        <v>0.21600000000000003</v>
      </c>
      <c r="BA121" s="394">
        <f t="shared" si="145"/>
        <v>0.21600000000000003</v>
      </c>
    </row>
    <row r="122" spans="1:53" s="77" customFormat="1" ht="12.75" customHeight="1" collapsed="1">
      <c r="A122" s="379" t="s">
        <v>578</v>
      </c>
      <c r="B122" s="395" t="str">
        <f>B63</f>
        <v>GS-9883/F/TAF (2033 Expiry)</v>
      </c>
      <c r="C122" s="394"/>
      <c r="D122" s="394"/>
      <c r="E122" s="394"/>
      <c r="F122" s="394"/>
      <c r="G122" s="394"/>
      <c r="H122" s="394"/>
      <c r="I122" s="394"/>
      <c r="J122" s="394"/>
      <c r="K122" s="394"/>
      <c r="L122" s="394"/>
      <c r="M122" s="394"/>
      <c r="N122" s="394"/>
      <c r="O122" s="394"/>
      <c r="P122" s="394"/>
      <c r="Q122" s="394"/>
      <c r="R122" s="394"/>
      <c r="S122" s="394"/>
      <c r="T122" s="394"/>
      <c r="U122" s="394"/>
      <c r="V122" s="394"/>
      <c r="W122" s="394"/>
      <c r="X122" s="394"/>
      <c r="Y122" s="394"/>
      <c r="Z122" s="394"/>
      <c r="AA122" s="394"/>
      <c r="AB122" s="394"/>
      <c r="AC122" s="396"/>
      <c r="AD122" s="396"/>
      <c r="AE122" s="396"/>
      <c r="AF122" s="396"/>
      <c r="AG122" s="396"/>
      <c r="AH122" s="396"/>
      <c r="AI122" s="396"/>
      <c r="AJ122" s="396"/>
      <c r="AK122" s="396"/>
      <c r="AL122" s="396"/>
      <c r="AM122" s="718">
        <v>0</v>
      </c>
      <c r="AN122" s="396">
        <f t="shared" ref="AN122:BA122" si="146">CHOOSE($U$1,AN119,AN120,AN121)</f>
        <v>0</v>
      </c>
      <c r="AO122" s="396">
        <f t="shared" si="146"/>
        <v>7.0000000000000007E-2</v>
      </c>
      <c r="AP122" s="396">
        <f t="shared" si="146"/>
        <v>0.1</v>
      </c>
      <c r="AQ122" s="396">
        <f t="shared" si="146"/>
        <v>0.15</v>
      </c>
      <c r="AR122" s="396">
        <f t="shared" si="146"/>
        <v>0.2</v>
      </c>
      <c r="AS122" s="396">
        <f t="shared" si="146"/>
        <v>0.25</v>
      </c>
      <c r="AT122" s="396">
        <f t="shared" si="146"/>
        <v>0.26</v>
      </c>
      <c r="AU122" s="396">
        <f t="shared" si="146"/>
        <v>0.27</v>
      </c>
      <c r="AV122" s="396">
        <f t="shared" si="146"/>
        <v>0.27</v>
      </c>
      <c r="AW122" s="396">
        <f t="shared" si="146"/>
        <v>0.27</v>
      </c>
      <c r="AX122" s="396">
        <f t="shared" si="146"/>
        <v>0.27</v>
      </c>
      <c r="AY122" s="396">
        <f t="shared" si="146"/>
        <v>0.27</v>
      </c>
      <c r="AZ122" s="396">
        <f t="shared" si="146"/>
        <v>0.27</v>
      </c>
      <c r="BA122" s="396">
        <f t="shared" si="146"/>
        <v>0.27</v>
      </c>
    </row>
    <row r="123" spans="1:53" s="77" customFormat="1" ht="12.75" customHeight="1">
      <c r="A123" s="384"/>
      <c r="B123" s="218" t="s">
        <v>68</v>
      </c>
      <c r="F123" s="694">
        <v>0.11</v>
      </c>
      <c r="G123" s="694">
        <v>0.15</v>
      </c>
      <c r="H123" s="694">
        <v>2.4500000000000001E-2</v>
      </c>
      <c r="I123" s="694">
        <v>0.02</v>
      </c>
      <c r="J123" s="694">
        <v>1.4999999999999999E-2</v>
      </c>
      <c r="K123" s="694">
        <v>1.4999999999999999E-2</v>
      </c>
      <c r="L123" s="694">
        <v>8.9999999999999993E-3</v>
      </c>
      <c r="M123" s="694">
        <v>8.0000000000000002E-3</v>
      </c>
      <c r="N123" s="694">
        <v>8.0000000000000002E-3</v>
      </c>
      <c r="O123" s="694">
        <v>6.0000000000000001E-3</v>
      </c>
      <c r="P123" s="694">
        <v>6.0000000000000001E-3</v>
      </c>
      <c r="Q123" s="694">
        <v>6.0000000000000001E-3</v>
      </c>
      <c r="R123" s="694">
        <v>6.0000000000000001E-3</v>
      </c>
      <c r="S123" s="694">
        <v>6.0000000000000001E-3</v>
      </c>
      <c r="T123" s="719">
        <v>5.4999999999999997E-3</v>
      </c>
      <c r="U123" s="719">
        <v>5.4999999999999997E-3</v>
      </c>
      <c r="V123" s="719">
        <v>5.4999999999999997E-3</v>
      </c>
      <c r="W123" s="719">
        <v>5.4999999999999997E-3</v>
      </c>
      <c r="X123" s="694">
        <v>5.4999999999999997E-3</v>
      </c>
      <c r="Y123" s="719">
        <v>5.4999999999999997E-3</v>
      </c>
      <c r="Z123" s="719">
        <v>5.4999999999999997E-3</v>
      </c>
      <c r="AA123" s="719">
        <v>5.4999999999999997E-3</v>
      </c>
      <c r="AB123" s="719">
        <v>5.4999999999999997E-3</v>
      </c>
      <c r="AC123" s="694">
        <v>4.9999999999999992E-3</v>
      </c>
      <c r="AD123" s="719">
        <v>5.4999999999999997E-3</v>
      </c>
      <c r="AE123" s="719">
        <v>5.4999999999999997E-3</v>
      </c>
      <c r="AF123" s="719">
        <v>5.4999999999999997E-3</v>
      </c>
      <c r="AG123" s="719">
        <v>5.4999999999999997E-3</v>
      </c>
      <c r="AH123" s="77">
        <v>6.0000000000000001E-3</v>
      </c>
      <c r="AI123" s="719">
        <v>5.4999999999999997E-3</v>
      </c>
      <c r="AJ123" s="719">
        <v>5.4999999999999997E-3</v>
      </c>
      <c r="AK123" s="719">
        <v>5.4999999999999997E-3</v>
      </c>
      <c r="AL123" s="719">
        <v>5.4999999999999997E-3</v>
      </c>
      <c r="AM123" s="77">
        <f>AH123+0.1%</f>
        <v>7.0000000000000001E-3</v>
      </c>
      <c r="AN123" s="77">
        <f>AM123+0.1%</f>
        <v>8.0000000000000002E-3</v>
      </c>
      <c r="AO123" s="77">
        <f>AN123+0.1%</f>
        <v>9.0000000000000011E-3</v>
      </c>
      <c r="AP123" s="77">
        <f>AO123+0.1%</f>
        <v>1.0000000000000002E-2</v>
      </c>
      <c r="AQ123" s="77">
        <f>AP123+0.1%</f>
        <v>1.1000000000000003E-2</v>
      </c>
      <c r="AR123" s="77">
        <f t="shared" ref="AR123:AY123" si="147">AQ123+0.1%</f>
        <v>1.2000000000000004E-2</v>
      </c>
      <c r="AS123" s="77">
        <f t="shared" si="147"/>
        <v>1.3000000000000005E-2</v>
      </c>
      <c r="AT123" s="77">
        <f t="shared" si="147"/>
        <v>1.4000000000000005E-2</v>
      </c>
      <c r="AU123" s="77">
        <f t="shared" si="147"/>
        <v>1.5000000000000006E-2</v>
      </c>
      <c r="AV123" s="77">
        <f t="shared" si="147"/>
        <v>1.6000000000000007E-2</v>
      </c>
      <c r="AW123" s="77">
        <f t="shared" si="147"/>
        <v>1.7000000000000008E-2</v>
      </c>
      <c r="AX123" s="77">
        <f t="shared" si="147"/>
        <v>1.8000000000000009E-2</v>
      </c>
      <c r="AY123" s="77">
        <f t="shared" si="147"/>
        <v>1.900000000000001E-2</v>
      </c>
      <c r="AZ123" s="403">
        <f>AY123*0.1</f>
        <v>1.9000000000000011E-3</v>
      </c>
      <c r="BA123" s="403">
        <f>AZ123*0.1</f>
        <v>1.9000000000000012E-4</v>
      </c>
    </row>
    <row r="124" spans="1:53" s="119" customFormat="1" ht="12.75" customHeight="1">
      <c r="A124" s="399"/>
      <c r="B124" s="224" t="s">
        <v>441</v>
      </c>
      <c r="C124" s="225"/>
      <c r="D124" s="225">
        <f t="shared" ref="D124:AB124" si="148">D90+D98+D106+D102+D123+D94+D110+D114+D118+D122</f>
        <v>0.03</v>
      </c>
      <c r="E124" s="225">
        <f t="shared" si="148"/>
        <v>0.06</v>
      </c>
      <c r="F124" s="225">
        <f t="shared" si="148"/>
        <v>0.26</v>
      </c>
      <c r="G124" s="225">
        <f t="shared" si="148"/>
        <v>0.55299999999999994</v>
      </c>
      <c r="H124" s="225">
        <f t="shared" si="148"/>
        <v>0.6845</v>
      </c>
      <c r="I124" s="225">
        <f t="shared" si="148"/>
        <v>0.78</v>
      </c>
      <c r="J124" s="225">
        <f t="shared" si="148"/>
        <v>0.83499999999999996</v>
      </c>
      <c r="K124" s="225">
        <f t="shared" si="148"/>
        <v>0.85000000000000009</v>
      </c>
      <c r="L124" s="225">
        <f t="shared" si="148"/>
        <v>0.88400000000000001</v>
      </c>
      <c r="M124" s="225">
        <f t="shared" si="148"/>
        <v>0.89549999999999996</v>
      </c>
      <c r="N124" s="225">
        <f t="shared" si="148"/>
        <v>0.92300000000000004</v>
      </c>
      <c r="O124" s="225">
        <f t="shared" si="148"/>
        <v>0.93100000000000005</v>
      </c>
      <c r="P124" s="225">
        <f t="shared" si="148"/>
        <v>0.93100000000000005</v>
      </c>
      <c r="Q124" s="225">
        <f t="shared" si="148"/>
        <v>0.96100000000000008</v>
      </c>
      <c r="R124" s="225">
        <f t="shared" si="148"/>
        <v>0.95100000000000007</v>
      </c>
      <c r="S124" s="225">
        <f t="shared" si="148"/>
        <v>0.996</v>
      </c>
      <c r="T124" s="225">
        <f t="shared" si="148"/>
        <v>0.9454999999999999</v>
      </c>
      <c r="U124" s="225">
        <f t="shared" si="148"/>
        <v>0.92549999999999988</v>
      </c>
      <c r="V124" s="225">
        <f t="shared" si="148"/>
        <v>0.96550000000000002</v>
      </c>
      <c r="W124" s="225">
        <f t="shared" si="148"/>
        <v>0.92549999999999988</v>
      </c>
      <c r="X124" s="225">
        <f t="shared" si="148"/>
        <v>0.94049999999999989</v>
      </c>
      <c r="Y124" s="225">
        <f t="shared" si="148"/>
        <v>0.91449999999999987</v>
      </c>
      <c r="Z124" s="225">
        <f t="shared" si="148"/>
        <v>0.89349999999999996</v>
      </c>
      <c r="AA124" s="225">
        <f t="shared" si="148"/>
        <v>0.86250000000000004</v>
      </c>
      <c r="AB124" s="225">
        <f t="shared" si="148"/>
        <v>0.79149999999999998</v>
      </c>
      <c r="AC124" s="225">
        <f>AC90+AC98+AC106+AC102+AC123+AC94+AC110+AC114+AC118+AC122</f>
        <v>0.86450000000000005</v>
      </c>
      <c r="AD124" s="225">
        <f t="shared" ref="AD124:BA124" si="149">AD90+AD98+AD106+AD102+AD123+AD94+AD110+AD114+AD118+AD122</f>
        <v>0.78049999999999997</v>
      </c>
      <c r="AE124" s="225">
        <f t="shared" si="149"/>
        <v>0.72950000000000004</v>
      </c>
      <c r="AF124" s="225">
        <f t="shared" si="149"/>
        <v>0.72850000000000004</v>
      </c>
      <c r="AG124" s="225">
        <f t="shared" si="149"/>
        <v>0.74750000000000005</v>
      </c>
      <c r="AH124" s="225">
        <f t="shared" si="149"/>
        <v>0.78300000000000014</v>
      </c>
      <c r="AI124" s="225">
        <f t="shared" ref="AI124:AL124" si="150">AI90+AI98+AI106+AI102+AI123+AI94+AI110+AI114+AI118+AI122</f>
        <v>0.78049999999999997</v>
      </c>
      <c r="AJ124" s="225">
        <f t="shared" si="150"/>
        <v>0.75950000000000006</v>
      </c>
      <c r="AK124" s="225">
        <f t="shared" si="150"/>
        <v>0.73850000000000005</v>
      </c>
      <c r="AL124" s="225">
        <f t="shared" si="150"/>
        <v>0.76749999999999996</v>
      </c>
      <c r="AM124" s="225">
        <f t="shared" si="149"/>
        <v>0.75650000000000017</v>
      </c>
      <c r="AN124" s="225">
        <f t="shared" si="149"/>
        <v>0.72249999999999992</v>
      </c>
      <c r="AO124" s="225">
        <f t="shared" si="149"/>
        <v>0.78390000000000004</v>
      </c>
      <c r="AP124" s="225">
        <f t="shared" si="149"/>
        <v>0.73663500000000015</v>
      </c>
      <c r="AQ124" s="225">
        <f t="shared" si="149"/>
        <v>0.7310065</v>
      </c>
      <c r="AR124" s="225">
        <f t="shared" si="149"/>
        <v>0.66991868124999998</v>
      </c>
      <c r="AS124" s="225">
        <f t="shared" si="149"/>
        <v>0.67514356890624994</v>
      </c>
      <c r="AT124" s="225">
        <f t="shared" si="149"/>
        <v>0.65057730741796882</v>
      </c>
      <c r="AU124" s="225">
        <f t="shared" si="149"/>
        <v>0.63020986693173831</v>
      </c>
      <c r="AV124" s="225">
        <f t="shared" si="149"/>
        <v>0.48160665869317387</v>
      </c>
      <c r="AW124" s="225">
        <f t="shared" si="149"/>
        <v>0.45153777066931744</v>
      </c>
      <c r="AX124" s="225">
        <f t="shared" si="149"/>
        <v>0.43493317138693177</v>
      </c>
      <c r="AY124" s="225">
        <f t="shared" si="149"/>
        <v>0.42112477202669324</v>
      </c>
      <c r="AZ124" s="225">
        <f t="shared" si="149"/>
        <v>0.28511247720266936</v>
      </c>
      <c r="BA124" s="225">
        <f t="shared" si="149"/>
        <v>0.27151124772026697</v>
      </c>
    </row>
    <row r="125" spans="1:53" s="119" customFormat="1" ht="12.75" customHeight="1">
      <c r="A125" s="399"/>
      <c r="B125" s="221"/>
    </row>
    <row r="126" spans="1:53" s="119" customFormat="1" ht="12.75" customHeight="1">
      <c r="A126" s="399"/>
      <c r="B126" s="400" t="s">
        <v>630</v>
      </c>
      <c r="C126" s="401"/>
      <c r="D126" s="401"/>
      <c r="E126" s="401"/>
      <c r="F126" s="401"/>
      <c r="G126" s="401"/>
      <c r="H126" s="401"/>
      <c r="I126" s="401"/>
      <c r="J126" s="401"/>
      <c r="K126" s="401"/>
      <c r="L126" s="401"/>
      <c r="M126" s="401"/>
      <c r="N126" s="401"/>
      <c r="O126" s="401"/>
      <c r="P126" s="401"/>
      <c r="Q126" s="401"/>
      <c r="R126" s="401"/>
      <c r="S126" s="401"/>
      <c r="T126" s="401"/>
      <c r="U126" s="401"/>
      <c r="V126" s="401"/>
      <c r="W126" s="401"/>
      <c r="X126" s="401"/>
      <c r="Y126" s="401"/>
      <c r="Z126" s="401"/>
      <c r="AA126" s="401"/>
      <c r="AB126" s="401"/>
      <c r="AC126" s="401"/>
      <c r="AD126" s="401"/>
      <c r="AE126" s="401"/>
      <c r="AF126" s="401"/>
      <c r="AG126" s="401"/>
      <c r="AH126" s="401"/>
      <c r="AI126" s="401"/>
      <c r="AJ126" s="401"/>
      <c r="AK126" s="401"/>
      <c r="AL126" s="401"/>
      <c r="AM126" s="401"/>
      <c r="AN126" s="401"/>
      <c r="AO126" s="401"/>
      <c r="AP126" s="401"/>
      <c r="AQ126" s="401"/>
      <c r="AR126" s="401"/>
      <c r="AS126" s="401"/>
      <c r="AT126" s="401"/>
      <c r="AU126" s="401"/>
      <c r="AV126" s="401"/>
      <c r="AW126" s="401"/>
      <c r="AX126" s="401"/>
      <c r="AY126" s="401"/>
      <c r="AZ126" s="401"/>
      <c r="BA126" s="401"/>
    </row>
    <row r="127" spans="1:53" s="116" customFormat="1" ht="12.75" customHeight="1">
      <c r="A127" s="372"/>
      <c r="B127" s="247" t="s">
        <v>63</v>
      </c>
      <c r="D127" s="116">
        <f t="shared" ref="D127:AH127" si="151">D90*D86</f>
        <v>1309.705773706218</v>
      </c>
      <c r="E127" s="116">
        <f t="shared" si="151"/>
        <v>2643.8691428802517</v>
      </c>
      <c r="F127" s="116">
        <f t="shared" si="151"/>
        <v>6591.6821586369388</v>
      </c>
      <c r="G127" s="116">
        <f t="shared" si="151"/>
        <v>3285.9080605289801</v>
      </c>
      <c r="H127" s="116">
        <f t="shared" si="151"/>
        <v>2851.2697703618628</v>
      </c>
      <c r="I127" s="116">
        <f t="shared" si="151"/>
        <v>2457.1019755321095</v>
      </c>
      <c r="J127" s="116">
        <f t="shared" si="151"/>
        <v>1379.3999999999994</v>
      </c>
      <c r="K127" s="116">
        <f t="shared" si="151"/>
        <v>1142.9999999999998</v>
      </c>
      <c r="L127" s="116">
        <f t="shared" si="151"/>
        <v>1121.7625</v>
      </c>
      <c r="M127" s="116">
        <f t="shared" si="151"/>
        <v>1191.0999999999999</v>
      </c>
      <c r="N127" s="116">
        <f t="shared" si="151"/>
        <v>1231.825</v>
      </c>
      <c r="O127" s="116">
        <f t="shared" si="151"/>
        <v>1267.6226695796922</v>
      </c>
      <c r="P127" s="116">
        <f t="shared" si="151"/>
        <v>1292.0784124011652</v>
      </c>
      <c r="Q127" s="116">
        <f t="shared" si="151"/>
        <v>1312.4581980857263</v>
      </c>
      <c r="R127" s="116">
        <f t="shared" si="151"/>
        <v>1383.7874479816896</v>
      </c>
      <c r="S127" s="116">
        <f t="shared" si="151"/>
        <v>1313.9866820120683</v>
      </c>
      <c r="T127" s="116">
        <f t="shared" si="151"/>
        <v>1085.6565126924677</v>
      </c>
      <c r="U127" s="116">
        <f t="shared" si="151"/>
        <v>1108.341872659176</v>
      </c>
      <c r="V127" s="116">
        <f t="shared" si="151"/>
        <v>1106.721489804411</v>
      </c>
      <c r="W127" s="116">
        <f t="shared" si="151"/>
        <v>1122.9253183520598</v>
      </c>
      <c r="X127" s="116">
        <f t="shared" si="151"/>
        <v>1105.9112983770285</v>
      </c>
      <c r="Y127" s="116">
        <f t="shared" si="151"/>
        <v>1066.3150072825633</v>
      </c>
      <c r="Z127" s="116">
        <f t="shared" si="151"/>
        <v>1014.5411985018725</v>
      </c>
      <c r="AA127" s="116">
        <f t="shared" si="151"/>
        <v>949.96484602580108</v>
      </c>
      <c r="AB127" s="116">
        <f t="shared" si="151"/>
        <v>870.89504785684551</v>
      </c>
      <c r="AC127" s="116">
        <f t="shared" si="151"/>
        <v>946.88498881606336</v>
      </c>
      <c r="AD127" s="116">
        <f t="shared" si="151"/>
        <v>836.60013732833943</v>
      </c>
      <c r="AE127" s="116">
        <f t="shared" si="151"/>
        <v>821.15644277985848</v>
      </c>
      <c r="AF127" s="116">
        <f t="shared" si="151"/>
        <v>787.46838368705778</v>
      </c>
      <c r="AG127" s="116">
        <f t="shared" si="151"/>
        <v>751.85986516853927</v>
      </c>
      <c r="AH127" s="116">
        <f t="shared" si="151"/>
        <v>712.97056179775279</v>
      </c>
      <c r="AI127" s="696">
        <f t="shared" ref="AI127:AL127" si="152">AI90*AI86</f>
        <v>956.61528714107362</v>
      </c>
      <c r="AJ127" s="696">
        <f t="shared" si="152"/>
        <v>932.91858260507684</v>
      </c>
      <c r="AK127" s="696">
        <f t="shared" si="152"/>
        <v>889.02401581356617</v>
      </c>
      <c r="AL127" s="696">
        <f t="shared" si="152"/>
        <v>824.45447191011237</v>
      </c>
      <c r="AM127" s="116">
        <f t="shared" ref="AM127:BA127" si="153">AM90*AM86</f>
        <v>468.12919330004155</v>
      </c>
      <c r="AN127" s="116">
        <f t="shared" si="153"/>
        <v>135.38623371385242</v>
      </c>
      <c r="AO127" s="116">
        <f t="shared" si="153"/>
        <v>102.77188074546831</v>
      </c>
      <c r="AP127" s="116">
        <f t="shared" si="153"/>
        <v>10.400987201163201</v>
      </c>
      <c r="AQ127" s="116">
        <f t="shared" si="153"/>
        <v>1.0525350095227775</v>
      </c>
      <c r="AR127" s="116">
        <f t="shared" si="153"/>
        <v>0.10650261412778385</v>
      </c>
      <c r="AS127" s="116">
        <f t="shared" si="153"/>
        <v>1.0775705267932043E-2</v>
      </c>
      <c r="AT127" s="116">
        <f t="shared" si="153"/>
        <v>1.0901665221575911E-3</v>
      </c>
      <c r="AU127" s="116">
        <f t="shared" si="153"/>
        <v>1.1028124269865152E-4</v>
      </c>
      <c r="AV127" s="116">
        <f t="shared" si="153"/>
        <v>1.1155064832524841E-5</v>
      </c>
      <c r="AW127" s="116">
        <f t="shared" si="153"/>
        <v>1.1282468740952843E-6</v>
      </c>
      <c r="AX127" s="116">
        <f t="shared" si="153"/>
        <v>1.141031722612071E-7</v>
      </c>
      <c r="AY127" s="116">
        <f t="shared" si="153"/>
        <v>1.1538590906269516E-8</v>
      </c>
      <c r="AZ127" s="116">
        <f t="shared" si="153"/>
        <v>1.1667269774397444E-9</v>
      </c>
      <c r="BA127" s="116">
        <f t="shared" si="153"/>
        <v>1.1796333185536104E-10</v>
      </c>
    </row>
    <row r="128" spans="1:53" s="116" customFormat="1" ht="12.75" customHeight="1">
      <c r="A128" s="372"/>
      <c r="B128" s="247" t="s">
        <v>62</v>
      </c>
      <c r="G128" s="116">
        <f t="shared" ref="G128:AH128" si="154">G94*G86</f>
        <v>12668.561197220164</v>
      </c>
      <c r="H128" s="116">
        <f t="shared" si="154"/>
        <v>28512.697703618629</v>
      </c>
      <c r="I128" s="116">
        <f t="shared" si="154"/>
        <v>24980.536751243111</v>
      </c>
      <c r="J128" s="116">
        <f t="shared" si="154"/>
        <v>13793.999999999995</v>
      </c>
      <c r="K128" s="116">
        <f t="shared" si="154"/>
        <v>13715.999999999995</v>
      </c>
      <c r="L128" s="116">
        <f t="shared" si="154"/>
        <v>16153.38</v>
      </c>
      <c r="M128" s="116">
        <f t="shared" si="154"/>
        <v>18104.719999999998</v>
      </c>
      <c r="N128" s="116">
        <f t="shared" si="154"/>
        <v>18970.105</v>
      </c>
      <c r="O128" s="116">
        <f t="shared" si="154"/>
        <v>16225.570170620058</v>
      </c>
      <c r="P128" s="116">
        <f t="shared" si="154"/>
        <v>16021.772313774449</v>
      </c>
      <c r="Q128" s="116">
        <f t="shared" si="154"/>
        <v>17849.431493965876</v>
      </c>
      <c r="R128" s="116">
        <f t="shared" si="154"/>
        <v>12730.844521431545</v>
      </c>
      <c r="S128" s="116">
        <f t="shared" si="154"/>
        <v>15767.840184144818</v>
      </c>
      <c r="T128" s="116">
        <f t="shared" si="154"/>
        <v>12485.049895963379</v>
      </c>
      <c r="U128" s="116">
        <f t="shared" si="154"/>
        <v>12191.760599250936</v>
      </c>
      <c r="V128" s="116">
        <f t="shared" si="154"/>
        <v>11067.214898044112</v>
      </c>
      <c r="W128" s="116">
        <f t="shared" si="154"/>
        <v>11790.715842696627</v>
      </c>
      <c r="X128" s="116">
        <f t="shared" si="154"/>
        <v>11888.546457553057</v>
      </c>
      <c r="Y128" s="116">
        <f t="shared" si="154"/>
        <v>10663.150072825634</v>
      </c>
      <c r="Z128" s="116">
        <f t="shared" si="154"/>
        <v>10709.045984186434</v>
      </c>
      <c r="AA128" s="116">
        <f t="shared" si="154"/>
        <v>9499.6484602580113</v>
      </c>
      <c r="AB128" s="116">
        <f t="shared" si="154"/>
        <v>9253.2598834789842</v>
      </c>
      <c r="AC128" s="116">
        <f t="shared" si="154"/>
        <v>10025.841058052436</v>
      </c>
      <c r="AD128" s="116">
        <f t="shared" si="154"/>
        <v>7808.2679483978354</v>
      </c>
      <c r="AE128" s="116">
        <f t="shared" si="154"/>
        <v>9384.6450603412395</v>
      </c>
      <c r="AF128" s="116">
        <f t="shared" si="154"/>
        <v>9691.9185684560962</v>
      </c>
      <c r="AG128" s="116">
        <f t="shared" si="154"/>
        <v>10024.79820224719</v>
      </c>
      <c r="AH128" s="116">
        <f t="shared" si="154"/>
        <v>9209.2030898876419</v>
      </c>
      <c r="AI128" s="696">
        <f t="shared" ref="AI128:AL128" si="155">AI94*AI86</f>
        <v>10841.639920932168</v>
      </c>
      <c r="AJ128" s="696">
        <f t="shared" si="155"/>
        <v>6663.7041614648351</v>
      </c>
      <c r="AK128" s="696">
        <f t="shared" si="155"/>
        <v>4103.1877652933827</v>
      </c>
      <c r="AL128" s="696">
        <f t="shared" si="155"/>
        <v>4809.3177528089891</v>
      </c>
      <c r="AM128" s="116">
        <f t="shared" ref="AM128:BA128" si="156">AM94*AM86</f>
        <v>6687.5599042863078</v>
      </c>
      <c r="AN128" s="116">
        <f t="shared" si="156"/>
        <v>4400.0525957002037</v>
      </c>
      <c r="AO128" s="116">
        <f t="shared" si="156"/>
        <v>4110.8752298187328</v>
      </c>
      <c r="AP128" s="116">
        <f t="shared" si="156"/>
        <v>3813.6953070931741</v>
      </c>
      <c r="AQ128" s="116">
        <f t="shared" si="156"/>
        <v>3508.4500317425918</v>
      </c>
      <c r="AR128" s="116">
        <f t="shared" si="156"/>
        <v>355.00871375927949</v>
      </c>
      <c r="AS128" s="116">
        <f t="shared" si="156"/>
        <v>35.919017559773472</v>
      </c>
      <c r="AT128" s="116">
        <f t="shared" si="156"/>
        <v>3.6338884071919701</v>
      </c>
      <c r="AU128" s="116">
        <f t="shared" si="156"/>
        <v>0.36760414232883842</v>
      </c>
      <c r="AV128" s="116">
        <f t="shared" si="156"/>
        <v>3.718354944174946E-2</v>
      </c>
      <c r="AW128" s="116">
        <f t="shared" si="156"/>
        <v>3.7608229136509466E-3</v>
      </c>
      <c r="AX128" s="116">
        <f t="shared" si="156"/>
        <v>3.803439075373569E-4</v>
      </c>
      <c r="AY128" s="116">
        <f t="shared" si="156"/>
        <v>3.8461969687565043E-5</v>
      </c>
      <c r="AZ128" s="116">
        <f t="shared" si="156"/>
        <v>3.8890899247991477E-6</v>
      </c>
      <c r="BA128" s="116">
        <f t="shared" si="156"/>
        <v>3.9321110618453672E-7</v>
      </c>
    </row>
    <row r="129" spans="1:54" s="116" customFormat="1" ht="12.75" customHeight="1">
      <c r="A129" s="372"/>
      <c r="B129" s="247" t="s">
        <v>61</v>
      </c>
      <c r="I129" s="116">
        <f t="shared" ref="I129:AH129" si="157">+I98*I86</f>
        <v>3685.6529632981642</v>
      </c>
      <c r="J129" s="116">
        <f t="shared" si="157"/>
        <v>22530.199999999993</v>
      </c>
      <c r="K129" s="116">
        <f t="shared" si="157"/>
        <v>23317.199999999993</v>
      </c>
      <c r="L129" s="116">
        <f t="shared" si="157"/>
        <v>21986.544999999998</v>
      </c>
      <c r="M129" s="116">
        <f t="shared" si="157"/>
        <v>22988.229999999996</v>
      </c>
      <c r="N129" s="116">
        <f t="shared" si="157"/>
        <v>22419.214999999997</v>
      </c>
      <c r="O129" s="116">
        <f t="shared" si="157"/>
        <v>17239.668306283813</v>
      </c>
      <c r="P129" s="116">
        <f t="shared" si="157"/>
        <v>17572.266408655847</v>
      </c>
      <c r="Q129" s="116">
        <f t="shared" si="157"/>
        <v>17324.448214731587</v>
      </c>
      <c r="R129" s="116">
        <f t="shared" si="157"/>
        <v>13837.874479816895</v>
      </c>
      <c r="S129" s="116">
        <f t="shared" si="157"/>
        <v>16556.232193352058</v>
      </c>
      <c r="T129" s="116">
        <f t="shared" si="157"/>
        <v>14113.53466500208</v>
      </c>
      <c r="U129" s="116">
        <f t="shared" si="157"/>
        <v>11083.418726591761</v>
      </c>
      <c r="V129" s="116">
        <f t="shared" si="157"/>
        <v>12173.936387848522</v>
      </c>
      <c r="W129" s="116">
        <f t="shared" si="157"/>
        <v>11790.715842696627</v>
      </c>
      <c r="X129" s="116">
        <f t="shared" si="157"/>
        <v>12303.263194444444</v>
      </c>
      <c r="Y129" s="116">
        <f t="shared" si="157"/>
        <v>10663.150072825634</v>
      </c>
      <c r="Z129" s="116">
        <f t="shared" si="157"/>
        <v>9018.1439866833116</v>
      </c>
      <c r="AA129" s="116">
        <f t="shared" si="157"/>
        <v>7823.2399084477738</v>
      </c>
      <c r="AB129" s="116">
        <f t="shared" si="157"/>
        <v>7076.0222638368705</v>
      </c>
      <c r="AC129" s="116">
        <f t="shared" si="157"/>
        <v>8633.3631333229296</v>
      </c>
      <c r="AD129" s="116">
        <f t="shared" si="157"/>
        <v>7808.2679483978354</v>
      </c>
      <c r="AE129" s="116">
        <f t="shared" si="157"/>
        <v>5278.8628464419471</v>
      </c>
      <c r="AF129" s="116">
        <f t="shared" si="157"/>
        <v>4845.9592842280481</v>
      </c>
      <c r="AG129" s="116">
        <f t="shared" si="157"/>
        <v>4385.8492134831458</v>
      </c>
      <c r="AH129" s="116">
        <f t="shared" si="157"/>
        <v>5644.350280898876</v>
      </c>
      <c r="AI129" s="696">
        <f t="shared" ref="AI129:AL129" si="158">+AI98*AI86</f>
        <v>4464.2046733250108</v>
      </c>
      <c r="AJ129" s="696">
        <f t="shared" si="158"/>
        <v>2665.4816645859341</v>
      </c>
      <c r="AK129" s="696">
        <f t="shared" si="158"/>
        <v>3419.3231377444858</v>
      </c>
      <c r="AL129" s="696">
        <f t="shared" si="158"/>
        <v>2748.1815730337075</v>
      </c>
      <c r="AM129" s="116">
        <f t="shared" ref="AM129:BA129" si="159">+AM98*AM86</f>
        <v>3343.7799521431543</v>
      </c>
      <c r="AN129" s="116">
        <f t="shared" si="159"/>
        <v>2436.9522068493438</v>
      </c>
      <c r="AO129" s="116">
        <f t="shared" si="159"/>
        <v>2219.8726241021159</v>
      </c>
      <c r="AP129" s="116">
        <f t="shared" si="159"/>
        <v>2021.9519119061265</v>
      </c>
      <c r="AQ129" s="116">
        <f t="shared" si="159"/>
        <v>1841.5152526610516</v>
      </c>
      <c r="AR129" s="116">
        <f t="shared" si="159"/>
        <v>186.33697367797063</v>
      </c>
      <c r="AS129" s="116">
        <f t="shared" si="159"/>
        <v>18.853173936773899</v>
      </c>
      <c r="AT129" s="116">
        <f t="shared" si="159"/>
        <v>1.9073553471669211</v>
      </c>
      <c r="AU129" s="116">
        <f t="shared" si="159"/>
        <v>0.19294806222556071</v>
      </c>
      <c r="AV129" s="116">
        <f t="shared" si="159"/>
        <v>1.9516901430985459E-2</v>
      </c>
      <c r="AW129" s="116">
        <f t="shared" si="159"/>
        <v>1.9739807309171091E-3</v>
      </c>
      <c r="AX129" s="116">
        <f t="shared" si="159"/>
        <v>1.9963491018820789E-4</v>
      </c>
      <c r="AY129" s="116">
        <f t="shared" si="159"/>
        <v>2.018791864960914E-5</v>
      </c>
      <c r="AZ129" s="116">
        <f t="shared" si="159"/>
        <v>2.0413055197285763E-6</v>
      </c>
      <c r="BA129" s="116">
        <f t="shared" si="159"/>
        <v>2.0638864541413963E-7</v>
      </c>
    </row>
    <row r="130" spans="1:54" s="116" customFormat="1" ht="12.75" customHeight="1">
      <c r="A130" s="372"/>
      <c r="B130" s="247" t="s">
        <v>440</v>
      </c>
      <c r="N130" s="116">
        <f t="shared" ref="N130:AH130" si="160">N102*N86</f>
        <v>2463.65</v>
      </c>
      <c r="O130" s="116">
        <f t="shared" si="160"/>
        <v>12169.177627965044</v>
      </c>
      <c r="P130" s="116">
        <f t="shared" si="160"/>
        <v>12920.784124011652</v>
      </c>
      <c r="Q130" s="116">
        <f t="shared" si="160"/>
        <v>12599.59870162297</v>
      </c>
      <c r="R130" s="116">
        <f t="shared" si="160"/>
        <v>13837.874479816895</v>
      </c>
      <c r="S130" s="116">
        <f t="shared" si="160"/>
        <v>12877.069483718267</v>
      </c>
      <c r="T130" s="116">
        <f t="shared" si="160"/>
        <v>11942.221639617144</v>
      </c>
      <c r="U130" s="116">
        <f t="shared" si="160"/>
        <v>11637.589662921348</v>
      </c>
      <c r="V130" s="116">
        <f t="shared" si="160"/>
        <v>12727.297132750728</v>
      </c>
      <c r="W130" s="116">
        <f t="shared" si="160"/>
        <v>10106.327865168538</v>
      </c>
      <c r="X130" s="116">
        <f t="shared" si="160"/>
        <v>11612.068632958801</v>
      </c>
      <c r="Y130" s="116">
        <f t="shared" si="160"/>
        <v>12908.023772367873</v>
      </c>
      <c r="Z130" s="116">
        <f t="shared" si="160"/>
        <v>12399.947981689555</v>
      </c>
      <c r="AA130" s="116">
        <f t="shared" si="160"/>
        <v>12293.662713275073</v>
      </c>
      <c r="AB130" s="116">
        <f t="shared" si="160"/>
        <v>11430.497503121098</v>
      </c>
      <c r="AC130" s="116">
        <f t="shared" si="160"/>
        <v>12253.805737619643</v>
      </c>
      <c r="AD130" s="116">
        <f t="shared" si="160"/>
        <v>11154.668497711195</v>
      </c>
      <c r="AE130" s="116">
        <f t="shared" si="160"/>
        <v>10557.725692883894</v>
      </c>
      <c r="AF130" s="116">
        <f t="shared" si="160"/>
        <v>10297.663478984603</v>
      </c>
      <c r="AG130" s="116">
        <f t="shared" si="160"/>
        <v>10651.348089887641</v>
      </c>
      <c r="AH130" s="116">
        <f t="shared" si="160"/>
        <v>10694.558426966292</v>
      </c>
      <c r="AI130" s="696">
        <f t="shared" ref="AI130:AL130" si="161">AI102*AI86</f>
        <v>7652.922297128589</v>
      </c>
      <c r="AJ130" s="696">
        <f t="shared" si="161"/>
        <v>5997.3337453183512</v>
      </c>
      <c r="AK130" s="696">
        <f t="shared" si="161"/>
        <v>4787.0523928422799</v>
      </c>
      <c r="AL130" s="696">
        <f t="shared" si="161"/>
        <v>4122.2723595505613</v>
      </c>
      <c r="AM130" s="116">
        <f t="shared" ref="AM130:BA130" si="162">AM102*AM86</f>
        <v>5684.4259186433619</v>
      </c>
      <c r="AN130" s="116">
        <f t="shared" si="162"/>
        <v>2640.0315574201222</v>
      </c>
      <c r="AO130" s="116">
        <f t="shared" si="162"/>
        <v>1336.034449691088</v>
      </c>
      <c r="AP130" s="116">
        <f t="shared" si="162"/>
        <v>1216.9155025360944</v>
      </c>
      <c r="AQ130" s="116">
        <f t="shared" si="162"/>
        <v>1108.3193650274845</v>
      </c>
      <c r="AR130" s="116">
        <f t="shared" si="162"/>
        <v>1009.3252740890074</v>
      </c>
      <c r="AS130" s="116">
        <f t="shared" si="162"/>
        <v>919.09222941772737</v>
      </c>
      <c r="AT130" s="116">
        <f t="shared" si="162"/>
        <v>836.85215856948651</v>
      </c>
      <c r="AU130" s="116">
        <f t="shared" si="162"/>
        <v>761.9036607131826</v>
      </c>
      <c r="AV130" s="116">
        <f t="shared" si="162"/>
        <v>77.067364525603807</v>
      </c>
      <c r="AW130" s="116">
        <f t="shared" si="162"/>
        <v>7.7947564112089314</v>
      </c>
      <c r="AX130" s="116">
        <f t="shared" si="162"/>
        <v>0.78830835160568569</v>
      </c>
      <c r="AY130" s="116">
        <f t="shared" si="162"/>
        <v>7.9717043767644075E-2</v>
      </c>
      <c r="AZ130" s="116">
        <f t="shared" si="162"/>
        <v>8.0606051710282144E-3</v>
      </c>
      <c r="BA130" s="116">
        <f t="shared" si="162"/>
        <v>8.149771635790837E-4</v>
      </c>
    </row>
    <row r="131" spans="1:54" s="116" customFormat="1" ht="12.75" customHeight="1">
      <c r="A131" s="372"/>
      <c r="B131" s="231" t="s">
        <v>631</v>
      </c>
      <c r="Q131" s="116">
        <f t="shared" ref="Q131:AH131" si="163">Q106*Q86</f>
        <v>1049.9665584685808</v>
      </c>
      <c r="R131" s="116">
        <f t="shared" si="163"/>
        <v>10516.784604660841</v>
      </c>
      <c r="S131" s="116">
        <f t="shared" si="163"/>
        <v>5518.744064450686</v>
      </c>
      <c r="T131" s="116">
        <f t="shared" si="163"/>
        <v>11399.39338327091</v>
      </c>
      <c r="U131" s="116">
        <f t="shared" si="163"/>
        <v>14962.615280898877</v>
      </c>
      <c r="V131" s="116">
        <f t="shared" si="163"/>
        <v>16047.461602163959</v>
      </c>
      <c r="W131" s="116">
        <f t="shared" si="163"/>
        <v>16843.879775280897</v>
      </c>
      <c r="X131" s="116">
        <f t="shared" si="163"/>
        <v>14791.563615792758</v>
      </c>
      <c r="Y131" s="116">
        <f t="shared" si="163"/>
        <v>15714.115896795673</v>
      </c>
      <c r="Z131" s="116">
        <f t="shared" si="163"/>
        <v>16909.019975031209</v>
      </c>
      <c r="AA131" s="116">
        <f t="shared" si="163"/>
        <v>17322.888368705782</v>
      </c>
      <c r="AB131" s="116">
        <f t="shared" si="163"/>
        <v>14152.044527673741</v>
      </c>
      <c r="AC131" s="116">
        <f t="shared" si="163"/>
        <v>16013.496134389306</v>
      </c>
      <c r="AD131" s="116">
        <f t="shared" si="163"/>
        <v>15616.535896795671</v>
      </c>
      <c r="AE131" s="116">
        <f t="shared" si="163"/>
        <v>16423.12885559717</v>
      </c>
      <c r="AF131" s="116">
        <f t="shared" si="163"/>
        <v>18172.347315855179</v>
      </c>
      <c r="AG131" s="116">
        <f t="shared" si="163"/>
        <v>17543.396853932583</v>
      </c>
      <c r="AH131" s="116">
        <f t="shared" si="163"/>
        <v>16933.05084269663</v>
      </c>
      <c r="AI131" s="696">
        <f t="shared" ref="AI131:AL131" si="164">AI106*AI86</f>
        <v>12754.870495214316</v>
      </c>
      <c r="AJ131" s="696">
        <f t="shared" si="164"/>
        <v>8662.8154099042858</v>
      </c>
      <c r="AK131" s="696">
        <f t="shared" si="164"/>
        <v>8206.3755305867653</v>
      </c>
      <c r="AL131" s="696">
        <f t="shared" si="164"/>
        <v>6870.4539325842698</v>
      </c>
      <c r="AM131" s="116">
        <f t="shared" ref="AM131:BA131" si="165">AM106*AM86</f>
        <v>9195.3948683936742</v>
      </c>
      <c r="AN131" s="116">
        <f t="shared" si="165"/>
        <v>4230.8198035578889</v>
      </c>
      <c r="AO131" s="116">
        <f t="shared" si="165"/>
        <v>3425.7293581822782</v>
      </c>
      <c r="AP131" s="116">
        <f t="shared" si="165"/>
        <v>2426.8970136047474</v>
      </c>
      <c r="AQ131" s="116">
        <f t="shared" si="165"/>
        <v>2210.323519997833</v>
      </c>
      <c r="AR131" s="116">
        <f t="shared" si="165"/>
        <v>2012.8994070151148</v>
      </c>
      <c r="AS131" s="116">
        <f t="shared" si="165"/>
        <v>1832.9474660752403</v>
      </c>
      <c r="AT131" s="116">
        <f t="shared" si="165"/>
        <v>1668.9359287710558</v>
      </c>
      <c r="AU131" s="116">
        <f t="shared" si="165"/>
        <v>1519.4659900262905</v>
      </c>
      <c r="AV131" s="116">
        <f t="shared" si="165"/>
        <v>1383.2603889210941</v>
      </c>
      <c r="AW131" s="116">
        <f t="shared" si="165"/>
        <v>1259.1529587337509</v>
      </c>
      <c r="AX131" s="116">
        <f t="shared" si="165"/>
        <v>1146.0790650267279</v>
      </c>
      <c r="AY131" s="116">
        <f t="shared" si="165"/>
        <v>1043.066857298174</v>
      </c>
      <c r="AZ131" s="116">
        <f t="shared" si="165"/>
        <v>105.46991843014612</v>
      </c>
      <c r="BA131" s="116">
        <f t="shared" si="165"/>
        <v>10.663662732677089</v>
      </c>
    </row>
    <row r="132" spans="1:54" s="116" customFormat="1" ht="12.75" customHeight="1">
      <c r="A132" s="372"/>
      <c r="B132" s="247" t="s">
        <v>842</v>
      </c>
      <c r="Q132" s="385"/>
      <c r="AI132" s="696">
        <f>AI110*AI86</f>
        <v>12754.870495214316</v>
      </c>
      <c r="AJ132" s="696">
        <f t="shared" ref="AJ132:AL132" si="166">AJ110*AJ86</f>
        <v>19991.112484394504</v>
      </c>
      <c r="AK132" s="696">
        <f t="shared" si="166"/>
        <v>20515.938826466914</v>
      </c>
      <c r="AL132" s="696">
        <f t="shared" si="166"/>
        <v>21985.45258426966</v>
      </c>
      <c r="AM132" s="116">
        <f t="shared" ref="AM132:BA132" si="167">AM86*AM110</f>
        <v>18725.167732001664</v>
      </c>
      <c r="AN132" s="116">
        <f t="shared" si="167"/>
        <v>23015.659731354914</v>
      </c>
      <c r="AO132" s="116">
        <f t="shared" si="167"/>
        <v>23294.959635639487</v>
      </c>
      <c r="AP132" s="116">
        <f t="shared" si="167"/>
        <v>21218.013890372931</v>
      </c>
      <c r="AQ132" s="116">
        <f t="shared" si="167"/>
        <v>19324.542774838195</v>
      </c>
      <c r="AR132" s="116">
        <f t="shared" si="167"/>
        <v>17598.491958475002</v>
      </c>
      <c r="AS132" s="116">
        <f t="shared" si="167"/>
        <v>16025.197846257814</v>
      </c>
      <c r="AT132" s="116">
        <f t="shared" si="167"/>
        <v>14591.268405826944</v>
      </c>
      <c r="AU132" s="116">
        <f t="shared" si="167"/>
        <v>13284.474084229851</v>
      </c>
      <c r="AV132" s="116">
        <f t="shared" si="167"/>
        <v>12093.647971710136</v>
      </c>
      <c r="AW132" s="116">
        <f t="shared" si="167"/>
        <v>11008.594439215076</v>
      </c>
      <c r="AX132" s="116">
        <f t="shared" si="167"/>
        <v>10020.005539947961</v>
      </c>
      <c r="AY132" s="116">
        <f t="shared" si="167"/>
        <v>9119.384523806888</v>
      </c>
      <c r="AZ132" s="116">
        <f t="shared" si="167"/>
        <v>922.10842970356293</v>
      </c>
      <c r="BA132" s="116">
        <f t="shared" si="167"/>
        <v>93.230879891405394</v>
      </c>
    </row>
    <row r="133" spans="1:54" s="116" customFormat="1" ht="12.75" customHeight="1">
      <c r="A133" s="372"/>
      <c r="B133" s="247" t="str">
        <f>B79</f>
        <v>Odefsey (2025 Expiry)</v>
      </c>
      <c r="Q133" s="385"/>
      <c r="AI133" s="696">
        <f>AI114*AI86</f>
        <v>0</v>
      </c>
      <c r="AJ133" s="696">
        <f t="shared" ref="AJ133:AL133" si="168">AJ114*AJ86</f>
        <v>3998.2224968789005</v>
      </c>
      <c r="AK133" s="696">
        <f t="shared" si="168"/>
        <v>5470.9170203911772</v>
      </c>
      <c r="AL133" s="696">
        <f t="shared" si="168"/>
        <v>5496.3631460674151</v>
      </c>
      <c r="AM133" s="696">
        <f>AM86*AM114</f>
        <v>3678.1579473574698</v>
      </c>
      <c r="AN133" s="696">
        <f t="shared" ref="AN133:BA133" si="169">AN86*AN114</f>
        <v>6092.3805171233589</v>
      </c>
      <c r="AO133" s="696">
        <f t="shared" si="169"/>
        <v>5241.3659180188843</v>
      </c>
      <c r="AP133" s="696">
        <f t="shared" si="169"/>
        <v>4508.8279517042474</v>
      </c>
      <c r="AQ133" s="696">
        <f t="shared" si="169"/>
        <v>3878.3283763390536</v>
      </c>
      <c r="AR133" s="696">
        <f t="shared" si="169"/>
        <v>3335.7018129624871</v>
      </c>
      <c r="AS133" s="696">
        <f t="shared" si="169"/>
        <v>2868.742603989409</v>
      </c>
      <c r="AT133" s="696">
        <f t="shared" si="169"/>
        <v>2466.9346546939564</v>
      </c>
      <c r="AU133" s="696">
        <f t="shared" si="169"/>
        <v>2121.2183805822929</v>
      </c>
      <c r="AV133" s="696">
        <f t="shared" si="169"/>
        <v>214.56349221596284</v>
      </c>
      <c r="AW133" s="696">
        <f t="shared" si="169"/>
        <v>21.701405865593284</v>
      </c>
      <c r="AX133" s="696">
        <f t="shared" si="169"/>
        <v>2.1947317636290982</v>
      </c>
      <c r="AY133" s="696">
        <f t="shared" si="169"/>
        <v>0.22194047253602334</v>
      </c>
      <c r="AZ133" s="696">
        <f t="shared" si="169"/>
        <v>2.2441556234809003E-2</v>
      </c>
      <c r="BA133" s="696">
        <f t="shared" si="169"/>
        <v>2.2689804870087869E-3</v>
      </c>
    </row>
    <row r="134" spans="1:54" s="116" customFormat="1" ht="12.75" customHeight="1">
      <c r="A134" s="372"/>
      <c r="B134" s="247" t="str">
        <f>B80</f>
        <v>Descovy (2025 Expiry)</v>
      </c>
      <c r="Q134" s="385"/>
      <c r="AI134" s="696">
        <f>AI118*AI86</f>
        <v>0</v>
      </c>
      <c r="AJ134" s="696">
        <f t="shared" ref="AJ134:AL134" si="170">AJ118*AJ86</f>
        <v>1332.7408322929671</v>
      </c>
      <c r="AK134" s="696">
        <f t="shared" si="170"/>
        <v>2735.4585101955886</v>
      </c>
      <c r="AL134" s="696">
        <f t="shared" si="170"/>
        <v>5496.3631460674151</v>
      </c>
      <c r="AM134" s="696">
        <f>AM86*AM118</f>
        <v>2340.645966500208</v>
      </c>
      <c r="AN134" s="696">
        <f t="shared" ref="AN134:BA134" si="171">AN86*AN118</f>
        <v>5415.449348554097</v>
      </c>
      <c r="AO134" s="696">
        <f t="shared" si="171"/>
        <v>8564.3233954556927</v>
      </c>
      <c r="AP134" s="696">
        <f t="shared" si="171"/>
        <v>8234.1148675875338</v>
      </c>
      <c r="AQ134" s="696">
        <f t="shared" si="171"/>
        <v>8124.2546047539363</v>
      </c>
      <c r="AR134" s="696">
        <f t="shared" si="171"/>
        <v>8015.1537647886053</v>
      </c>
      <c r="AS134" s="696">
        <f t="shared" si="171"/>
        <v>7906.8210644405926</v>
      </c>
      <c r="AT134" s="696">
        <f t="shared" si="171"/>
        <v>7799.2647549721332</v>
      </c>
      <c r="AU134" s="696">
        <f t="shared" si="171"/>
        <v>7692.492633341395</v>
      </c>
      <c r="AV134" s="696">
        <f t="shared" si="171"/>
        <v>778.10380032734463</v>
      </c>
      <c r="AW134" s="696">
        <f t="shared" si="171"/>
        <v>78.699065726746213</v>
      </c>
      <c r="AX134" s="696">
        <f t="shared" si="171"/>
        <v>7.9590852495077318</v>
      </c>
      <c r="AY134" s="696">
        <f t="shared" si="171"/>
        <v>0.8048560514335189</v>
      </c>
      <c r="AZ134" s="696">
        <f t="shared" si="171"/>
        <v>8.138318411591175E-2</v>
      </c>
      <c r="BA134" s="696">
        <f t="shared" si="171"/>
        <v>8.2283445407064382E-3</v>
      </c>
    </row>
    <row r="135" spans="1:54" s="116" customFormat="1" ht="12.75" customHeight="1">
      <c r="A135" s="372"/>
      <c r="B135" s="247" t="s">
        <v>865</v>
      </c>
      <c r="Q135" s="385"/>
      <c r="AI135" s="696"/>
      <c r="AJ135" s="696"/>
      <c r="AK135" s="696"/>
      <c r="AL135" s="696"/>
      <c r="AM135" s="696">
        <f>AM86*AM122</f>
        <v>0</v>
      </c>
      <c r="AN135" s="696">
        <f t="shared" ref="AN135:BA135" si="172">AN86*AN122</f>
        <v>0</v>
      </c>
      <c r="AO135" s="696">
        <f t="shared" si="172"/>
        <v>4796.0211014551887</v>
      </c>
      <c r="AP135" s="696">
        <f t="shared" si="172"/>
        <v>6933.9914674421343</v>
      </c>
      <c r="AQ135" s="696">
        <f t="shared" si="172"/>
        <v>10525.350095227774</v>
      </c>
      <c r="AR135" s="696">
        <f t="shared" si="172"/>
        <v>14200.348550371178</v>
      </c>
      <c r="AS135" s="696">
        <f t="shared" si="172"/>
        <v>17959.508779886732</v>
      </c>
      <c r="AT135" s="696">
        <f t="shared" si="172"/>
        <v>18896.219717398239</v>
      </c>
      <c r="AU135" s="696">
        <f t="shared" si="172"/>
        <v>19850.623685757269</v>
      </c>
      <c r="AV135" s="696">
        <f t="shared" si="172"/>
        <v>20079.116698544702</v>
      </c>
      <c r="AW135" s="696">
        <f t="shared" si="172"/>
        <v>20308.443733715103</v>
      </c>
      <c r="AX135" s="696">
        <f t="shared" si="172"/>
        <v>20538.571007017264</v>
      </c>
      <c r="AY135" s="696">
        <f t="shared" si="172"/>
        <v>20769.463631285114</v>
      </c>
      <c r="AZ135" s="696">
        <f t="shared" si="172"/>
        <v>21001.085593915384</v>
      </c>
      <c r="BA135" s="696">
        <f t="shared" si="172"/>
        <v>21233.399733964972</v>
      </c>
    </row>
    <row r="136" spans="1:54" s="116" customFormat="1" ht="12.75" customHeight="1">
      <c r="A136" s="372"/>
      <c r="B136" s="247" t="s">
        <v>68</v>
      </c>
      <c r="AC136" s="116">
        <f t="shared" ref="AC136:AH136" si="173">+AC86*AC123</f>
        <v>278.49558494590093</v>
      </c>
      <c r="AD136" s="696">
        <f t="shared" si="173"/>
        <v>306.75338368705781</v>
      </c>
      <c r="AE136" s="696">
        <f t="shared" si="173"/>
        <v>322.59717394923007</v>
      </c>
      <c r="AF136" s="696">
        <f t="shared" si="173"/>
        <v>333.1597007906783</v>
      </c>
      <c r="AG136" s="696">
        <f t="shared" si="173"/>
        <v>344.60243820224713</v>
      </c>
      <c r="AH136" s="116">
        <f t="shared" si="173"/>
        <v>356.4852808988764</v>
      </c>
      <c r="AI136" s="696">
        <f t="shared" ref="AI136:AL136" si="174">+AI86*AI123</f>
        <v>350.75893861839364</v>
      </c>
      <c r="AJ136" s="696">
        <f t="shared" si="174"/>
        <v>366.50372888056592</v>
      </c>
      <c r="AK136" s="696">
        <f t="shared" si="174"/>
        <v>376.12554515189339</v>
      </c>
      <c r="AL136" s="696">
        <f t="shared" si="174"/>
        <v>377.87496629213479</v>
      </c>
      <c r="AM136" s="116">
        <f t="shared" ref="AM136:BA136" si="175">+AM86*AM123</f>
        <v>468.12919330004155</v>
      </c>
      <c r="AN136" s="116">
        <f t="shared" si="175"/>
        <v>541.54493485540968</v>
      </c>
      <c r="AO136" s="116">
        <f t="shared" si="175"/>
        <v>616.63128447280997</v>
      </c>
      <c r="AP136" s="116">
        <f t="shared" si="175"/>
        <v>693.39914674421345</v>
      </c>
      <c r="AQ136" s="116">
        <f t="shared" si="175"/>
        <v>771.85900698337025</v>
      </c>
      <c r="AR136" s="116">
        <f t="shared" si="175"/>
        <v>852.02091302227086</v>
      </c>
      <c r="AS136" s="116">
        <f t="shared" si="175"/>
        <v>933.89445655411032</v>
      </c>
      <c r="AT136" s="116">
        <f t="shared" si="175"/>
        <v>1017.4887540137516</v>
      </c>
      <c r="AU136" s="116">
        <f t="shared" si="175"/>
        <v>1102.8124269865152</v>
      </c>
      <c r="AV136" s="116">
        <f t="shared" si="175"/>
        <v>1189.8735821359828</v>
      </c>
      <c r="AW136" s="116">
        <f t="shared" si="175"/>
        <v>1278.6797906413219</v>
      </c>
      <c r="AX136" s="116">
        <f t="shared" si="175"/>
        <v>1369.2380671344849</v>
      </c>
      <c r="AY136" s="116">
        <f t="shared" si="175"/>
        <v>1461.5548481274718</v>
      </c>
      <c r="AZ136" s="116">
        <f t="shared" si="175"/>
        <v>147.78541714236761</v>
      </c>
      <c r="BA136" s="116">
        <f t="shared" si="175"/>
        <v>14.942022035012396</v>
      </c>
    </row>
    <row r="137" spans="1:54" s="116" customFormat="1" ht="12.75" customHeight="1">
      <c r="A137" s="372"/>
      <c r="B137" s="266" t="s">
        <v>444</v>
      </c>
      <c r="C137" s="267"/>
      <c r="D137" s="267"/>
      <c r="E137" s="267"/>
      <c r="F137" s="267"/>
      <c r="G137" s="267"/>
      <c r="H137" s="267"/>
      <c r="I137" s="267"/>
      <c r="J137" s="267"/>
      <c r="K137" s="267"/>
      <c r="L137" s="267"/>
      <c r="M137" s="267"/>
      <c r="N137" s="267">
        <f t="shared" ref="N137:AC137" si="176">SUM(N127:N136)</f>
        <v>45084.794999999998</v>
      </c>
      <c r="O137" s="267">
        <f t="shared" si="176"/>
        <v>46902.038774448607</v>
      </c>
      <c r="P137" s="267">
        <f t="shared" si="176"/>
        <v>47806.901258843114</v>
      </c>
      <c r="Q137" s="267">
        <f t="shared" si="176"/>
        <v>50135.903166874734</v>
      </c>
      <c r="R137" s="267">
        <f t="shared" si="176"/>
        <v>52307.165533707863</v>
      </c>
      <c r="S137" s="267">
        <f t="shared" si="176"/>
        <v>52033.872607677898</v>
      </c>
      <c r="T137" s="267">
        <f t="shared" si="176"/>
        <v>51025.856096545976</v>
      </c>
      <c r="U137" s="267">
        <f t="shared" si="176"/>
        <v>50983.726142322099</v>
      </c>
      <c r="V137" s="267">
        <f t="shared" si="176"/>
        <v>53122.631510611733</v>
      </c>
      <c r="W137" s="267">
        <f t="shared" si="176"/>
        <v>51654.564644194747</v>
      </c>
      <c r="X137" s="267">
        <f t="shared" si="176"/>
        <v>51701.35319912609</v>
      </c>
      <c r="Y137" s="267">
        <f t="shared" si="176"/>
        <v>51014.754822097377</v>
      </c>
      <c r="Z137" s="267">
        <f t="shared" si="176"/>
        <v>50050.699126092382</v>
      </c>
      <c r="AA137" s="267">
        <f t="shared" si="176"/>
        <v>47889.404296712441</v>
      </c>
      <c r="AB137" s="267">
        <f t="shared" si="176"/>
        <v>42782.719225967536</v>
      </c>
      <c r="AC137" s="267">
        <f t="shared" si="176"/>
        <v>48151.886637146279</v>
      </c>
      <c r="AD137" s="709">
        <f t="shared" ref="AD137:AL137" si="177">SUM(AD127:AD136)</f>
        <v>43531.093812317937</v>
      </c>
      <c r="AE137" s="709">
        <f t="shared" si="177"/>
        <v>42788.11607199334</v>
      </c>
      <c r="AF137" s="709">
        <f t="shared" si="177"/>
        <v>44128.516732001655</v>
      </c>
      <c r="AG137" s="709">
        <f t="shared" si="177"/>
        <v>43701.854662921338</v>
      </c>
      <c r="AH137" s="267">
        <f t="shared" si="177"/>
        <v>43550.618483146071</v>
      </c>
      <c r="AI137" s="709">
        <f t="shared" si="177"/>
        <v>49775.882107573867</v>
      </c>
      <c r="AJ137" s="709">
        <f t="shared" si="177"/>
        <v>50610.83310632543</v>
      </c>
      <c r="AK137" s="709">
        <f t="shared" si="177"/>
        <v>50503.402744486055</v>
      </c>
      <c r="AL137" s="709">
        <f t="shared" si="177"/>
        <v>52730.733932584262</v>
      </c>
      <c r="AM137" s="267">
        <f t="shared" ref="AM137:BA137" si="178">SUM(AM127:AM136)</f>
        <v>50591.390675925926</v>
      </c>
      <c r="AN137" s="267">
        <f t="shared" si="178"/>
        <v>48908.276929129192</v>
      </c>
      <c r="AO137" s="267">
        <f t="shared" si="178"/>
        <v>53708.584877581743</v>
      </c>
      <c r="AP137" s="267">
        <f t="shared" si="178"/>
        <v>51078.208046192362</v>
      </c>
      <c r="AQ137" s="267">
        <f t="shared" si="178"/>
        <v>51293.995562580814</v>
      </c>
      <c r="AR137" s="267">
        <f t="shared" si="178"/>
        <v>47565.393870775049</v>
      </c>
      <c r="AS137" s="267">
        <f t="shared" si="178"/>
        <v>48500.987413823437</v>
      </c>
      <c r="AT137" s="267">
        <f t="shared" si="178"/>
        <v>47282.506708166446</v>
      </c>
      <c r="AU137" s="267">
        <f t="shared" si="178"/>
        <v>46333.551524122588</v>
      </c>
      <c r="AV137" s="267">
        <f t="shared" si="178"/>
        <v>35815.690009986756</v>
      </c>
      <c r="AW137" s="267">
        <f t="shared" si="178"/>
        <v>33963.071886240694</v>
      </c>
      <c r="AX137" s="267">
        <f t="shared" si="178"/>
        <v>33084.836384584101</v>
      </c>
      <c r="AY137" s="267">
        <f t="shared" si="178"/>
        <v>32394.576432746813</v>
      </c>
      <c r="AZ137" s="267">
        <f t="shared" si="178"/>
        <v>22176.561250468545</v>
      </c>
      <c r="BA137" s="267">
        <f t="shared" si="178"/>
        <v>21352.247611525974</v>
      </c>
    </row>
    <row r="138" spans="1:54" s="12" customFormat="1" ht="12.75" customHeight="1">
      <c r="A138" s="374"/>
      <c r="B138" s="22"/>
      <c r="AI138" s="692"/>
      <c r="AJ138" s="692"/>
      <c r="AK138" s="692"/>
      <c r="AL138" s="692"/>
    </row>
    <row r="139" spans="1:54" s="116" customFormat="1" ht="12.75" customHeight="1" thickBot="1">
      <c r="A139" s="372"/>
      <c r="B139" s="268" t="s">
        <v>445</v>
      </c>
      <c r="C139" s="269"/>
      <c r="D139" s="269"/>
      <c r="E139" s="269"/>
      <c r="F139" s="269"/>
      <c r="G139" s="269"/>
      <c r="H139" s="269"/>
      <c r="I139" s="269"/>
      <c r="J139" s="269"/>
      <c r="K139" s="269"/>
      <c r="L139" s="269"/>
      <c r="M139" s="269"/>
      <c r="N139" s="269">
        <f t="shared" ref="N139:AC139" si="179">N83+N137</f>
        <v>505903.23769798112</v>
      </c>
      <c r="O139" s="269">
        <f t="shared" si="179"/>
        <v>499712.95093216811</v>
      </c>
      <c r="P139" s="269">
        <f t="shared" si="179"/>
        <v>517823.16863503953</v>
      </c>
      <c r="Q139" s="269">
        <f t="shared" si="179"/>
        <v>542764.98327923426</v>
      </c>
      <c r="R139" s="269">
        <f t="shared" si="179"/>
        <v>564236.48502080736</v>
      </c>
      <c r="S139" s="269">
        <f t="shared" si="179"/>
        <v>539201.07123985642</v>
      </c>
      <c r="T139" s="269">
        <f t="shared" si="179"/>
        <v>562157.17174365371</v>
      </c>
      <c r="U139" s="269">
        <f t="shared" si="179"/>
        <v>566285.82906367048</v>
      </c>
      <c r="V139" s="269">
        <f t="shared" si="179"/>
        <v>581276.63925509783</v>
      </c>
      <c r="W139" s="269">
        <f t="shared" si="179"/>
        <v>590368.53734082403</v>
      </c>
      <c r="X139" s="269">
        <f t="shared" si="179"/>
        <v>575026.70295151894</v>
      </c>
      <c r="Y139" s="269">
        <f t="shared" si="179"/>
        <v>593408.78157511447</v>
      </c>
      <c r="Z139" s="269">
        <f t="shared" si="179"/>
        <v>588436.36600083217</v>
      </c>
      <c r="AA139" s="269">
        <f t="shared" si="179"/>
        <v>575381.19714939676</v>
      </c>
      <c r="AB139" s="269">
        <f t="shared" si="179"/>
        <v>550215.69059508946</v>
      </c>
      <c r="AC139" s="269">
        <f t="shared" si="179"/>
        <v>577078.00109953701</v>
      </c>
      <c r="AD139" s="710">
        <f t="shared" ref="AD139:AL139" si="180">AD83+AD137</f>
        <v>613719.01995880145</v>
      </c>
      <c r="AE139" s="710">
        <f t="shared" si="180"/>
        <v>579066.05685767788</v>
      </c>
      <c r="AF139" s="710">
        <f t="shared" si="180"/>
        <v>587297.41479026212</v>
      </c>
      <c r="AG139" s="710">
        <f t="shared" si="180"/>
        <v>608548.05255056173</v>
      </c>
      <c r="AH139" s="269">
        <f t="shared" si="180"/>
        <v>597170.85920266341</v>
      </c>
      <c r="AI139" s="710">
        <f t="shared" si="180"/>
        <v>626733.01541385776</v>
      </c>
      <c r="AJ139" s="710">
        <f t="shared" si="180"/>
        <v>654080.13331273408</v>
      </c>
      <c r="AK139" s="710">
        <f t="shared" si="180"/>
        <v>680292.26091760304</v>
      </c>
      <c r="AL139" s="710">
        <f t="shared" si="180"/>
        <v>689330.82957303384</v>
      </c>
      <c r="AM139" s="269">
        <f t="shared" ref="AM139:BA139" si="181">AM83+AM137</f>
        <v>662295.23750749056</v>
      </c>
      <c r="AN139" s="269">
        <f t="shared" si="181"/>
        <v>670256.28700203868</v>
      </c>
      <c r="AO139" s="269">
        <f t="shared" si="181"/>
        <v>725750.53306387342</v>
      </c>
      <c r="AP139" s="269">
        <f t="shared" si="181"/>
        <v>666167.79296383425</v>
      </c>
      <c r="AQ139" s="269">
        <f t="shared" si="181"/>
        <v>630260.65864090226</v>
      </c>
      <c r="AR139" s="269">
        <f t="shared" si="181"/>
        <v>608724.10125040729</v>
      </c>
      <c r="AS139" s="269">
        <f t="shared" si="181"/>
        <v>605163.14852947171</v>
      </c>
      <c r="AT139" s="269">
        <f t="shared" si="181"/>
        <v>606380.42419506889</v>
      </c>
      <c r="AU139" s="269">
        <f t="shared" si="181"/>
        <v>614775.15644726402</v>
      </c>
      <c r="AV139" s="269">
        <f t="shared" si="181"/>
        <v>354259.85344419105</v>
      </c>
      <c r="AW139" s="269">
        <f t="shared" si="181"/>
        <v>330577.4415963043</v>
      </c>
      <c r="AX139" s="269">
        <f t="shared" si="181"/>
        <v>326049.50943710201</v>
      </c>
      <c r="AY139" s="269">
        <f t="shared" si="181"/>
        <v>325531.96890708321</v>
      </c>
      <c r="AZ139" s="269">
        <f t="shared" si="181"/>
        <v>233355.29495746363</v>
      </c>
      <c r="BA139" s="269">
        <f t="shared" si="181"/>
        <v>227530.88804472884</v>
      </c>
    </row>
    <row r="140" spans="1:54" s="12" customFormat="1" ht="12.75" customHeight="1">
      <c r="A140" s="374"/>
      <c r="B140" s="23" t="s">
        <v>648</v>
      </c>
      <c r="C140" s="13"/>
      <c r="D140" s="13"/>
      <c r="E140" s="13"/>
      <c r="F140" s="13"/>
      <c r="G140" s="13"/>
      <c r="H140" s="13"/>
      <c r="I140" s="13"/>
      <c r="J140" s="13"/>
      <c r="K140" s="13"/>
      <c r="L140" s="13"/>
      <c r="M140" s="13"/>
      <c r="N140" s="31">
        <f t="shared" ref="N140:AC140" si="182">N139/N18</f>
        <v>0.84211941356301478</v>
      </c>
      <c r="O140" s="31">
        <f t="shared" si="182"/>
        <v>0.80339702722213524</v>
      </c>
      <c r="P140" s="31">
        <f t="shared" si="182"/>
        <v>0.81675578649059866</v>
      </c>
      <c r="Q140" s="31">
        <f t="shared" si="182"/>
        <v>0.84280276906713392</v>
      </c>
      <c r="R140" s="31">
        <f t="shared" si="182"/>
        <v>0.83098156851370741</v>
      </c>
      <c r="S140" s="31">
        <f t="shared" si="182"/>
        <v>0.83629479835572929</v>
      </c>
      <c r="T140" s="31">
        <f t="shared" si="182"/>
        <v>0.83904055484127416</v>
      </c>
      <c r="U140" s="31">
        <f t="shared" si="182"/>
        <v>0.82790325886501537</v>
      </c>
      <c r="V140" s="31">
        <f t="shared" si="182"/>
        <v>0.85106389349209055</v>
      </c>
      <c r="W140" s="31">
        <f t="shared" si="182"/>
        <v>0.85190265128546039</v>
      </c>
      <c r="X140" s="31">
        <f t="shared" si="182"/>
        <v>0.84252996769453325</v>
      </c>
      <c r="Y140" s="31">
        <f t="shared" si="182"/>
        <v>0.85137558332154151</v>
      </c>
      <c r="Z140" s="31">
        <f t="shared" si="182"/>
        <v>0.84062338000118886</v>
      </c>
      <c r="AA140" s="31">
        <f t="shared" si="182"/>
        <v>0.82907953479740171</v>
      </c>
      <c r="AB140" s="31">
        <f t="shared" si="182"/>
        <v>0.81392853638326845</v>
      </c>
      <c r="AC140" s="31">
        <f t="shared" si="182"/>
        <v>0.83422913061010051</v>
      </c>
      <c r="AD140" s="31">
        <f t="shared" ref="AD140:AL140" si="183">AD139/AD18</f>
        <v>0.88051509319770649</v>
      </c>
      <c r="AE140" s="31">
        <f t="shared" si="183"/>
        <v>0.78999462054253466</v>
      </c>
      <c r="AF140" s="31">
        <f t="shared" si="183"/>
        <v>0.7758222124045735</v>
      </c>
      <c r="AG140" s="31">
        <f t="shared" si="183"/>
        <v>0.77720057797006603</v>
      </c>
      <c r="AH140" s="31">
        <f t="shared" si="183"/>
        <v>0.80427051744466449</v>
      </c>
      <c r="AI140" s="31">
        <f t="shared" si="183"/>
        <v>0.78146261273548345</v>
      </c>
      <c r="AJ140" s="31">
        <f t="shared" si="183"/>
        <v>0.78052521875027936</v>
      </c>
      <c r="AK140" s="31">
        <f t="shared" si="183"/>
        <v>0.7910375126948872</v>
      </c>
      <c r="AL140" s="31">
        <f t="shared" si="183"/>
        <v>0.79783660830212255</v>
      </c>
      <c r="AM140" s="31">
        <f t="shared" ref="AM140:BA140" si="184">AM139/AM18</f>
        <v>0.78750920036562488</v>
      </c>
      <c r="AN140" s="31">
        <f t="shared" si="184"/>
        <v>0.78239974273544433</v>
      </c>
      <c r="AO140" s="31">
        <f t="shared" si="184"/>
        <v>0.83172521439690972</v>
      </c>
      <c r="AP140" s="31">
        <f t="shared" si="184"/>
        <v>0.7495515443147609</v>
      </c>
      <c r="AQ140" s="31">
        <f t="shared" si="184"/>
        <v>0.69627991730606265</v>
      </c>
      <c r="AR140" s="31">
        <f t="shared" si="184"/>
        <v>0.66031348844868831</v>
      </c>
      <c r="AS140" s="31">
        <f t="shared" si="184"/>
        <v>0.64459676917933728</v>
      </c>
      <c r="AT140" s="31">
        <f t="shared" si="184"/>
        <v>0.63425888270716291</v>
      </c>
      <c r="AU140" s="31">
        <f t="shared" si="184"/>
        <v>0.63148489700825849</v>
      </c>
      <c r="AV140" s="31">
        <f t="shared" si="184"/>
        <v>0.35736597112108204</v>
      </c>
      <c r="AW140" s="31">
        <f t="shared" si="184"/>
        <v>0.32751272955370098</v>
      </c>
      <c r="AX140" s="31">
        <f t="shared" si="184"/>
        <v>0.31726425348865156</v>
      </c>
      <c r="AY140" s="31">
        <f t="shared" si="184"/>
        <v>0.31112331846695607</v>
      </c>
      <c r="AZ140" s="31">
        <f t="shared" si="184"/>
        <v>0.21906672153002535</v>
      </c>
      <c r="BA140" s="31">
        <f t="shared" si="184"/>
        <v>0.20981534712464806</v>
      </c>
    </row>
    <row r="141" spans="1:54" s="12" customFormat="1" ht="12.75" customHeight="1">
      <c r="A141" s="374"/>
      <c r="B141" s="112"/>
      <c r="AI141" s="692"/>
      <c r="AJ141" s="692"/>
      <c r="AK141" s="692"/>
      <c r="AL141" s="692"/>
    </row>
    <row r="142" spans="1:54" ht="12.75" customHeight="1">
      <c r="B142" s="370" t="s">
        <v>659</v>
      </c>
      <c r="C142" s="387"/>
      <c r="D142" s="405"/>
      <c r="E142" s="405"/>
      <c r="F142" s="405"/>
      <c r="G142" s="405"/>
      <c r="H142" s="405"/>
      <c r="I142" s="405"/>
      <c r="J142" s="405"/>
      <c r="K142" s="405"/>
      <c r="L142" s="405"/>
      <c r="M142" s="405"/>
      <c r="N142" s="405"/>
      <c r="O142" s="405"/>
      <c r="P142" s="405"/>
      <c r="Q142" s="405"/>
      <c r="R142" s="405"/>
      <c r="S142" s="405"/>
      <c r="T142" s="405"/>
      <c r="U142" s="405"/>
      <c r="V142" s="405"/>
      <c r="W142" s="405"/>
      <c r="X142" s="405"/>
      <c r="Y142" s="405"/>
      <c r="Z142" s="405"/>
      <c r="AA142" s="405"/>
      <c r="AB142" s="405"/>
      <c r="AC142" s="405"/>
      <c r="AD142" s="405"/>
      <c r="AE142" s="405"/>
      <c r="AF142" s="405"/>
      <c r="AG142" s="405"/>
      <c r="AH142" s="405"/>
      <c r="AI142" s="405"/>
      <c r="AJ142" s="405"/>
      <c r="AK142" s="405"/>
      <c r="AL142" s="405"/>
      <c r="AM142" s="405"/>
      <c r="AN142" s="405"/>
      <c r="AO142" s="405"/>
      <c r="AP142" s="405"/>
      <c r="AQ142" s="405"/>
      <c r="AR142" s="405"/>
      <c r="AS142" s="405"/>
      <c r="AT142" s="405"/>
      <c r="AU142" s="405"/>
      <c r="AV142" s="405"/>
      <c r="AW142" s="405"/>
      <c r="AX142" s="405"/>
      <c r="AY142" s="405"/>
      <c r="AZ142" s="405"/>
      <c r="BA142" s="405"/>
      <c r="BB142" s="188"/>
    </row>
    <row r="143" spans="1:54" ht="12.75" customHeight="1">
      <c r="B143" s="197"/>
      <c r="C143" s="187"/>
      <c r="D143" s="188"/>
      <c r="E143" s="188"/>
      <c r="F143" s="188"/>
      <c r="G143" s="188"/>
      <c r="H143" s="188"/>
      <c r="I143" s="188"/>
      <c r="J143" s="188"/>
      <c r="K143" s="188"/>
      <c r="L143" s="188"/>
      <c r="M143" s="188"/>
      <c r="N143" s="188"/>
      <c r="O143" s="188"/>
      <c r="P143" s="188"/>
      <c r="Q143" s="188"/>
      <c r="R143" s="188"/>
      <c r="S143" s="188"/>
      <c r="T143" s="188"/>
      <c r="U143" s="188"/>
      <c r="V143" s="188"/>
      <c r="W143" s="188"/>
      <c r="X143" s="188"/>
      <c r="Y143" s="188"/>
      <c r="Z143" s="188"/>
      <c r="AA143" s="188"/>
      <c r="AB143" s="188"/>
      <c r="AC143" s="188"/>
      <c r="AD143" s="188"/>
      <c r="AE143" s="188"/>
      <c r="AF143" s="188"/>
      <c r="AG143" s="188"/>
      <c r="AH143" s="188"/>
      <c r="AI143" s="188"/>
      <c r="AJ143" s="188"/>
      <c r="AK143" s="188"/>
      <c r="AL143" s="188"/>
      <c r="AM143" s="188"/>
      <c r="AN143" s="188"/>
      <c r="AO143" s="188"/>
      <c r="AP143" s="188"/>
      <c r="AQ143" s="188"/>
      <c r="AR143" s="188"/>
      <c r="AS143" s="188"/>
      <c r="AT143" s="188"/>
      <c r="AU143" s="188"/>
      <c r="AV143" s="188"/>
      <c r="AW143" s="188"/>
      <c r="AX143" s="188"/>
      <c r="AY143" s="188"/>
      <c r="AZ143" s="188"/>
      <c r="BA143" s="188"/>
      <c r="BB143" s="188"/>
    </row>
    <row r="144" spans="1:54" s="77" customFormat="1" ht="12.75" customHeight="1">
      <c r="A144" s="384"/>
      <c r="B144" s="406" t="s">
        <v>643</v>
      </c>
      <c r="C144" s="407"/>
      <c r="D144" s="408"/>
      <c r="E144" s="408"/>
      <c r="F144" s="408"/>
      <c r="G144" s="408"/>
      <c r="H144" s="408"/>
      <c r="I144" s="408"/>
      <c r="J144" s="408"/>
      <c r="K144" s="408"/>
      <c r="L144" s="408"/>
      <c r="M144" s="408"/>
      <c r="N144" s="408"/>
      <c r="O144" s="408"/>
      <c r="P144" s="408"/>
      <c r="Q144" s="408"/>
      <c r="R144" s="408"/>
      <c r="S144" s="408"/>
      <c r="T144" s="408"/>
      <c r="U144" s="408"/>
      <c r="V144" s="408"/>
      <c r="W144" s="408"/>
      <c r="X144" s="408"/>
      <c r="Y144" s="408"/>
      <c r="Z144" s="408"/>
      <c r="AA144" s="408"/>
      <c r="AB144" s="408"/>
      <c r="AC144" s="408"/>
      <c r="AD144" s="408"/>
      <c r="AE144" s="408"/>
      <c r="AF144" s="408"/>
      <c r="AG144" s="408"/>
      <c r="AH144" s="408"/>
      <c r="AI144" s="408"/>
      <c r="AJ144" s="408"/>
      <c r="AK144" s="408"/>
      <c r="AL144" s="408"/>
      <c r="AM144" s="408"/>
      <c r="AN144" s="408"/>
      <c r="AO144" s="408"/>
      <c r="AP144" s="408"/>
      <c r="AQ144" s="408"/>
      <c r="AR144" s="408"/>
      <c r="AS144" s="408"/>
      <c r="AT144" s="408"/>
      <c r="AU144" s="408"/>
      <c r="AV144" s="408"/>
      <c r="AW144" s="408"/>
      <c r="AX144" s="408"/>
      <c r="AY144" s="408"/>
      <c r="AZ144" s="408"/>
      <c r="BA144" s="408"/>
      <c r="BB144" s="116"/>
    </row>
    <row r="145" spans="1:56" s="116" customFormat="1" ht="12.75" customHeight="1">
      <c r="A145" s="372"/>
      <c r="B145" s="231" t="s">
        <v>640</v>
      </c>
      <c r="D145" s="116">
        <f t="shared" ref="D145:AC145" si="185">D73</f>
        <v>53276.986836632947</v>
      </c>
      <c r="E145" s="116">
        <f t="shared" si="185"/>
        <v>53393.607328439983</v>
      </c>
      <c r="F145" s="116">
        <f t="shared" si="185"/>
        <v>99278.554926645753</v>
      </c>
      <c r="G145" s="116">
        <f t="shared" si="185"/>
        <v>114488.77011041786</v>
      </c>
      <c r="H145" s="116">
        <f t="shared" si="185"/>
        <v>87049.935076690293</v>
      </c>
      <c r="I145" s="116">
        <f t="shared" si="185"/>
        <v>70845.00873195949</v>
      </c>
      <c r="J145" s="116">
        <f t="shared" si="185"/>
        <v>55502.278656438488</v>
      </c>
      <c r="K145" s="116">
        <f t="shared" si="185"/>
        <v>47521.307994161296</v>
      </c>
      <c r="L145" s="116">
        <f t="shared" si="185"/>
        <v>39118.425385000002</v>
      </c>
      <c r="M145" s="116">
        <f t="shared" si="185"/>
        <v>33925.851999999999</v>
      </c>
      <c r="N145" s="116">
        <f t="shared" si="185"/>
        <v>26530.305197981088</v>
      </c>
      <c r="O145" s="116">
        <f t="shared" si="185"/>
        <v>17732.377330420306</v>
      </c>
      <c r="P145" s="116">
        <f t="shared" si="185"/>
        <v>17707.921587598834</v>
      </c>
      <c r="Q145" s="116">
        <f t="shared" si="185"/>
        <v>15687.541801914274</v>
      </c>
      <c r="R145" s="116">
        <f t="shared" si="185"/>
        <v>14616.212552018311</v>
      </c>
      <c r="S145" s="116">
        <f t="shared" si="185"/>
        <v>16436.01331798793</v>
      </c>
      <c r="T145" s="116">
        <f t="shared" si="185"/>
        <v>18914.343487307531</v>
      </c>
      <c r="U145" s="116">
        <f t="shared" si="185"/>
        <v>12891.658127340825</v>
      </c>
      <c r="V145" s="116">
        <f t="shared" si="185"/>
        <v>12893.278510195589</v>
      </c>
      <c r="W145" s="116">
        <f t="shared" si="185"/>
        <v>10877.07468164794</v>
      </c>
      <c r="X145" s="116">
        <f t="shared" si="185"/>
        <v>13894.088701622972</v>
      </c>
      <c r="Y145" s="116">
        <f t="shared" si="185"/>
        <v>10933.684992717437</v>
      </c>
      <c r="Z145" s="116">
        <f t="shared" si="185"/>
        <v>10985.458801498127</v>
      </c>
      <c r="AA145" s="116">
        <f t="shared" si="185"/>
        <v>10050.035153974199</v>
      </c>
      <c r="AB145" s="116">
        <f t="shared" si="185"/>
        <v>7129.1049521431542</v>
      </c>
      <c r="AC145" s="116">
        <f t="shared" si="185"/>
        <v>9774.5709750832302</v>
      </c>
      <c r="AH145" s="116">
        <f>AH73</f>
        <v>10450.728792759051</v>
      </c>
      <c r="AI145" s="696"/>
      <c r="AJ145" s="696"/>
      <c r="AK145" s="696"/>
      <c r="AL145" s="696"/>
      <c r="AM145" s="116">
        <f t="shared" ref="AM145:BA145" si="186">AM73</f>
        <v>8849.2469106325443</v>
      </c>
      <c r="AN145" s="116">
        <f t="shared" si="186"/>
        <v>11045.6387764397</v>
      </c>
      <c r="AO145" s="116">
        <f t="shared" si="186"/>
        <v>8442.7341191446449</v>
      </c>
      <c r="AP145" s="116">
        <f t="shared" si="186"/>
        <v>860.38599395907681</v>
      </c>
      <c r="AQ145" s="116">
        <f t="shared" si="186"/>
        <v>87.676457002729379</v>
      </c>
      <c r="AR145" s="116">
        <f t="shared" si="186"/>
        <v>8.9341311024003929</v>
      </c>
      <c r="AS145" s="116">
        <f t="shared" si="186"/>
        <v>0.91033563989726451</v>
      </c>
      <c r="AT145" s="116">
        <f t="shared" si="186"/>
        <v>9.275362402056414E-2</v>
      </c>
      <c r="AU145" s="116">
        <f t="shared" si="186"/>
        <v>9.4501904901547109E-3</v>
      </c>
      <c r="AV145" s="116">
        <f t="shared" si="186"/>
        <v>9.627882615669285E-4</v>
      </c>
      <c r="AW145" s="116">
        <f t="shared" si="186"/>
        <v>9.8084813124575313E-5</v>
      </c>
      <c r="AX145" s="116">
        <f t="shared" si="186"/>
        <v>9.9920297034850027E-6</v>
      </c>
      <c r="AY145" s="116">
        <f t="shared" si="186"/>
        <v>1.0178571508574762E-6</v>
      </c>
      <c r="AZ145" s="116">
        <f t="shared" si="186"/>
        <v>1.0368151052254693E-7</v>
      </c>
      <c r="BA145" s="116">
        <f t="shared" si="186"/>
        <v>1.0560813271704012E-8</v>
      </c>
    </row>
    <row r="146" spans="1:56" s="116" customFormat="1" ht="12.75" customHeight="1">
      <c r="A146" s="372"/>
      <c r="B146" s="231" t="s">
        <v>641</v>
      </c>
      <c r="D146" s="116">
        <f t="shared" ref="D146:AC146" si="187">D127</f>
        <v>1309.705773706218</v>
      </c>
      <c r="E146" s="116">
        <f t="shared" si="187"/>
        <v>2643.8691428802517</v>
      </c>
      <c r="F146" s="116">
        <f t="shared" si="187"/>
        <v>6591.6821586369388</v>
      </c>
      <c r="G146" s="116">
        <f t="shared" si="187"/>
        <v>3285.9080605289801</v>
      </c>
      <c r="H146" s="116">
        <f t="shared" si="187"/>
        <v>2851.2697703618628</v>
      </c>
      <c r="I146" s="116">
        <f t="shared" si="187"/>
        <v>2457.1019755321095</v>
      </c>
      <c r="J146" s="116">
        <f t="shared" si="187"/>
        <v>1379.3999999999994</v>
      </c>
      <c r="K146" s="116">
        <f t="shared" si="187"/>
        <v>1142.9999999999998</v>
      </c>
      <c r="L146" s="116">
        <f t="shared" si="187"/>
        <v>1121.7625</v>
      </c>
      <c r="M146" s="116">
        <f t="shared" si="187"/>
        <v>1191.0999999999999</v>
      </c>
      <c r="N146" s="116">
        <f t="shared" si="187"/>
        <v>1231.825</v>
      </c>
      <c r="O146" s="116">
        <f t="shared" si="187"/>
        <v>1267.6226695796922</v>
      </c>
      <c r="P146" s="116">
        <f t="shared" si="187"/>
        <v>1292.0784124011652</v>
      </c>
      <c r="Q146" s="116">
        <f t="shared" si="187"/>
        <v>1312.4581980857263</v>
      </c>
      <c r="R146" s="116">
        <f t="shared" si="187"/>
        <v>1383.7874479816896</v>
      </c>
      <c r="S146" s="116">
        <f t="shared" si="187"/>
        <v>1313.9866820120683</v>
      </c>
      <c r="T146" s="116">
        <f t="shared" si="187"/>
        <v>1085.6565126924677</v>
      </c>
      <c r="U146" s="116">
        <f t="shared" si="187"/>
        <v>1108.341872659176</v>
      </c>
      <c r="V146" s="116">
        <f t="shared" si="187"/>
        <v>1106.721489804411</v>
      </c>
      <c r="W146" s="116">
        <f t="shared" si="187"/>
        <v>1122.9253183520598</v>
      </c>
      <c r="X146" s="116">
        <f t="shared" si="187"/>
        <v>1105.9112983770285</v>
      </c>
      <c r="Y146" s="116">
        <f t="shared" si="187"/>
        <v>1066.3150072825633</v>
      </c>
      <c r="Z146" s="116">
        <f t="shared" si="187"/>
        <v>1014.5411985018725</v>
      </c>
      <c r="AA146" s="116">
        <f t="shared" si="187"/>
        <v>949.96484602580108</v>
      </c>
      <c r="AB146" s="116">
        <f t="shared" si="187"/>
        <v>870.89504785684551</v>
      </c>
      <c r="AC146" s="116">
        <f t="shared" si="187"/>
        <v>946.88498881606336</v>
      </c>
      <c r="AH146" s="116">
        <f>AH127</f>
        <v>712.97056179775279</v>
      </c>
      <c r="AI146" s="696"/>
      <c r="AJ146" s="696"/>
      <c r="AK146" s="696"/>
      <c r="AL146" s="696"/>
      <c r="AM146" s="116">
        <f t="shared" ref="AM146:BA146" si="188">AM127</f>
        <v>468.12919330004155</v>
      </c>
      <c r="AN146" s="116">
        <f t="shared" si="188"/>
        <v>135.38623371385242</v>
      </c>
      <c r="AO146" s="116">
        <f t="shared" si="188"/>
        <v>102.77188074546831</v>
      </c>
      <c r="AP146" s="116">
        <f t="shared" si="188"/>
        <v>10.400987201163201</v>
      </c>
      <c r="AQ146" s="116">
        <f t="shared" si="188"/>
        <v>1.0525350095227775</v>
      </c>
      <c r="AR146" s="116">
        <f t="shared" si="188"/>
        <v>0.10650261412778385</v>
      </c>
      <c r="AS146" s="116">
        <f t="shared" si="188"/>
        <v>1.0775705267932043E-2</v>
      </c>
      <c r="AT146" s="116">
        <f t="shared" si="188"/>
        <v>1.0901665221575911E-3</v>
      </c>
      <c r="AU146" s="116">
        <f t="shared" si="188"/>
        <v>1.1028124269865152E-4</v>
      </c>
      <c r="AV146" s="116">
        <f t="shared" si="188"/>
        <v>1.1155064832524841E-5</v>
      </c>
      <c r="AW146" s="116">
        <f t="shared" si="188"/>
        <v>1.1282468740952843E-6</v>
      </c>
      <c r="AX146" s="116">
        <f t="shared" si="188"/>
        <v>1.141031722612071E-7</v>
      </c>
      <c r="AY146" s="116">
        <f t="shared" si="188"/>
        <v>1.1538590906269516E-8</v>
      </c>
      <c r="AZ146" s="116">
        <f t="shared" si="188"/>
        <v>1.1667269774397444E-9</v>
      </c>
      <c r="BA146" s="116">
        <f t="shared" si="188"/>
        <v>1.1796333185536104E-10</v>
      </c>
    </row>
    <row r="147" spans="1:56" s="249" customFormat="1" ht="12.75" customHeight="1">
      <c r="A147" s="409"/>
      <c r="B147" s="248" t="s">
        <v>446</v>
      </c>
      <c r="D147" s="250">
        <v>1</v>
      </c>
      <c r="E147" s="250">
        <v>9</v>
      </c>
      <c r="F147" s="250">
        <v>11</v>
      </c>
      <c r="G147" s="250">
        <v>11</v>
      </c>
      <c r="H147" s="250">
        <v>11</v>
      </c>
      <c r="I147" s="250">
        <v>11</v>
      </c>
      <c r="J147" s="250">
        <v>11</v>
      </c>
      <c r="K147" s="250">
        <v>11</v>
      </c>
      <c r="L147" s="250">
        <v>11</v>
      </c>
      <c r="M147" s="250">
        <v>11</v>
      </c>
      <c r="N147" s="250">
        <v>11</v>
      </c>
      <c r="O147" s="250">
        <f>S147/4</f>
        <v>2.75</v>
      </c>
      <c r="P147" s="250">
        <f>S147/4</f>
        <v>2.75</v>
      </c>
      <c r="Q147" s="250">
        <f>S147/4</f>
        <v>2.75</v>
      </c>
      <c r="R147" s="250">
        <f>S147/4</f>
        <v>2.75</v>
      </c>
      <c r="S147" s="250">
        <v>11</v>
      </c>
      <c r="T147" s="250">
        <f>X147/4</f>
        <v>2.75</v>
      </c>
      <c r="U147" s="250">
        <f>X147/4</f>
        <v>2.75</v>
      </c>
      <c r="V147" s="250">
        <f>X147/4</f>
        <v>2.75</v>
      </c>
      <c r="W147" s="250">
        <f>X147/4</f>
        <v>2.75</v>
      </c>
      <c r="X147" s="250">
        <v>11</v>
      </c>
      <c r="Y147" s="250">
        <f>AC147/4</f>
        <v>2.75</v>
      </c>
      <c r="Z147" s="250">
        <f>AC147/4</f>
        <v>2.75</v>
      </c>
      <c r="AA147" s="250">
        <f>AC147/4</f>
        <v>2.75</v>
      </c>
      <c r="AB147" s="250">
        <f>AC147/4</f>
        <v>2.75</v>
      </c>
      <c r="AC147" s="250">
        <v>11</v>
      </c>
      <c r="AD147" s="250"/>
      <c r="AE147" s="250"/>
      <c r="AF147" s="250"/>
      <c r="AG147" s="250"/>
      <c r="AH147" s="250">
        <v>11</v>
      </c>
      <c r="AI147" s="250"/>
      <c r="AJ147" s="250"/>
      <c r="AK147" s="250"/>
      <c r="AL147" s="250"/>
      <c r="AM147" s="250">
        <v>11</v>
      </c>
      <c r="AN147" s="250">
        <v>11</v>
      </c>
      <c r="AO147" s="250">
        <v>11</v>
      </c>
      <c r="AP147" s="250">
        <v>11</v>
      </c>
      <c r="AQ147" s="250">
        <v>11</v>
      </c>
      <c r="AR147" s="250">
        <v>11</v>
      </c>
      <c r="AS147" s="250">
        <v>11</v>
      </c>
      <c r="AT147" s="250">
        <v>11</v>
      </c>
      <c r="AU147" s="250">
        <v>11</v>
      </c>
      <c r="AV147" s="250">
        <v>11</v>
      </c>
      <c r="AW147" s="250">
        <v>11</v>
      </c>
      <c r="AX147" s="250">
        <v>11</v>
      </c>
      <c r="AY147" s="250">
        <v>11</v>
      </c>
      <c r="AZ147" s="250">
        <v>11</v>
      </c>
      <c r="BA147" s="250">
        <v>11</v>
      </c>
      <c r="BB147" s="250"/>
    </row>
    <row r="148" spans="1:56" s="249" customFormat="1" ht="12.75" customHeight="1">
      <c r="A148" s="409"/>
      <c r="B148" s="248" t="s">
        <v>447</v>
      </c>
      <c r="D148" s="250">
        <f>D147/2</f>
        <v>0.5</v>
      </c>
      <c r="E148" s="250">
        <f>E147/2</f>
        <v>4.5</v>
      </c>
      <c r="F148" s="250">
        <v>6</v>
      </c>
      <c r="G148" s="250">
        <v>6</v>
      </c>
      <c r="H148" s="250">
        <v>6</v>
      </c>
      <c r="I148" s="250">
        <v>6</v>
      </c>
      <c r="J148" s="250">
        <v>6</v>
      </c>
      <c r="K148" s="250">
        <v>6</v>
      </c>
      <c r="L148" s="250">
        <v>6</v>
      </c>
      <c r="M148" s="250">
        <v>6</v>
      </c>
      <c r="N148" s="250">
        <v>6</v>
      </c>
      <c r="O148" s="250">
        <f>S148/4</f>
        <v>1.5</v>
      </c>
      <c r="P148" s="250">
        <f>S148/4</f>
        <v>1.5</v>
      </c>
      <c r="Q148" s="250">
        <f>S148/4</f>
        <v>1.5</v>
      </c>
      <c r="R148" s="250">
        <f>S148/4</f>
        <v>1.5</v>
      </c>
      <c r="S148" s="250">
        <v>6</v>
      </c>
      <c r="T148" s="250">
        <f>X148/4</f>
        <v>1.5</v>
      </c>
      <c r="U148" s="250">
        <f>X148/4</f>
        <v>1.5</v>
      </c>
      <c r="V148" s="250">
        <f>X148/4</f>
        <v>1.5</v>
      </c>
      <c r="W148" s="250">
        <f>X148/4</f>
        <v>1.5</v>
      </c>
      <c r="X148" s="250">
        <v>6</v>
      </c>
      <c r="Y148" s="250">
        <f>AC148/4</f>
        <v>1.5</v>
      </c>
      <c r="Z148" s="250">
        <f>AC148/4</f>
        <v>1.5</v>
      </c>
      <c r="AA148" s="250">
        <f>AC148/4</f>
        <v>1.5</v>
      </c>
      <c r="AB148" s="250">
        <f>AC148/4</f>
        <v>1.5</v>
      </c>
      <c r="AC148" s="250">
        <v>6</v>
      </c>
      <c r="AD148" s="250"/>
      <c r="AE148" s="250"/>
      <c r="AF148" s="250"/>
      <c r="AG148" s="250"/>
      <c r="AH148" s="250">
        <v>6</v>
      </c>
      <c r="AI148" s="250"/>
      <c r="AJ148" s="250"/>
      <c r="AK148" s="250"/>
      <c r="AL148" s="250"/>
      <c r="AM148" s="250">
        <v>6</v>
      </c>
      <c r="AN148" s="250">
        <v>6</v>
      </c>
      <c r="AO148" s="250">
        <v>6</v>
      </c>
      <c r="AP148" s="250">
        <v>6</v>
      </c>
      <c r="AQ148" s="250">
        <v>6</v>
      </c>
      <c r="AR148" s="250">
        <v>6</v>
      </c>
      <c r="AS148" s="250">
        <v>6</v>
      </c>
      <c r="AT148" s="250">
        <v>6</v>
      </c>
      <c r="AU148" s="250">
        <v>6</v>
      </c>
      <c r="AV148" s="250">
        <v>6</v>
      </c>
      <c r="AW148" s="250">
        <v>6</v>
      </c>
      <c r="AX148" s="250">
        <v>6</v>
      </c>
      <c r="AY148" s="250">
        <v>6</v>
      </c>
      <c r="AZ148" s="250">
        <v>6</v>
      </c>
      <c r="BA148" s="250">
        <v>6</v>
      </c>
      <c r="BB148" s="250"/>
    </row>
    <row r="149" spans="1:56" s="116" customFormat="1" ht="12.75" customHeight="1">
      <c r="A149" s="372">
        <v>0.85</v>
      </c>
      <c r="B149" s="253" t="s">
        <v>635</v>
      </c>
      <c r="D149" s="116">
        <f>340*$A$149</f>
        <v>289</v>
      </c>
      <c r="E149" s="116">
        <f>(360*1/3+340*2/3)*$A$149</f>
        <v>294.66666666666663</v>
      </c>
      <c r="F149" s="116">
        <f>(360*1/2+380*1/2)*$A$149</f>
        <v>314.5</v>
      </c>
      <c r="G149" s="116">
        <f>(380*1/2+398*1/2)*$A$149</f>
        <v>330.65</v>
      </c>
      <c r="H149" s="116">
        <f>(398*1/2+416.71*1/2)*$A$149</f>
        <v>346.25175000000002</v>
      </c>
      <c r="I149" s="116">
        <f>(416.71*1/4+442.56*3/4)*$A$149</f>
        <v>370.68287500000002</v>
      </c>
      <c r="J149" s="116">
        <f>(482.39*3/4+511.82*1/4)*$A$149</f>
        <v>416.28537499999999</v>
      </c>
      <c r="K149" s="116">
        <f>(511.82*1/4+552.25*3/4)*$A$149</f>
        <v>460.82112499999999</v>
      </c>
      <c r="L149" s="116">
        <f>(552.25*1/4+595.88*3/4)*$A$149</f>
        <v>497.22662499999996</v>
      </c>
      <c r="M149" s="116">
        <f>642.95*$A$149</f>
        <v>546.50750000000005</v>
      </c>
      <c r="N149" s="116">
        <f>(693.74*3/4+727.73*1/4)*$A$149</f>
        <v>596.90187500000002</v>
      </c>
      <c r="O149" s="116">
        <f>727.73*$A$149</f>
        <v>618.57050000000004</v>
      </c>
      <c r="P149" s="116">
        <f>785.22*$A$149</f>
        <v>667.43700000000001</v>
      </c>
      <c r="Q149" s="116">
        <f>785.22*$A$149</f>
        <v>667.43700000000001</v>
      </c>
      <c r="R149" s="116">
        <f>785.22*$A$149</f>
        <v>667.43700000000001</v>
      </c>
      <c r="S149" s="116">
        <f>AVERAGE(O149:R149)</f>
        <v>655.22037499999999</v>
      </c>
      <c r="T149" s="116">
        <f>832.33*$A$149</f>
        <v>707.48050000000001</v>
      </c>
      <c r="U149" s="116">
        <f>832.33*$A$149</f>
        <v>707.48050000000001</v>
      </c>
      <c r="V149" s="116">
        <f>832.33*$A$149</f>
        <v>707.48050000000001</v>
      </c>
      <c r="W149" s="116">
        <f>832.33*$A$149</f>
        <v>707.48050000000001</v>
      </c>
      <c r="X149" s="116">
        <f>AVERAGE(T149:W149)</f>
        <v>707.48050000000001</v>
      </c>
      <c r="Y149" s="116">
        <f>832.33*$A$149</f>
        <v>707.48050000000001</v>
      </c>
      <c r="Z149" s="116">
        <f>832.33*$A$149</f>
        <v>707.48050000000001</v>
      </c>
      <c r="AA149" s="116">
        <f>832.33*$A$149</f>
        <v>707.48050000000001</v>
      </c>
      <c r="AB149" s="116">
        <f>832.33*$A$149</f>
        <v>707.48050000000001</v>
      </c>
      <c r="AC149" s="116">
        <f>+X149*(1+$BC149)</f>
        <v>738.60609750000015</v>
      </c>
      <c r="AH149" s="116">
        <f>+AC149*(1+$BC149)</f>
        <v>771.1010653497583</v>
      </c>
      <c r="AI149" s="696"/>
      <c r="AJ149" s="696"/>
      <c r="AK149" s="696"/>
      <c r="AL149" s="696"/>
      <c r="AM149" s="116">
        <f>+AH149*(1+$BC149)</f>
        <v>805.02564898407445</v>
      </c>
      <c r="AN149" s="116">
        <f>+AM149*(1+$BC149)</f>
        <v>840.44274433504836</v>
      </c>
      <c r="AO149" s="116">
        <f>+AN149*(1+$BC149)</f>
        <v>877.41801444068119</v>
      </c>
      <c r="AP149" s="116">
        <f>+AO149*(1+$BC149)</f>
        <v>916.02001118367252</v>
      </c>
      <c r="AQ149" s="116">
        <f>+AP149*(1+$BC149)</f>
        <v>956.32030238611355</v>
      </c>
      <c r="AR149" s="116">
        <f t="shared" ref="AR149:BA149" si="189">+AQ149*(1+$BC149)</f>
        <v>998.39360449571029</v>
      </c>
      <c r="AS149" s="116">
        <f t="shared" si="189"/>
        <v>1042.317921109536</v>
      </c>
      <c r="AT149" s="116">
        <f t="shared" si="189"/>
        <v>1088.1746875921349</v>
      </c>
      <c r="AU149" s="116">
        <f t="shared" si="189"/>
        <v>1136.0489220560969</v>
      </c>
      <c r="AV149" s="116">
        <f t="shared" si="189"/>
        <v>1186.0293829850229</v>
      </c>
      <c r="AW149" s="116">
        <f t="shared" si="189"/>
        <v>1238.2087337911091</v>
      </c>
      <c r="AX149" s="116">
        <f t="shared" si="189"/>
        <v>1292.6837146124417</v>
      </c>
      <c r="AY149" s="116">
        <f t="shared" si="189"/>
        <v>1349.5553216685116</v>
      </c>
      <c r="AZ149" s="116">
        <f t="shared" si="189"/>
        <v>1408.9289945064729</v>
      </c>
      <c r="BA149" s="116">
        <f t="shared" si="189"/>
        <v>1470.914811485299</v>
      </c>
      <c r="BC149" s="119">
        <v>4.3994989967921401E-2</v>
      </c>
    </row>
    <row r="150" spans="1:56" s="116" customFormat="1" ht="12.75" customHeight="1">
      <c r="A150" s="372"/>
      <c r="B150" s="243" t="s">
        <v>642</v>
      </c>
      <c r="C150" s="244"/>
      <c r="D150" s="244">
        <f t="shared" ref="D150:AP150" si="190">(D147*D145*D149/1000000)+(D146*D148*D149/1000000)</f>
        <v>15.58630168008747</v>
      </c>
      <c r="E150" s="244">
        <f t="shared" si="190"/>
        <v>145.10561711848203</v>
      </c>
      <c r="F150" s="244">
        <f t="shared" si="190"/>
        <v>355.8926650020789</v>
      </c>
      <c r="G150" s="244">
        <f t="shared" si="190"/>
        <v>422.93174320838978</v>
      </c>
      <c r="H150" s="244">
        <f t="shared" si="190"/>
        <v>337.4766588208538</v>
      </c>
      <c r="I150" s="244">
        <f t="shared" si="190"/>
        <v>294.33618042454185</v>
      </c>
      <c r="J150" s="244">
        <f t="shared" si="190"/>
        <v>257.5979999999999</v>
      </c>
      <c r="K150" s="244">
        <f t="shared" si="190"/>
        <v>244.04735999999991</v>
      </c>
      <c r="L150" s="244">
        <f t="shared" si="190"/>
        <v>217.304570016036</v>
      </c>
      <c r="M150" s="244">
        <f t="shared" si="190"/>
        <v>207.85372868029</v>
      </c>
      <c r="N150" s="244">
        <f t="shared" si="190"/>
        <v>178.60754999999997</v>
      </c>
      <c r="O150" s="244">
        <f t="shared" si="190"/>
        <v>31.340166139333444</v>
      </c>
      <c r="P150" s="244">
        <f t="shared" si="190"/>
        <v>33.795607075827753</v>
      </c>
      <c r="Q150" s="244">
        <f t="shared" si="190"/>
        <v>30.107700797055323</v>
      </c>
      <c r="R150" s="244">
        <f t="shared" si="190"/>
        <v>28.212739321351808</v>
      </c>
      <c r="S150" s="244">
        <f t="shared" si="190"/>
        <v>123.62702398608523</v>
      </c>
      <c r="T150" s="244">
        <f t="shared" si="190"/>
        <v>37.951326484465099</v>
      </c>
      <c r="U150" s="244">
        <f t="shared" si="190"/>
        <v>26.257836422200189</v>
      </c>
      <c r="V150" s="244">
        <f t="shared" si="190"/>
        <v>26.259269408790537</v>
      </c>
      <c r="W150" s="244">
        <f t="shared" si="190"/>
        <v>22.353796792887032</v>
      </c>
      <c r="X150" s="244">
        <f t="shared" si="190"/>
        <v>112.82222910834287</v>
      </c>
      <c r="Y150" s="244">
        <f>(Y147*Y145*Y149/1000000)+(Y146*Y148*Y149/1000000)</f>
        <v>22.403860156862784</v>
      </c>
      <c r="Z150" s="244">
        <f>(Z147*Z145*Z149/1000000)+(Z146*Z148*Z149/1000000)</f>
        <v>22.449646357016618</v>
      </c>
      <c r="AA150" s="244">
        <f>(AA147*AA145*AA149/1000000)+(AA146*AA148*AA149/1000000)</f>
        <v>20.561183119689055</v>
      </c>
      <c r="AB150" s="244">
        <f>(AB147*AB145*AB149/1000000)+(AB146*AB148*AB149/1000000)</f>
        <v>14.794394420118396</v>
      </c>
      <c r="AC150" s="244">
        <f t="shared" si="190"/>
        <v>83.611385107297536</v>
      </c>
      <c r="AD150" s="244"/>
      <c r="AE150" s="244"/>
      <c r="AF150" s="244"/>
      <c r="AG150" s="244"/>
      <c r="AH150" s="244">
        <f t="shared" si="190"/>
        <v>91.942883322148461</v>
      </c>
      <c r="AI150" s="244"/>
      <c r="AJ150" s="244"/>
      <c r="AK150" s="244"/>
      <c r="AL150" s="244"/>
      <c r="AM150" s="244">
        <f t="shared" si="190"/>
        <v>80.623714155643626</v>
      </c>
      <c r="AN150" s="244">
        <f t="shared" si="190"/>
        <v>102.79820289509661</v>
      </c>
      <c r="AO150" s="244">
        <f t="shared" si="190"/>
        <v>82.0269204772395</v>
      </c>
      <c r="AP150" s="244">
        <f t="shared" si="190"/>
        <v>8.7266037403693399</v>
      </c>
      <c r="AQ150" s="244">
        <f>(AQ147*AQ145*AQ149/1000000)+(AQ146*AQ148*AQ149/1000000)</f>
        <v>0.9283538981943984</v>
      </c>
      <c r="AR150" s="244">
        <f t="shared" ref="AR150:BA150" si="191">(AR147*AR145*AR149/1000000)+(AR146*AR148*AR149/1000000)</f>
        <v>9.8755562070833913E-2</v>
      </c>
      <c r="AS150" s="244">
        <f t="shared" si="191"/>
        <v>1.0504840932866156E-2</v>
      </c>
      <c r="AT150" s="244">
        <f t="shared" si="191"/>
        <v>1.1173713539458063E-3</v>
      </c>
      <c r="AU150" s="244">
        <f t="shared" si="191"/>
        <v>1.1884637523656027E-4</v>
      </c>
      <c r="AV150" s="244">
        <f t="shared" si="191"/>
        <v>1.2640228253888783E-5</v>
      </c>
      <c r="AW150" s="244">
        <f t="shared" si="191"/>
        <v>1.3443262256945612E-6</v>
      </c>
      <c r="AX150" s="244">
        <f t="shared" si="191"/>
        <v>1.4296687068521343E-7</v>
      </c>
      <c r="AY150" s="244">
        <f t="shared" si="191"/>
        <v>1.5203631681591289E-8</v>
      </c>
      <c r="AZ150" s="244">
        <f t="shared" si="191"/>
        <v>1.6167417628670143E-9</v>
      </c>
      <c r="BA150" s="244">
        <f t="shared" si="191"/>
        <v>1.7191570736170868E-10</v>
      </c>
    </row>
    <row r="151" spans="1:56" s="116" customFormat="1" ht="12.75" customHeight="1">
      <c r="A151" s="372"/>
      <c r="B151" s="231"/>
      <c r="AI151" s="696"/>
      <c r="AJ151" s="696"/>
      <c r="AK151" s="696"/>
      <c r="AL151" s="696"/>
    </row>
    <row r="152" spans="1:56" ht="12.75" customHeight="1">
      <c r="B152" s="410" t="s">
        <v>644</v>
      </c>
      <c r="C152" s="411"/>
      <c r="D152" s="411"/>
      <c r="E152" s="411"/>
      <c r="F152" s="411"/>
      <c r="G152" s="411"/>
      <c r="H152" s="411"/>
      <c r="I152" s="411"/>
      <c r="J152" s="411"/>
      <c r="K152" s="411"/>
      <c r="L152" s="411"/>
      <c r="M152" s="411"/>
      <c r="N152" s="411"/>
      <c r="O152" s="411"/>
      <c r="P152" s="411"/>
      <c r="Q152" s="411"/>
      <c r="R152" s="411"/>
      <c r="S152" s="411"/>
      <c r="T152" s="411"/>
      <c r="U152" s="411"/>
      <c r="V152" s="411"/>
      <c r="W152" s="411"/>
      <c r="X152" s="411"/>
      <c r="Y152" s="411"/>
      <c r="Z152" s="411"/>
      <c r="AA152" s="411"/>
      <c r="AB152" s="411"/>
      <c r="AC152" s="411"/>
      <c r="AD152" s="411"/>
      <c r="AE152" s="411"/>
      <c r="AF152" s="411"/>
      <c r="AG152" s="411"/>
      <c r="AH152" s="411"/>
      <c r="AI152" s="721"/>
      <c r="AJ152" s="721"/>
      <c r="AK152" s="721"/>
      <c r="AL152" s="721"/>
      <c r="AM152" s="411"/>
      <c r="AN152" s="411"/>
      <c r="AO152" s="411"/>
      <c r="AP152" s="411"/>
      <c r="AQ152" s="411"/>
      <c r="AR152" s="411"/>
      <c r="AS152" s="411"/>
      <c r="AT152" s="411"/>
      <c r="AU152" s="411"/>
      <c r="AV152" s="411"/>
      <c r="AW152" s="411"/>
      <c r="AX152" s="411"/>
      <c r="AY152" s="411"/>
      <c r="AZ152" s="411"/>
      <c r="BA152" s="411"/>
    </row>
    <row r="153" spans="1:56" ht="12.75" customHeight="1">
      <c r="A153" s="372"/>
      <c r="B153" s="231" t="s">
        <v>640</v>
      </c>
      <c r="C153" s="116"/>
      <c r="D153" s="116"/>
      <c r="E153" s="116"/>
      <c r="F153" s="116"/>
      <c r="G153" s="116">
        <f t="shared" ref="G153:AD153" si="192">G74</f>
        <v>18418.000547379033</v>
      </c>
      <c r="H153" s="116">
        <f t="shared" si="192"/>
        <v>59809.838542356265</v>
      </c>
      <c r="I153" s="116">
        <f t="shared" si="192"/>
        <v>105041.10945399769</v>
      </c>
      <c r="J153" s="116">
        <f t="shared" si="192"/>
        <v>127025.79999999999</v>
      </c>
      <c r="K153" s="116">
        <f t="shared" si="192"/>
        <v>152552.4</v>
      </c>
      <c r="L153" s="116">
        <f t="shared" si="192"/>
        <v>175253.21624999997</v>
      </c>
      <c r="M153" s="116">
        <f t="shared" si="192"/>
        <v>196212.94999999998</v>
      </c>
      <c r="N153" s="116">
        <f t="shared" si="192"/>
        <v>215076.03</v>
      </c>
      <c r="O153" s="116">
        <f t="shared" si="192"/>
        <v>218774.42982937995</v>
      </c>
      <c r="P153" s="116">
        <f t="shared" si="192"/>
        <v>219978.22768622555</v>
      </c>
      <c r="Q153" s="116">
        <f t="shared" si="192"/>
        <v>220150.56850603412</v>
      </c>
      <c r="R153" s="116">
        <f t="shared" si="192"/>
        <v>216269.15547856846</v>
      </c>
      <c r="S153" s="116">
        <f t="shared" si="192"/>
        <v>218793.09537505201</v>
      </c>
      <c r="T153" s="116">
        <f t="shared" si="192"/>
        <v>213514.95010403663</v>
      </c>
      <c r="U153" s="116">
        <f t="shared" si="192"/>
        <v>192808.23940074907</v>
      </c>
      <c r="V153" s="116">
        <f t="shared" si="192"/>
        <v>197932.78510195587</v>
      </c>
      <c r="W153" s="116">
        <f t="shared" si="192"/>
        <v>208209.28415730337</v>
      </c>
      <c r="X153" s="116">
        <f t="shared" si="192"/>
        <v>203116.31469101124</v>
      </c>
      <c r="Y153" s="116">
        <f t="shared" si="192"/>
        <v>200336.84992717436</v>
      </c>
      <c r="Z153" s="116">
        <f t="shared" si="192"/>
        <v>203290.95401581356</v>
      </c>
      <c r="AA153" s="116">
        <f t="shared" si="192"/>
        <v>211500.351539742</v>
      </c>
      <c r="AB153" s="116">
        <f t="shared" si="192"/>
        <v>192746.74011652102</v>
      </c>
      <c r="AC153" s="116">
        <f t="shared" si="192"/>
        <v>201968.72389981273</v>
      </c>
      <c r="AD153" s="696">
        <f t="shared" si="192"/>
        <v>215191.73205160216</v>
      </c>
      <c r="AE153" s="696">
        <f>AE74</f>
        <v>201615.35493965875</v>
      </c>
      <c r="AF153" s="696">
        <f>AF74</f>
        <v>191308.08143154389</v>
      </c>
      <c r="AG153" s="696">
        <f>AG74</f>
        <v>184975.20179775282</v>
      </c>
      <c r="AH153" s="12">
        <f>AH74</f>
        <v>198272.59255513939</v>
      </c>
      <c r="AI153" s="696">
        <f t="shared" ref="AI153" si="193">AI74</f>
        <v>165158.36007906782</v>
      </c>
      <c r="AJ153" s="696">
        <f>AJ74</f>
        <v>163336.29583853515</v>
      </c>
      <c r="AK153" s="696">
        <f>AK74</f>
        <v>137896.81223470662</v>
      </c>
      <c r="AL153" s="696">
        <f>AL74</f>
        <v>119190.68224719101</v>
      </c>
      <c r="AM153" s="12">
        <f t="shared" ref="AM153:BA153" si="194">AM74</f>
        <v>146395.53759987513</v>
      </c>
      <c r="AN153" s="12">
        <f t="shared" si="194"/>
        <v>74861.911853326063</v>
      </c>
      <c r="AO153" s="12">
        <f t="shared" si="194"/>
        <v>52172.173371287638</v>
      </c>
      <c r="AP153" s="12">
        <f t="shared" si="194"/>
        <v>28585.39909342106</v>
      </c>
      <c r="AQ153" s="12">
        <f t="shared" si="194"/>
        <v>4079.1433776233339</v>
      </c>
      <c r="AR153" s="12">
        <f t="shared" si="194"/>
        <v>415.66006391020943</v>
      </c>
      <c r="AS153" s="12">
        <f t="shared" si="194"/>
        <v>42.353326352886597</v>
      </c>
      <c r="AT153" s="12">
        <f t="shared" si="194"/>
        <v>4.3153583539794571</v>
      </c>
      <c r="AU153" s="12">
        <f t="shared" si="194"/>
        <v>0.43966970465051491</v>
      </c>
      <c r="AV153" s="12">
        <f t="shared" si="194"/>
        <v>4.4793682312025448E-2</v>
      </c>
      <c r="AW153" s="12">
        <f t="shared" si="194"/>
        <v>4.5633916969304369E-3</v>
      </c>
      <c r="AX153" s="12">
        <f t="shared" si="194"/>
        <v>4.6487875066299347E-4</v>
      </c>
      <c r="AY153" s="12">
        <f t="shared" si="194"/>
        <v>4.7355760009298479E-5</v>
      </c>
      <c r="AZ153" s="12">
        <f t="shared" si="194"/>
        <v>4.8237778017976413E-6</v>
      </c>
      <c r="BA153" s="12">
        <f t="shared" si="194"/>
        <v>4.9134138162365494E-7</v>
      </c>
      <c r="BB153" s="12"/>
    </row>
    <row r="154" spans="1:56" ht="12.75" customHeight="1">
      <c r="A154" s="372"/>
      <c r="B154" s="231" t="s">
        <v>641</v>
      </c>
      <c r="C154" s="116"/>
      <c r="D154" s="116"/>
      <c r="E154" s="116"/>
      <c r="F154" s="116"/>
      <c r="G154" s="116">
        <f t="shared" ref="G154:AD154" si="195">G128</f>
        <v>12668.561197220164</v>
      </c>
      <c r="H154" s="116">
        <f t="shared" si="195"/>
        <v>28512.697703618629</v>
      </c>
      <c r="I154" s="116">
        <f t="shared" si="195"/>
        <v>24980.536751243111</v>
      </c>
      <c r="J154" s="116">
        <f t="shared" si="195"/>
        <v>13793.999999999995</v>
      </c>
      <c r="K154" s="116">
        <f t="shared" si="195"/>
        <v>13715.999999999995</v>
      </c>
      <c r="L154" s="116">
        <f t="shared" si="195"/>
        <v>16153.38</v>
      </c>
      <c r="M154" s="116">
        <f t="shared" si="195"/>
        <v>18104.719999999998</v>
      </c>
      <c r="N154" s="116">
        <f t="shared" si="195"/>
        <v>18970.105</v>
      </c>
      <c r="O154" s="116">
        <f t="shared" si="195"/>
        <v>16225.570170620058</v>
      </c>
      <c r="P154" s="116">
        <f t="shared" si="195"/>
        <v>16021.772313774449</v>
      </c>
      <c r="Q154" s="116">
        <f t="shared" si="195"/>
        <v>17849.431493965876</v>
      </c>
      <c r="R154" s="116">
        <f t="shared" si="195"/>
        <v>12730.844521431545</v>
      </c>
      <c r="S154" s="116">
        <f t="shared" si="195"/>
        <v>15767.840184144818</v>
      </c>
      <c r="T154" s="116">
        <f t="shared" si="195"/>
        <v>12485.049895963379</v>
      </c>
      <c r="U154" s="116">
        <f t="shared" si="195"/>
        <v>12191.760599250936</v>
      </c>
      <c r="V154" s="116">
        <f t="shared" si="195"/>
        <v>11067.214898044112</v>
      </c>
      <c r="W154" s="116">
        <f t="shared" si="195"/>
        <v>11790.715842696627</v>
      </c>
      <c r="X154" s="116">
        <f t="shared" si="195"/>
        <v>11888.546457553057</v>
      </c>
      <c r="Y154" s="116">
        <f t="shared" si="195"/>
        <v>10663.150072825634</v>
      </c>
      <c r="Z154" s="116">
        <f t="shared" si="195"/>
        <v>10709.045984186434</v>
      </c>
      <c r="AA154" s="116">
        <f t="shared" si="195"/>
        <v>9499.6484602580113</v>
      </c>
      <c r="AB154" s="116">
        <f t="shared" si="195"/>
        <v>9253.2598834789842</v>
      </c>
      <c r="AC154" s="116">
        <f t="shared" si="195"/>
        <v>10025.841058052436</v>
      </c>
      <c r="AD154" s="696">
        <f t="shared" si="195"/>
        <v>7808.2679483978354</v>
      </c>
      <c r="AE154" s="696">
        <f>AE128</f>
        <v>9384.6450603412395</v>
      </c>
      <c r="AF154" s="696">
        <f>AF128</f>
        <v>9691.9185684560962</v>
      </c>
      <c r="AG154" s="696">
        <f>AG128</f>
        <v>10024.79820224719</v>
      </c>
      <c r="AH154" s="12">
        <f>AH128</f>
        <v>9209.2030898876419</v>
      </c>
      <c r="AI154" s="696">
        <f t="shared" ref="AI154" si="196">AI128</f>
        <v>10841.639920932168</v>
      </c>
      <c r="AJ154" s="696">
        <f>AJ128</f>
        <v>6663.7041614648351</v>
      </c>
      <c r="AK154" s="696">
        <f>AK128</f>
        <v>4103.1877652933827</v>
      </c>
      <c r="AL154" s="696">
        <f>AL128</f>
        <v>4809.3177528089891</v>
      </c>
      <c r="AM154" s="12">
        <f t="shared" ref="AM154:BA154" si="197">AM128</f>
        <v>6687.5599042863078</v>
      </c>
      <c r="AN154" s="12">
        <f t="shared" si="197"/>
        <v>4400.0525957002037</v>
      </c>
      <c r="AO154" s="12">
        <f t="shared" si="197"/>
        <v>4110.8752298187328</v>
      </c>
      <c r="AP154" s="12">
        <f t="shared" si="197"/>
        <v>3813.6953070931741</v>
      </c>
      <c r="AQ154" s="12">
        <f t="shared" si="197"/>
        <v>3508.4500317425918</v>
      </c>
      <c r="AR154" s="12">
        <f t="shared" si="197"/>
        <v>355.00871375927949</v>
      </c>
      <c r="AS154" s="12">
        <f t="shared" si="197"/>
        <v>35.919017559773472</v>
      </c>
      <c r="AT154" s="12">
        <f t="shared" si="197"/>
        <v>3.6338884071919701</v>
      </c>
      <c r="AU154" s="12">
        <f t="shared" si="197"/>
        <v>0.36760414232883842</v>
      </c>
      <c r="AV154" s="12">
        <f t="shared" si="197"/>
        <v>3.718354944174946E-2</v>
      </c>
      <c r="AW154" s="12">
        <f t="shared" si="197"/>
        <v>3.7608229136509466E-3</v>
      </c>
      <c r="AX154" s="12">
        <f t="shared" si="197"/>
        <v>3.803439075373569E-4</v>
      </c>
      <c r="AY154" s="12">
        <f t="shared" si="197"/>
        <v>3.8461969687565043E-5</v>
      </c>
      <c r="AZ154" s="12">
        <f t="shared" si="197"/>
        <v>3.8890899247991477E-6</v>
      </c>
      <c r="BA154" s="12">
        <f t="shared" si="197"/>
        <v>3.9321110618453672E-7</v>
      </c>
      <c r="BB154" s="12"/>
    </row>
    <row r="155" spans="1:56" s="251" customFormat="1" ht="12.75" customHeight="1">
      <c r="A155" s="409"/>
      <c r="B155" s="248" t="s">
        <v>446</v>
      </c>
      <c r="C155" s="249"/>
      <c r="D155" s="249"/>
      <c r="E155" s="249"/>
      <c r="F155" s="249"/>
      <c r="G155" s="249">
        <v>5</v>
      </c>
      <c r="H155" s="249">
        <v>11</v>
      </c>
      <c r="I155" s="249">
        <v>11</v>
      </c>
      <c r="J155" s="249">
        <v>11</v>
      </c>
      <c r="K155" s="249">
        <v>11</v>
      </c>
      <c r="L155" s="249">
        <v>11</v>
      </c>
      <c r="M155" s="249">
        <v>11</v>
      </c>
      <c r="N155" s="249">
        <v>11</v>
      </c>
      <c r="O155" s="249">
        <f>S155/4</f>
        <v>2.75</v>
      </c>
      <c r="P155" s="249">
        <f t="shared" ref="P155:R156" si="198">O155</f>
        <v>2.75</v>
      </c>
      <c r="Q155" s="249">
        <f t="shared" si="198"/>
        <v>2.75</v>
      </c>
      <c r="R155" s="249">
        <f t="shared" si="198"/>
        <v>2.75</v>
      </c>
      <c r="S155" s="249">
        <v>11</v>
      </c>
      <c r="T155" s="249">
        <f>X155/4</f>
        <v>2.75</v>
      </c>
      <c r="U155" s="249">
        <f t="shared" ref="U155:W156" si="199">T155</f>
        <v>2.75</v>
      </c>
      <c r="V155" s="249">
        <f t="shared" si="199"/>
        <v>2.75</v>
      </c>
      <c r="W155" s="249">
        <f t="shared" si="199"/>
        <v>2.75</v>
      </c>
      <c r="X155" s="249">
        <v>11</v>
      </c>
      <c r="Y155" s="249">
        <f>AC155/4</f>
        <v>2.75</v>
      </c>
      <c r="Z155" s="249">
        <f t="shared" ref="Z155:AB156" si="200">Y155</f>
        <v>2.75</v>
      </c>
      <c r="AA155" s="249">
        <f t="shared" si="200"/>
        <v>2.75</v>
      </c>
      <c r="AB155" s="249">
        <f t="shared" si="200"/>
        <v>2.75</v>
      </c>
      <c r="AC155" s="249">
        <v>11</v>
      </c>
      <c r="AD155" s="704">
        <f>11/4</f>
        <v>2.75</v>
      </c>
      <c r="AE155" s="704">
        <f t="shared" ref="AE155:AG156" si="201">AD155</f>
        <v>2.75</v>
      </c>
      <c r="AF155" s="704">
        <f t="shared" si="201"/>
        <v>2.75</v>
      </c>
      <c r="AG155" s="704">
        <f t="shared" si="201"/>
        <v>2.75</v>
      </c>
      <c r="AH155" s="251">
        <v>11</v>
      </c>
      <c r="AI155" s="704">
        <f>11/4</f>
        <v>2.75</v>
      </c>
      <c r="AJ155" s="704">
        <f t="shared" ref="AJ155:AJ156" si="202">AI155</f>
        <v>2.75</v>
      </c>
      <c r="AK155" s="704">
        <f t="shared" ref="AK155:AK156" si="203">AJ155</f>
        <v>2.75</v>
      </c>
      <c r="AL155" s="704">
        <f t="shared" ref="AL155:AL156" si="204">AK155</f>
        <v>2.75</v>
      </c>
      <c r="AM155" s="251">
        <v>11</v>
      </c>
      <c r="AN155" s="251">
        <v>11</v>
      </c>
      <c r="AO155" s="251">
        <v>11</v>
      </c>
      <c r="AP155" s="251">
        <v>11</v>
      </c>
      <c r="AQ155" s="251">
        <v>11</v>
      </c>
      <c r="AR155" s="251">
        <v>11</v>
      </c>
      <c r="AS155" s="251">
        <v>11</v>
      </c>
      <c r="AT155" s="251">
        <v>11</v>
      </c>
      <c r="AU155" s="251">
        <v>11</v>
      </c>
      <c r="AV155" s="251">
        <v>11</v>
      </c>
      <c r="AW155" s="251">
        <v>11</v>
      </c>
      <c r="AX155" s="251">
        <v>11</v>
      </c>
      <c r="AY155" s="251">
        <v>11</v>
      </c>
      <c r="AZ155" s="251">
        <v>11</v>
      </c>
      <c r="BA155" s="251">
        <v>11</v>
      </c>
    </row>
    <row r="156" spans="1:56" s="252" customFormat="1" ht="12.75" customHeight="1">
      <c r="A156" s="409"/>
      <c r="B156" s="248" t="s">
        <v>447</v>
      </c>
      <c r="C156" s="249"/>
      <c r="D156" s="249"/>
      <c r="E156" s="249"/>
      <c r="F156" s="249"/>
      <c r="G156" s="249">
        <f>G155/2</f>
        <v>2.5</v>
      </c>
      <c r="H156" s="249">
        <v>6</v>
      </c>
      <c r="I156" s="249">
        <v>6</v>
      </c>
      <c r="J156" s="249">
        <v>6</v>
      </c>
      <c r="K156" s="249">
        <v>6</v>
      </c>
      <c r="L156" s="249">
        <v>6</v>
      </c>
      <c r="M156" s="249">
        <v>6</v>
      </c>
      <c r="N156" s="249">
        <v>6</v>
      </c>
      <c r="O156" s="249">
        <f>S156/4</f>
        <v>1.5</v>
      </c>
      <c r="P156" s="249">
        <f t="shared" si="198"/>
        <v>1.5</v>
      </c>
      <c r="Q156" s="249">
        <f t="shared" si="198"/>
        <v>1.5</v>
      </c>
      <c r="R156" s="249">
        <f t="shared" si="198"/>
        <v>1.5</v>
      </c>
      <c r="S156" s="249">
        <v>6</v>
      </c>
      <c r="T156" s="249">
        <f>X156/4</f>
        <v>1.5</v>
      </c>
      <c r="U156" s="249">
        <f t="shared" si="199"/>
        <v>1.5</v>
      </c>
      <c r="V156" s="249">
        <f t="shared" si="199"/>
        <v>1.5</v>
      </c>
      <c r="W156" s="249">
        <f t="shared" si="199"/>
        <v>1.5</v>
      </c>
      <c r="X156" s="249">
        <v>6</v>
      </c>
      <c r="Y156" s="249">
        <f>AC156/4</f>
        <v>1.5</v>
      </c>
      <c r="Z156" s="249">
        <f t="shared" si="200"/>
        <v>1.5</v>
      </c>
      <c r="AA156" s="249">
        <f t="shared" si="200"/>
        <v>1.5</v>
      </c>
      <c r="AB156" s="249">
        <f t="shared" si="200"/>
        <v>1.5</v>
      </c>
      <c r="AC156" s="249">
        <v>6</v>
      </c>
      <c r="AD156" s="704">
        <f>6/4</f>
        <v>1.5</v>
      </c>
      <c r="AE156" s="704">
        <f t="shared" si="201"/>
        <v>1.5</v>
      </c>
      <c r="AF156" s="704">
        <f t="shared" si="201"/>
        <v>1.5</v>
      </c>
      <c r="AG156" s="704">
        <f t="shared" si="201"/>
        <v>1.5</v>
      </c>
      <c r="AH156" s="251">
        <v>6</v>
      </c>
      <c r="AI156" s="704">
        <f>6/4</f>
        <v>1.5</v>
      </c>
      <c r="AJ156" s="704">
        <f t="shared" si="202"/>
        <v>1.5</v>
      </c>
      <c r="AK156" s="704">
        <f t="shared" si="203"/>
        <v>1.5</v>
      </c>
      <c r="AL156" s="704">
        <f t="shared" si="204"/>
        <v>1.5</v>
      </c>
      <c r="AM156" s="251">
        <v>6</v>
      </c>
      <c r="AN156" s="251">
        <v>6</v>
      </c>
      <c r="AO156" s="251">
        <v>6</v>
      </c>
      <c r="AP156" s="251">
        <v>6</v>
      </c>
      <c r="AQ156" s="251">
        <v>6</v>
      </c>
      <c r="AR156" s="251">
        <v>6</v>
      </c>
      <c r="AS156" s="251">
        <v>6</v>
      </c>
      <c r="AT156" s="251">
        <v>6</v>
      </c>
      <c r="AU156" s="251">
        <v>6</v>
      </c>
      <c r="AV156" s="251">
        <v>6</v>
      </c>
      <c r="AW156" s="251">
        <v>6</v>
      </c>
      <c r="AX156" s="251">
        <v>6</v>
      </c>
      <c r="AY156" s="251">
        <v>6</v>
      </c>
      <c r="AZ156" s="251">
        <v>6</v>
      </c>
      <c r="BA156" s="251">
        <v>6</v>
      </c>
      <c r="BB156" s="251"/>
    </row>
    <row r="157" spans="1:56" s="238" customFormat="1" ht="12.75" customHeight="1">
      <c r="A157" s="412"/>
      <c r="B157" s="253" t="s">
        <v>635</v>
      </c>
      <c r="G157" s="238">
        <f>650.83*G158</f>
        <v>553.20550000000003</v>
      </c>
      <c r="H157" s="238">
        <f>(650.83*1/2+694.39*1/2)*H158</f>
        <v>591.89679999999998</v>
      </c>
      <c r="I157" s="238">
        <f>(694.39*1/4+735.36*3/4)*I158</f>
        <v>601.84752499999991</v>
      </c>
      <c r="J157" s="238">
        <f>778.75*J158</f>
        <v>533.44375000000002</v>
      </c>
      <c r="K157" s="238">
        <f>(840.27*3/4+879.76*1/4)*K158</f>
        <v>563.21940624999991</v>
      </c>
      <c r="L157" s="413">
        <f t="shared" ref="L157:X157" si="205">L160*1000000/(L153*L155+L154*L156)</f>
        <v>581.68899509428513</v>
      </c>
      <c r="M157" s="413">
        <f t="shared" si="205"/>
        <v>577.39209403216091</v>
      </c>
      <c r="N157" s="413">
        <f t="shared" si="205"/>
        <v>558.71075005471721</v>
      </c>
      <c r="O157" s="413">
        <f t="shared" si="205"/>
        <v>596.3978634087955</v>
      </c>
      <c r="P157" s="413">
        <f t="shared" si="205"/>
        <v>624.8489753735164</v>
      </c>
      <c r="Q157" s="413">
        <f t="shared" si="205"/>
        <v>655.58324725055468</v>
      </c>
      <c r="R157" s="413">
        <f t="shared" si="205"/>
        <v>703.30623731278706</v>
      </c>
      <c r="S157" s="413">
        <f t="shared" si="205"/>
        <v>644.65916019595943</v>
      </c>
      <c r="T157" s="413">
        <f t="shared" si="205"/>
        <v>508.11059148709541</v>
      </c>
      <c r="U157" s="413">
        <f t="shared" si="205"/>
        <v>757.58103460860536</v>
      </c>
      <c r="V157" s="413">
        <f t="shared" si="205"/>
        <v>766.91164859239973</v>
      </c>
      <c r="W157" s="413">
        <f t="shared" si="205"/>
        <v>705.62272106662601</v>
      </c>
      <c r="X157" s="413">
        <f t="shared" si="205"/>
        <v>680.98095334344237</v>
      </c>
      <c r="Y157" s="413">
        <f t="shared" ref="Y157:AH157" si="206">Y160*1000000/(Y153*Y155+Y154*Y156)</f>
        <v>648.73581947584773</v>
      </c>
      <c r="Z157" s="413">
        <f t="shared" si="206"/>
        <v>694.76697424703821</v>
      </c>
      <c r="AA157" s="413">
        <f t="shared" si="206"/>
        <v>790.70552136686592</v>
      </c>
      <c r="AB157" s="413">
        <f t="shared" si="206"/>
        <v>1007.4762363670881</v>
      </c>
      <c r="AC157" s="413">
        <f t="shared" si="206"/>
        <v>782.93688336184118</v>
      </c>
      <c r="AD157" s="723">
        <f t="shared" si="206"/>
        <v>677.72494489410178</v>
      </c>
      <c r="AE157" s="723">
        <f t="shared" si="206"/>
        <v>879.47778291933173</v>
      </c>
      <c r="AF157" s="723">
        <f t="shared" si="206"/>
        <v>1037.6684720307007</v>
      </c>
      <c r="AG157" s="723">
        <f t="shared" si="206"/>
        <v>1120.8300586407611</v>
      </c>
      <c r="AH157" s="413">
        <f t="shared" si="206"/>
        <v>919.84195097881843</v>
      </c>
      <c r="AI157" s="723">
        <f t="shared" ref="AI157:AL157" si="207">AI160*1000000/(AI153*AI155+AI154*AI156)</f>
        <v>1224.3649905988329</v>
      </c>
      <c r="AJ157" s="723">
        <f t="shared" si="207"/>
        <v>1374.2175922138877</v>
      </c>
      <c r="AK157" s="723">
        <f t="shared" si="207"/>
        <v>1486.8788187502234</v>
      </c>
      <c r="AL157" s="723">
        <f t="shared" si="207"/>
        <v>1803.0477625125145</v>
      </c>
      <c r="AM157" s="723">
        <f t="shared" ref="AM157" si="208">AM160*1000000/(AM153*AM155+AM154*AM156)</f>
        <v>1444.4315492227838</v>
      </c>
      <c r="AN157" s="238">
        <f>AN158*AN159</f>
        <v>1472.8868507424727</v>
      </c>
      <c r="AO157" s="238">
        <f>AO158*AO159</f>
        <v>1501.9027217020996</v>
      </c>
      <c r="AP157" s="238">
        <f>AP158*AP159</f>
        <v>1531.4902053196308</v>
      </c>
      <c r="AQ157" s="238">
        <f>AQ158*AQ159</f>
        <v>1561.6605623644273</v>
      </c>
      <c r="AR157" s="238">
        <f t="shared" ref="AR157:BA157" si="209">AR158*AR159</f>
        <v>1300.8912203182501</v>
      </c>
      <c r="AS157" s="238">
        <f t="shared" si="209"/>
        <v>1300.8912203182501</v>
      </c>
      <c r="AT157" s="238">
        <f t="shared" si="209"/>
        <v>1300.8912203182501</v>
      </c>
      <c r="AU157" s="238">
        <f t="shared" si="209"/>
        <v>1300.8912203182501</v>
      </c>
      <c r="AV157" s="238">
        <f t="shared" si="209"/>
        <v>1300.8912203182501</v>
      </c>
      <c r="AW157" s="238">
        <f t="shared" si="209"/>
        <v>1300.8912203182501</v>
      </c>
      <c r="AX157" s="238">
        <f t="shared" si="209"/>
        <v>1300.8912203182501</v>
      </c>
      <c r="AY157" s="238">
        <f t="shared" si="209"/>
        <v>1300.8912203182501</v>
      </c>
      <c r="AZ157" s="238">
        <f t="shared" si="209"/>
        <v>1300.8912203182501</v>
      </c>
      <c r="BA157" s="238">
        <f t="shared" si="209"/>
        <v>1300.8912203182501</v>
      </c>
      <c r="BC157" s="119">
        <v>0.03</v>
      </c>
      <c r="BD157" s="254"/>
    </row>
    <row r="158" spans="1:56" s="77" customFormat="1" ht="12.75" hidden="1" customHeight="1" outlineLevel="1">
      <c r="A158" s="414"/>
      <c r="B158" s="218" t="s">
        <v>494</v>
      </c>
      <c r="D158" s="16"/>
      <c r="E158" s="16"/>
      <c r="F158" s="16"/>
      <c r="G158" s="2">
        <v>0.85</v>
      </c>
      <c r="H158" s="2">
        <v>0.88</v>
      </c>
      <c r="I158" s="2">
        <v>0.83</v>
      </c>
      <c r="J158" s="2">
        <v>0.68500000000000005</v>
      </c>
      <c r="K158" s="2">
        <v>0.66249999999999998</v>
      </c>
      <c r="L158" s="2">
        <f t="shared" ref="L158:X158" si="210">L157/L159</f>
        <v>0.64224286347723647</v>
      </c>
      <c r="M158" s="2">
        <f t="shared" si="210"/>
        <v>0.58924324887516255</v>
      </c>
      <c r="N158" s="2">
        <f t="shared" si="210"/>
        <v>0.52959870901989359</v>
      </c>
      <c r="O158" s="2">
        <f t="shared" si="210"/>
        <v>0.51434005157976048</v>
      </c>
      <c r="P158" s="2">
        <f t="shared" si="210"/>
        <v>0.53887660225047551</v>
      </c>
      <c r="Q158" s="2">
        <f t="shared" si="210"/>
        <v>0.5653821750440301</v>
      </c>
      <c r="R158" s="2">
        <f t="shared" si="210"/>
        <v>0.60653900453006115</v>
      </c>
      <c r="S158" s="2">
        <f t="shared" si="210"/>
        <v>0.55596112268309794</v>
      </c>
      <c r="T158" s="2">
        <f t="shared" si="210"/>
        <v>0.41535717969042635</v>
      </c>
      <c r="U158" s="2">
        <f t="shared" si="210"/>
        <v>0.6192878621188459</v>
      </c>
      <c r="V158" s="2">
        <f t="shared" si="210"/>
        <v>0.62691521249102822</v>
      </c>
      <c r="W158" s="2">
        <f t="shared" si="210"/>
        <v>0.57681431613133716</v>
      </c>
      <c r="X158" s="2">
        <f t="shared" si="210"/>
        <v>0.55667079754391147</v>
      </c>
      <c r="Y158" s="2">
        <f t="shared" ref="Y158:AM158" si="211">Y157/Y159</f>
        <v>0.50554125811482387</v>
      </c>
      <c r="Z158" s="2">
        <f t="shared" si="211"/>
        <v>0.54141201967429431</v>
      </c>
      <c r="AA158" s="2">
        <f t="shared" si="211"/>
        <v>0.61617418380429845</v>
      </c>
      <c r="AB158" s="2">
        <f t="shared" si="211"/>
        <v>0.78509739829891922</v>
      </c>
      <c r="AC158" s="2">
        <f t="shared" si="211"/>
        <v>0.61012030653562532</v>
      </c>
      <c r="AD158" s="690">
        <f t="shared" si="211"/>
        <v>0.52813165392098327</v>
      </c>
      <c r="AE158" s="690">
        <f t="shared" si="211"/>
        <v>0.68535186668173131</v>
      </c>
      <c r="AF158" s="690">
        <f t="shared" si="211"/>
        <v>0.80862534348778548</v>
      </c>
      <c r="AG158" s="690">
        <f t="shared" si="211"/>
        <v>0.87343078795305751</v>
      </c>
      <c r="AH158" s="690">
        <f t="shared" si="211"/>
        <v>0.71624835583322444</v>
      </c>
      <c r="AI158" s="690">
        <f t="shared" si="211"/>
        <v>0.95336966369385479</v>
      </c>
      <c r="AJ158" s="690">
        <f t="shared" si="211"/>
        <v>1.0700545783250051</v>
      </c>
      <c r="AK158" s="690">
        <f t="shared" si="211"/>
        <v>1.1577798861204778</v>
      </c>
      <c r="AL158" s="690">
        <f t="shared" si="211"/>
        <v>1.4039694471578856</v>
      </c>
      <c r="AM158" s="690">
        <f t="shared" si="211"/>
        <v>1.1247277003876066</v>
      </c>
      <c r="AN158" s="2">
        <f>AM158*0.99</f>
        <v>1.1134804233837305</v>
      </c>
      <c r="AO158" s="2">
        <f>AN158*0.99</f>
        <v>1.1023456191498933</v>
      </c>
      <c r="AP158" s="2">
        <f>AO158*0.99</f>
        <v>1.0913221629583942</v>
      </c>
      <c r="AQ158" s="2">
        <f>AP158*0.99</f>
        <v>1.0804089413288103</v>
      </c>
      <c r="AR158" s="417">
        <v>0.9</v>
      </c>
      <c r="AS158" s="417">
        <v>0.9</v>
      </c>
      <c r="AT158" s="417">
        <v>0.9</v>
      </c>
      <c r="AU158" s="417">
        <v>0.9</v>
      </c>
      <c r="AV158" s="417">
        <v>0.9</v>
      </c>
      <c r="AW158" s="417">
        <v>0.9</v>
      </c>
      <c r="AX158" s="417">
        <v>0.9</v>
      </c>
      <c r="AY158" s="417">
        <v>0.9</v>
      </c>
      <c r="AZ158" s="417">
        <v>0.9</v>
      </c>
      <c r="BA158" s="417">
        <v>0.9</v>
      </c>
      <c r="BB158" s="2"/>
      <c r="BD158" s="136"/>
    </row>
    <row r="159" spans="1:56" s="77" customFormat="1" ht="12.75" hidden="1" customHeight="1" outlineLevel="1">
      <c r="A159" s="414"/>
      <c r="B159" s="218" t="s">
        <v>633</v>
      </c>
      <c r="D159" s="16"/>
      <c r="E159" s="16"/>
      <c r="F159" s="16"/>
      <c r="G159" s="2"/>
      <c r="H159" s="2"/>
      <c r="I159" s="2"/>
      <c r="J159" s="2"/>
      <c r="K159" s="2"/>
      <c r="L159" s="418">
        <f>(879.76*1/2+931.67*1/2)</f>
        <v>905.71499999999992</v>
      </c>
      <c r="M159" s="418">
        <f>(931.67*1/4+3/4*995.96)</f>
        <v>979.88750000000005</v>
      </c>
      <c r="N159" s="418">
        <f>(995.96*1/4+1074.64*3/4)</f>
        <v>1054.97</v>
      </c>
      <c r="O159" s="418">
        <v>1159.54</v>
      </c>
      <c r="P159" s="238">
        <f>O159</f>
        <v>1159.54</v>
      </c>
      <c r="Q159" s="238">
        <f>P159</f>
        <v>1159.54</v>
      </c>
      <c r="R159" s="238">
        <f>Q159</f>
        <v>1159.54</v>
      </c>
      <c r="S159" s="238">
        <f>R159</f>
        <v>1159.54</v>
      </c>
      <c r="T159" s="418">
        <v>1223.31</v>
      </c>
      <c r="U159" s="238">
        <f>T159</f>
        <v>1223.31</v>
      </c>
      <c r="V159" s="238">
        <f>U159</f>
        <v>1223.31</v>
      </c>
      <c r="W159" s="238">
        <f>V159</f>
        <v>1223.31</v>
      </c>
      <c r="X159" s="242">
        <f>W159</f>
        <v>1223.31</v>
      </c>
      <c r="Y159" s="418">
        <v>1283.25</v>
      </c>
      <c r="Z159" s="238">
        <f>Y159</f>
        <v>1283.25</v>
      </c>
      <c r="AA159" s="238">
        <f>Z159</f>
        <v>1283.25</v>
      </c>
      <c r="AB159" s="238">
        <f>AA159</f>
        <v>1283.25</v>
      </c>
      <c r="AC159" s="418">
        <v>1283.25</v>
      </c>
      <c r="AD159" s="700">
        <f>AC159</f>
        <v>1283.25</v>
      </c>
      <c r="AE159" s="700">
        <f>AD159</f>
        <v>1283.25</v>
      </c>
      <c r="AF159" s="700">
        <f>AE159</f>
        <v>1283.25</v>
      </c>
      <c r="AG159" s="700">
        <f>AF159</f>
        <v>1283.25</v>
      </c>
      <c r="AH159" s="418">
        <v>1284.25</v>
      </c>
      <c r="AI159" s="700">
        <f>AH159</f>
        <v>1284.25</v>
      </c>
      <c r="AJ159" s="700">
        <f>AI159</f>
        <v>1284.25</v>
      </c>
      <c r="AK159" s="700">
        <f>AJ159</f>
        <v>1284.25</v>
      </c>
      <c r="AL159" s="700">
        <f>AK159</f>
        <v>1284.25</v>
      </c>
      <c r="AM159" s="700">
        <f>AL159</f>
        <v>1284.25</v>
      </c>
      <c r="AN159" s="238">
        <f>AM159*(1+$BC$157)</f>
        <v>1322.7775000000001</v>
      </c>
      <c r="AO159" s="238">
        <f>AN159*(1+$BC$157)</f>
        <v>1362.4608250000001</v>
      </c>
      <c r="AP159" s="238">
        <f>AO159*(1+$BC$157)</f>
        <v>1403.3346497500002</v>
      </c>
      <c r="AQ159" s="238">
        <f>AP159*(1+$BC$157)</f>
        <v>1445.4346892425001</v>
      </c>
      <c r="AR159" s="418">
        <f>AQ159</f>
        <v>1445.4346892425001</v>
      </c>
      <c r="AS159" s="238">
        <f t="shared" ref="AS159:BA159" si="212">AR159</f>
        <v>1445.4346892425001</v>
      </c>
      <c r="AT159" s="238">
        <f t="shared" si="212"/>
        <v>1445.4346892425001</v>
      </c>
      <c r="AU159" s="238">
        <f t="shared" si="212"/>
        <v>1445.4346892425001</v>
      </c>
      <c r="AV159" s="238">
        <f t="shared" si="212"/>
        <v>1445.4346892425001</v>
      </c>
      <c r="AW159" s="238">
        <f t="shared" si="212"/>
        <v>1445.4346892425001</v>
      </c>
      <c r="AX159" s="238">
        <f t="shared" si="212"/>
        <v>1445.4346892425001</v>
      </c>
      <c r="AY159" s="238">
        <f t="shared" si="212"/>
        <v>1445.4346892425001</v>
      </c>
      <c r="AZ159" s="238">
        <f t="shared" si="212"/>
        <v>1445.4346892425001</v>
      </c>
      <c r="BA159" s="238">
        <f t="shared" si="212"/>
        <v>1445.4346892425001</v>
      </c>
      <c r="BB159" s="2"/>
      <c r="BD159" s="136"/>
    </row>
    <row r="160" spans="1:56" s="257" customFormat="1" ht="12.75" customHeight="1" collapsed="1">
      <c r="A160" s="419"/>
      <c r="B160" s="245" t="s">
        <v>636</v>
      </c>
      <c r="C160" s="246"/>
      <c r="D160" s="246"/>
      <c r="E160" s="246"/>
      <c r="F160" s="246"/>
      <c r="G160" s="246">
        <f>(G153*G155+G154*G156)*G157/10^6</f>
        <v>68.465490337537403</v>
      </c>
      <c r="H160" s="246">
        <f>(H153*H155+H154*H156)*H157/10^6</f>
        <v>490.67321963994601</v>
      </c>
      <c r="I160" s="246">
        <f>(I153*I155+I154*I156)*I157/10^6</f>
        <v>785.61289453101199</v>
      </c>
      <c r="J160" s="246">
        <f>(J153*J155+J154*J156)*J157/10^6</f>
        <v>789.52224861124989</v>
      </c>
      <c r="K160" s="246">
        <f>(K153*K155+K154*K156)*K157/10^6</f>
        <v>991.47589790688733</v>
      </c>
      <c r="L160" s="246">
        <f>REVS!AQ9</f>
        <v>1177.749</v>
      </c>
      <c r="M160" s="246">
        <f>REVS!AV9</f>
        <v>1308.931</v>
      </c>
      <c r="N160" s="246">
        <f>REVS!BA9</f>
        <v>1385.4110000000001</v>
      </c>
      <c r="O160" s="246">
        <f>REVS!BB9</f>
        <v>373.32600000000002</v>
      </c>
      <c r="P160" s="246">
        <f>REVS!BC9</f>
        <v>393.01299999999998</v>
      </c>
      <c r="Q160" s="246">
        <f>REVS!BD9</f>
        <v>414.452</v>
      </c>
      <c r="R160" s="246">
        <f>REVS!BE9</f>
        <v>431.71499999999997</v>
      </c>
      <c r="S160" s="246">
        <f>REVS!BF9</f>
        <v>1612.5059999999999</v>
      </c>
      <c r="T160" s="246">
        <f>REVS!BG9</f>
        <v>307.86099999999999</v>
      </c>
      <c r="U160" s="246">
        <f>REVS!BH9</f>
        <v>415.541</v>
      </c>
      <c r="V160" s="246">
        <f>REVS!BI9</f>
        <v>430.173</v>
      </c>
      <c r="W160" s="246">
        <f>REVS!BJ9</f>
        <v>416.50200000000001</v>
      </c>
      <c r="X160" s="415">
        <f>REVS!BK9</f>
        <v>1570.077</v>
      </c>
      <c r="Y160" s="415">
        <f>REVS!BL9</f>
        <v>367.78199999999998</v>
      </c>
      <c r="Z160" s="415">
        <f>REVS!BM9</f>
        <v>399.57</v>
      </c>
      <c r="AA160" s="415">
        <f>REVS!BN9</f>
        <v>471.16199999999998</v>
      </c>
      <c r="AB160" s="415">
        <f>REVS!BO9</f>
        <v>548</v>
      </c>
      <c r="AC160" s="415">
        <f>REVS!BP9</f>
        <v>1786.5139999999999</v>
      </c>
      <c r="AD160" s="725">
        <f>REVS!BQ9</f>
        <v>409</v>
      </c>
      <c r="AE160" s="725">
        <f>REVS!BR9</f>
        <v>500</v>
      </c>
      <c r="AF160" s="725">
        <f>REVS!BS9</f>
        <v>561</v>
      </c>
      <c r="AG160" s="725">
        <f>REVS!BT9</f>
        <v>587</v>
      </c>
      <c r="AH160" s="415">
        <f>REVS!BU9</f>
        <v>2057</v>
      </c>
      <c r="AI160" s="725">
        <f>REVS!BV9</f>
        <v>576</v>
      </c>
      <c r="AJ160" s="725">
        <f>REVS!BW9</f>
        <v>631</v>
      </c>
      <c r="AK160" s="725">
        <f>REVS!BX9</f>
        <v>573</v>
      </c>
      <c r="AL160" s="725">
        <f>REVS!BY9</f>
        <v>604</v>
      </c>
      <c r="AM160" s="725">
        <f>REVS!BZ9</f>
        <v>2384</v>
      </c>
      <c r="AN160" s="702">
        <f t="shared" ref="AN160:AS160" si="213">(AN155*AN153*AN157/1000000)+(AN154*AN156*AN157/1000000)+AN161</f>
        <v>2151.7790591569587</v>
      </c>
      <c r="AO160" s="702">
        <f t="shared" si="213"/>
        <v>2473.9776291954126</v>
      </c>
      <c r="AP160" s="702">
        <f t="shared" si="213"/>
        <v>2485.3546680473169</v>
      </c>
      <c r="AQ160" s="702">
        <f t="shared" si="213"/>
        <v>2268.5716590492998</v>
      </c>
      <c r="AR160" s="702">
        <f t="shared" si="213"/>
        <v>225.28148011875038</v>
      </c>
      <c r="AS160" s="702">
        <f t="shared" si="213"/>
        <v>0.88642818195697948</v>
      </c>
      <c r="AT160" s="246">
        <f t="shared" ref="AT160:BA160" si="214">(AT155*AT153*AT157/1000000)+(AT154*AT156*AT157/1000000)</f>
        <v>9.0115690894601627E-2</v>
      </c>
      <c r="AU160" s="246">
        <f t="shared" si="214"/>
        <v>9.1608650526667397E-3</v>
      </c>
      <c r="AV160" s="246">
        <f t="shared" si="214"/>
        <v>9.3121930655407558E-4</v>
      </c>
      <c r="AW160" s="246">
        <f t="shared" si="214"/>
        <v>9.4655767184751376E-5</v>
      </c>
      <c r="AX160" s="246">
        <f t="shared" si="214"/>
        <v>9.6210398378513607E-6</v>
      </c>
      <c r="AY160" s="246">
        <f t="shared" si="214"/>
        <v>9.7786064879973967E-7</v>
      </c>
      <c r="AZ160" s="246">
        <f t="shared" si="214"/>
        <v>9.938300973156706E-8</v>
      </c>
      <c r="BA160" s="246">
        <f t="shared" si="214"/>
        <v>1.0100147839468313E-8</v>
      </c>
    </row>
    <row r="161" spans="1:62" s="707" customFormat="1" ht="12.75" customHeight="1">
      <c r="A161" s="728"/>
      <c r="B161" s="687" t="s">
        <v>891</v>
      </c>
      <c r="AM161" s="707">
        <v>450</v>
      </c>
      <c r="AN161" s="707">
        <f>AM161*2</f>
        <v>900</v>
      </c>
      <c r="AO161" s="707">
        <f>AN161*1.75</f>
        <v>1575</v>
      </c>
      <c r="AP161" s="707">
        <f>AO161*1.25</f>
        <v>1968.75</v>
      </c>
      <c r="AQ161" s="688">
        <f>AP161*1.1</f>
        <v>2165.625</v>
      </c>
      <c r="AR161" s="688">
        <f>AQ161*0.1</f>
        <v>216.5625</v>
      </c>
    </row>
    <row r="162" spans="1:62" ht="12.75" customHeight="1">
      <c r="G162" s="183"/>
      <c r="H162" s="183"/>
      <c r="I162" s="183"/>
      <c r="J162" s="183"/>
      <c r="K162" s="183"/>
      <c r="L162" s="183"/>
      <c r="M162" s="183"/>
      <c r="N162" s="183"/>
      <c r="O162" s="183"/>
      <c r="P162" s="183"/>
      <c r="Q162" s="183"/>
      <c r="R162" s="183"/>
      <c r="S162" s="183"/>
      <c r="T162" s="183"/>
      <c r="U162" s="183"/>
      <c r="V162" s="183"/>
      <c r="W162" s="183"/>
      <c r="X162" s="183"/>
      <c r="Y162" s="183"/>
      <c r="Z162" s="183"/>
      <c r="AA162" s="183"/>
      <c r="AB162" s="183"/>
    </row>
    <row r="163" spans="1:62" s="7" customFormat="1" ht="12.75" customHeight="1">
      <c r="A163" s="420"/>
      <c r="B163" s="410" t="s">
        <v>645</v>
      </c>
      <c r="C163" s="411"/>
      <c r="D163" s="411"/>
      <c r="E163" s="411"/>
      <c r="F163" s="411"/>
      <c r="G163" s="411"/>
      <c r="H163" s="411"/>
      <c r="I163" s="411"/>
      <c r="J163" s="411"/>
      <c r="K163" s="411"/>
      <c r="L163" s="411"/>
      <c r="M163" s="411"/>
      <c r="N163" s="411"/>
      <c r="O163" s="411"/>
      <c r="P163" s="411"/>
      <c r="Q163" s="411"/>
      <c r="R163" s="411"/>
      <c r="S163" s="421"/>
      <c r="T163" s="421"/>
      <c r="U163" s="421"/>
      <c r="V163" s="421"/>
      <c r="W163" s="421"/>
      <c r="X163" s="411"/>
      <c r="Y163" s="421"/>
      <c r="Z163" s="421"/>
      <c r="AA163" s="421"/>
      <c r="AB163" s="421"/>
      <c r="AC163" s="411"/>
      <c r="AD163" s="411"/>
      <c r="AE163" s="411"/>
      <c r="AF163" s="411"/>
      <c r="AG163" s="411"/>
      <c r="AH163" s="411"/>
      <c r="AI163" s="721"/>
      <c r="AJ163" s="721"/>
      <c r="AK163" s="721"/>
      <c r="AL163" s="721"/>
      <c r="AM163" s="411"/>
      <c r="AN163" s="411"/>
      <c r="AO163" s="411"/>
      <c r="AP163" s="411"/>
      <c r="AQ163" s="411"/>
      <c r="AR163" s="411"/>
      <c r="AS163" s="411"/>
      <c r="AT163" s="411"/>
      <c r="AU163" s="411"/>
      <c r="AV163" s="411"/>
      <c r="AW163" s="411"/>
      <c r="AX163" s="411"/>
      <c r="AY163" s="411"/>
      <c r="AZ163" s="411"/>
      <c r="BA163" s="411"/>
      <c r="BB163" s="1"/>
    </row>
    <row r="164" spans="1:62" s="116" customFormat="1" ht="12.75" customHeight="1">
      <c r="A164" s="372"/>
      <c r="B164" s="231" t="s">
        <v>640</v>
      </c>
      <c r="I164" s="116">
        <f t="shared" ref="I164:AH164" si="215">I75</f>
        <v>36856.529632981656</v>
      </c>
      <c r="J164" s="116">
        <f t="shared" si="215"/>
        <v>81033.7</v>
      </c>
      <c r="K164" s="116">
        <f t="shared" si="215"/>
        <v>115570</v>
      </c>
      <c r="L164" s="116">
        <f t="shared" si="215"/>
        <v>154985.83749999999</v>
      </c>
      <c r="M164" s="116">
        <f t="shared" si="215"/>
        <v>175958.71</v>
      </c>
      <c r="N164" s="116">
        <f t="shared" si="215"/>
        <v>194395.64250000002</v>
      </c>
      <c r="O164" s="116">
        <f t="shared" si="215"/>
        <v>186760.33169371617</v>
      </c>
      <c r="P164" s="116">
        <f t="shared" si="215"/>
        <v>186427.73359134415</v>
      </c>
      <c r="Q164" s="116">
        <f t="shared" si="215"/>
        <v>194675.55178526841</v>
      </c>
      <c r="R164" s="116">
        <f t="shared" si="215"/>
        <v>202162.12552018309</v>
      </c>
      <c r="S164" s="116">
        <f t="shared" si="215"/>
        <v>192506.43564762795</v>
      </c>
      <c r="T164" s="116">
        <f t="shared" si="215"/>
        <v>188886.46533499792</v>
      </c>
      <c r="U164" s="116">
        <f t="shared" si="215"/>
        <v>202916.58127340823</v>
      </c>
      <c r="V164" s="116">
        <f t="shared" si="215"/>
        <v>205826.06361215148</v>
      </c>
      <c r="W164" s="116">
        <f t="shared" si="215"/>
        <v>179209.28415730337</v>
      </c>
      <c r="X164" s="116">
        <f t="shared" si="215"/>
        <v>194209.59859446523</v>
      </c>
      <c r="Y164" s="116">
        <f t="shared" si="215"/>
        <v>186336.84992717436</v>
      </c>
      <c r="Z164" s="116">
        <f t="shared" si="215"/>
        <v>177981.85601331669</v>
      </c>
      <c r="AA164" s="116">
        <f t="shared" si="215"/>
        <v>155176.76009155222</v>
      </c>
      <c r="AB164" s="116">
        <f t="shared" si="215"/>
        <v>154923.97773616313</v>
      </c>
      <c r="AC164" s="116">
        <f t="shared" si="215"/>
        <v>168604.8609420516</v>
      </c>
      <c r="AD164" s="696">
        <f t="shared" si="215"/>
        <v>156191.73205160216</v>
      </c>
      <c r="AE164" s="696">
        <f t="shared" si="215"/>
        <v>139721.13715355805</v>
      </c>
      <c r="AF164" s="696">
        <f t="shared" si="215"/>
        <v>142154.04071577196</v>
      </c>
      <c r="AG164" s="696">
        <f t="shared" si="215"/>
        <v>152614.15078651687</v>
      </c>
      <c r="AH164" s="696">
        <f t="shared" si="215"/>
        <v>147670.26517686225</v>
      </c>
      <c r="AI164" s="696">
        <f t="shared" ref="AI164:AL164" si="216">AI75</f>
        <v>137535.795326675</v>
      </c>
      <c r="AJ164" s="696">
        <f t="shared" si="216"/>
        <v>132334.51833541406</v>
      </c>
      <c r="AK164" s="696">
        <f t="shared" si="216"/>
        <v>129580.67686225551</v>
      </c>
      <c r="AL164" s="696">
        <f t="shared" si="216"/>
        <v>127251.81842696629</v>
      </c>
      <c r="AM164" s="116">
        <f t="shared" ref="AM164:BA164" si="217">AM75</f>
        <v>131675.7022378277</v>
      </c>
      <c r="AN164" s="116">
        <f t="shared" si="217"/>
        <v>87382.012218850592</v>
      </c>
      <c r="AO164" s="116">
        <f t="shared" si="217"/>
        <v>62337.745858965296</v>
      </c>
      <c r="AP164" s="116">
        <f t="shared" si="217"/>
        <v>44469.203782325931</v>
      </c>
      <c r="AQ164" s="116">
        <f t="shared" si="217"/>
        <v>31721.013388399126</v>
      </c>
      <c r="AR164" s="116">
        <f t="shared" si="217"/>
        <v>3232.3351330692303</v>
      </c>
      <c r="AS164" s="116">
        <f t="shared" si="217"/>
        <v>329.3560210835056</v>
      </c>
      <c r="AT164" s="116">
        <f t="shared" si="217"/>
        <v>33.557913377901002</v>
      </c>
      <c r="AU164" s="116">
        <f t="shared" si="217"/>
        <v>3.4190434845215947</v>
      </c>
      <c r="AV164" s="116">
        <f t="shared" si="217"/>
        <v>0.34833318292511889</v>
      </c>
      <c r="AW164" s="116">
        <f t="shared" si="217"/>
        <v>3.5486717605690006E-2</v>
      </c>
      <c r="AX164" s="116">
        <f t="shared" si="217"/>
        <v>3.6150788802022707E-3</v>
      </c>
      <c r="AY164" s="116">
        <f t="shared" si="217"/>
        <v>3.6825690058190508E-4</v>
      </c>
      <c r="AZ164" s="116">
        <f t="shared" si="217"/>
        <v>3.7511581738673266E-5</v>
      </c>
      <c r="BA164" s="116">
        <f t="shared" si="217"/>
        <v>3.8208626424500412E-6</v>
      </c>
    </row>
    <row r="165" spans="1:62" s="116" customFormat="1" ht="12.75" customHeight="1">
      <c r="A165" s="372"/>
      <c r="B165" s="231" t="s">
        <v>641</v>
      </c>
      <c r="I165" s="116">
        <f t="shared" ref="I165:AH165" si="218">I129</f>
        <v>3685.6529632981642</v>
      </c>
      <c r="J165" s="116">
        <f t="shared" si="218"/>
        <v>22530.199999999993</v>
      </c>
      <c r="K165" s="116">
        <f t="shared" si="218"/>
        <v>23317.199999999993</v>
      </c>
      <c r="L165" s="116">
        <f t="shared" si="218"/>
        <v>21986.544999999998</v>
      </c>
      <c r="M165" s="116">
        <f t="shared" si="218"/>
        <v>22988.229999999996</v>
      </c>
      <c r="N165" s="116">
        <f t="shared" si="218"/>
        <v>22419.214999999997</v>
      </c>
      <c r="O165" s="116">
        <f t="shared" si="218"/>
        <v>17239.668306283813</v>
      </c>
      <c r="P165" s="116">
        <f t="shared" si="218"/>
        <v>17572.266408655847</v>
      </c>
      <c r="Q165" s="116">
        <f t="shared" si="218"/>
        <v>17324.448214731587</v>
      </c>
      <c r="R165" s="116">
        <f t="shared" si="218"/>
        <v>13837.874479816895</v>
      </c>
      <c r="S165" s="116">
        <f t="shared" si="218"/>
        <v>16556.232193352058</v>
      </c>
      <c r="T165" s="116">
        <f t="shared" si="218"/>
        <v>14113.53466500208</v>
      </c>
      <c r="U165" s="116">
        <f t="shared" si="218"/>
        <v>11083.418726591761</v>
      </c>
      <c r="V165" s="116">
        <f t="shared" si="218"/>
        <v>12173.936387848522</v>
      </c>
      <c r="W165" s="116">
        <f t="shared" si="218"/>
        <v>11790.715842696627</v>
      </c>
      <c r="X165" s="116">
        <f t="shared" si="218"/>
        <v>12303.263194444444</v>
      </c>
      <c r="Y165" s="116">
        <f t="shared" si="218"/>
        <v>10663.150072825634</v>
      </c>
      <c r="Z165" s="116">
        <f t="shared" si="218"/>
        <v>9018.1439866833116</v>
      </c>
      <c r="AA165" s="116">
        <f t="shared" si="218"/>
        <v>7823.2399084477738</v>
      </c>
      <c r="AB165" s="116">
        <f t="shared" si="218"/>
        <v>7076.0222638368705</v>
      </c>
      <c r="AC165" s="116">
        <f t="shared" si="218"/>
        <v>8633.3631333229296</v>
      </c>
      <c r="AD165" s="696">
        <f t="shared" si="218"/>
        <v>7808.2679483978354</v>
      </c>
      <c r="AE165" s="696">
        <f t="shared" si="218"/>
        <v>5278.8628464419471</v>
      </c>
      <c r="AF165" s="696">
        <f t="shared" si="218"/>
        <v>4845.9592842280481</v>
      </c>
      <c r="AG165" s="696">
        <f t="shared" si="218"/>
        <v>4385.8492134831458</v>
      </c>
      <c r="AH165" s="696">
        <f t="shared" si="218"/>
        <v>5644.350280898876</v>
      </c>
      <c r="AI165" s="696">
        <f t="shared" ref="AI165:AL165" si="219">AI129</f>
        <v>4464.2046733250108</v>
      </c>
      <c r="AJ165" s="696">
        <f t="shared" si="219"/>
        <v>2665.4816645859341</v>
      </c>
      <c r="AK165" s="696">
        <f t="shared" si="219"/>
        <v>3419.3231377444858</v>
      </c>
      <c r="AL165" s="696">
        <f t="shared" si="219"/>
        <v>2748.1815730337075</v>
      </c>
      <c r="AM165" s="116">
        <f t="shared" ref="AM165:BA165" si="220">AM129</f>
        <v>3343.7799521431543</v>
      </c>
      <c r="AN165" s="116">
        <f t="shared" si="220"/>
        <v>2436.9522068493438</v>
      </c>
      <c r="AO165" s="116">
        <f t="shared" si="220"/>
        <v>2219.8726241021159</v>
      </c>
      <c r="AP165" s="116">
        <f t="shared" si="220"/>
        <v>2021.9519119061265</v>
      </c>
      <c r="AQ165" s="116">
        <f t="shared" si="220"/>
        <v>1841.5152526610516</v>
      </c>
      <c r="AR165" s="116">
        <f t="shared" si="220"/>
        <v>186.33697367797063</v>
      </c>
      <c r="AS165" s="116">
        <f t="shared" si="220"/>
        <v>18.853173936773899</v>
      </c>
      <c r="AT165" s="116">
        <f t="shared" si="220"/>
        <v>1.9073553471669211</v>
      </c>
      <c r="AU165" s="116">
        <f t="shared" si="220"/>
        <v>0.19294806222556071</v>
      </c>
      <c r="AV165" s="116">
        <f t="shared" si="220"/>
        <v>1.9516901430985459E-2</v>
      </c>
      <c r="AW165" s="116">
        <f t="shared" si="220"/>
        <v>1.9739807309171091E-3</v>
      </c>
      <c r="AX165" s="116">
        <f t="shared" si="220"/>
        <v>1.9963491018820789E-4</v>
      </c>
      <c r="AY165" s="116">
        <f t="shared" si="220"/>
        <v>2.018791864960914E-5</v>
      </c>
      <c r="AZ165" s="116">
        <f t="shared" si="220"/>
        <v>2.0413055197285763E-6</v>
      </c>
      <c r="BA165" s="116">
        <f t="shared" si="220"/>
        <v>2.0638864541413963E-7</v>
      </c>
    </row>
    <row r="166" spans="1:62" s="249" customFormat="1" ht="12.75" customHeight="1">
      <c r="A166" s="409"/>
      <c r="B166" s="248" t="s">
        <v>446</v>
      </c>
      <c r="I166" s="249">
        <v>5.5</v>
      </c>
      <c r="J166" s="249">
        <v>11</v>
      </c>
      <c r="K166" s="249">
        <v>11</v>
      </c>
      <c r="L166" s="249">
        <v>11</v>
      </c>
      <c r="M166" s="249">
        <v>11</v>
      </c>
      <c r="N166" s="249">
        <v>11</v>
      </c>
      <c r="O166" s="250">
        <f>S166/4</f>
        <v>2.75</v>
      </c>
      <c r="P166" s="250">
        <f>S166/4</f>
        <v>2.75</v>
      </c>
      <c r="Q166" s="250">
        <f>S166/4</f>
        <v>2.75</v>
      </c>
      <c r="R166" s="250">
        <f>S166/4</f>
        <v>2.75</v>
      </c>
      <c r="S166" s="249">
        <v>11</v>
      </c>
      <c r="T166" s="249">
        <f>X166/4</f>
        <v>2.75</v>
      </c>
      <c r="U166" s="249">
        <f t="shared" ref="U166:W167" si="221">T166</f>
        <v>2.75</v>
      </c>
      <c r="V166" s="249">
        <f t="shared" si="221"/>
        <v>2.75</v>
      </c>
      <c r="W166" s="249">
        <f t="shared" si="221"/>
        <v>2.75</v>
      </c>
      <c r="X166" s="249">
        <v>11</v>
      </c>
      <c r="Y166" s="249">
        <f>AC166/4</f>
        <v>2.75</v>
      </c>
      <c r="Z166" s="249">
        <f t="shared" ref="Z166:AB167" si="222">Y166</f>
        <v>2.75</v>
      </c>
      <c r="AA166" s="249">
        <f t="shared" si="222"/>
        <v>2.75</v>
      </c>
      <c r="AB166" s="249">
        <f t="shared" si="222"/>
        <v>2.75</v>
      </c>
      <c r="AC166" s="249">
        <f t="shared" ref="AC166:AH166" si="223">X166</f>
        <v>11</v>
      </c>
      <c r="AD166" s="704">
        <f t="shared" si="223"/>
        <v>2.75</v>
      </c>
      <c r="AE166" s="704">
        <f t="shared" si="223"/>
        <v>2.75</v>
      </c>
      <c r="AF166" s="704">
        <f t="shared" si="223"/>
        <v>2.75</v>
      </c>
      <c r="AG166" s="704">
        <f t="shared" si="223"/>
        <v>2.75</v>
      </c>
      <c r="AH166" s="704">
        <f t="shared" si="223"/>
        <v>11</v>
      </c>
      <c r="AI166" s="704">
        <f t="shared" ref="AI166" si="224">AD166</f>
        <v>2.75</v>
      </c>
      <c r="AJ166" s="704">
        <f t="shared" ref="AJ166" si="225">AE166</f>
        <v>2.75</v>
      </c>
      <c r="AK166" s="704">
        <f t="shared" ref="AK166" si="226">AF166</f>
        <v>2.75</v>
      </c>
      <c r="AL166" s="704">
        <f t="shared" ref="AL166" si="227">AG166</f>
        <v>2.75</v>
      </c>
      <c r="AM166" s="249">
        <v>10.5</v>
      </c>
      <c r="AN166" s="249">
        <f t="shared" ref="AN166:BA166" si="228">AM166</f>
        <v>10.5</v>
      </c>
      <c r="AO166" s="249">
        <f t="shared" si="228"/>
        <v>10.5</v>
      </c>
      <c r="AP166" s="249">
        <f t="shared" si="228"/>
        <v>10.5</v>
      </c>
      <c r="AQ166" s="249">
        <f t="shared" si="228"/>
        <v>10.5</v>
      </c>
      <c r="AR166" s="249">
        <f t="shared" si="228"/>
        <v>10.5</v>
      </c>
      <c r="AS166" s="249">
        <f t="shared" si="228"/>
        <v>10.5</v>
      </c>
      <c r="AT166" s="249">
        <f t="shared" si="228"/>
        <v>10.5</v>
      </c>
      <c r="AU166" s="249">
        <f t="shared" si="228"/>
        <v>10.5</v>
      </c>
      <c r="AV166" s="249">
        <f t="shared" si="228"/>
        <v>10.5</v>
      </c>
      <c r="AW166" s="249">
        <f t="shared" si="228"/>
        <v>10.5</v>
      </c>
      <c r="AX166" s="249">
        <f t="shared" si="228"/>
        <v>10.5</v>
      </c>
      <c r="AY166" s="249">
        <f t="shared" si="228"/>
        <v>10.5</v>
      </c>
      <c r="AZ166" s="249">
        <f t="shared" si="228"/>
        <v>10.5</v>
      </c>
      <c r="BA166" s="249">
        <f t="shared" si="228"/>
        <v>10.5</v>
      </c>
    </row>
    <row r="167" spans="1:62" s="249" customFormat="1" ht="12.75" customHeight="1">
      <c r="A167" s="409"/>
      <c r="B167" s="248" t="s">
        <v>447</v>
      </c>
      <c r="I167" s="249">
        <f>I166/2</f>
        <v>2.75</v>
      </c>
      <c r="J167" s="249">
        <v>6</v>
      </c>
      <c r="K167" s="249">
        <v>6</v>
      </c>
      <c r="L167" s="249">
        <v>6</v>
      </c>
      <c r="M167" s="249">
        <v>6</v>
      </c>
      <c r="N167" s="249">
        <v>6</v>
      </c>
      <c r="O167" s="250">
        <f>S167/4</f>
        <v>1.5</v>
      </c>
      <c r="P167" s="250">
        <f>S167/4</f>
        <v>1.5</v>
      </c>
      <c r="Q167" s="250">
        <f>S167/4</f>
        <v>1.5</v>
      </c>
      <c r="R167" s="250">
        <f>S167/4</f>
        <v>1.5</v>
      </c>
      <c r="S167" s="249">
        <v>6</v>
      </c>
      <c r="T167" s="249">
        <f>X167/4</f>
        <v>1.5</v>
      </c>
      <c r="U167" s="249">
        <f t="shared" si="221"/>
        <v>1.5</v>
      </c>
      <c r="V167" s="249">
        <f t="shared" si="221"/>
        <v>1.5</v>
      </c>
      <c r="W167" s="249">
        <f t="shared" si="221"/>
        <v>1.5</v>
      </c>
      <c r="X167" s="249">
        <v>6</v>
      </c>
      <c r="Y167" s="249">
        <f>AC167/4</f>
        <v>1.5</v>
      </c>
      <c r="Z167" s="249">
        <f t="shared" si="222"/>
        <v>1.5</v>
      </c>
      <c r="AA167" s="249">
        <f t="shared" si="222"/>
        <v>1.5</v>
      </c>
      <c r="AB167" s="249">
        <f t="shared" si="222"/>
        <v>1.5</v>
      </c>
      <c r="AC167" s="249">
        <f t="shared" ref="AC167:AH167" si="229">AC156</f>
        <v>6</v>
      </c>
      <c r="AD167" s="704">
        <f t="shared" si="229"/>
        <v>1.5</v>
      </c>
      <c r="AE167" s="704">
        <f t="shared" si="229"/>
        <v>1.5</v>
      </c>
      <c r="AF167" s="704">
        <f t="shared" si="229"/>
        <v>1.5</v>
      </c>
      <c r="AG167" s="704">
        <f t="shared" si="229"/>
        <v>1.5</v>
      </c>
      <c r="AH167" s="704">
        <f t="shared" si="229"/>
        <v>6</v>
      </c>
      <c r="AI167" s="704">
        <f t="shared" ref="AI167:AL167" si="230">AI156</f>
        <v>1.5</v>
      </c>
      <c r="AJ167" s="704">
        <f t="shared" si="230"/>
        <v>1.5</v>
      </c>
      <c r="AK167" s="704">
        <f t="shared" si="230"/>
        <v>1.5</v>
      </c>
      <c r="AL167" s="704">
        <f t="shared" si="230"/>
        <v>1.5</v>
      </c>
      <c r="AM167" s="249">
        <f t="shared" ref="AM167:BA167" si="231">AM156</f>
        <v>6</v>
      </c>
      <c r="AN167" s="249">
        <f t="shared" si="231"/>
        <v>6</v>
      </c>
      <c r="AO167" s="249">
        <f t="shared" si="231"/>
        <v>6</v>
      </c>
      <c r="AP167" s="249">
        <f t="shared" si="231"/>
        <v>6</v>
      </c>
      <c r="AQ167" s="249">
        <f t="shared" si="231"/>
        <v>6</v>
      </c>
      <c r="AR167" s="249">
        <f t="shared" si="231"/>
        <v>6</v>
      </c>
      <c r="AS167" s="249">
        <f t="shared" si="231"/>
        <v>6</v>
      </c>
      <c r="AT167" s="249">
        <f t="shared" si="231"/>
        <v>6</v>
      </c>
      <c r="AU167" s="249">
        <f t="shared" si="231"/>
        <v>6</v>
      </c>
      <c r="AV167" s="249">
        <f t="shared" si="231"/>
        <v>6</v>
      </c>
      <c r="AW167" s="249">
        <f t="shared" si="231"/>
        <v>6</v>
      </c>
      <c r="AX167" s="249">
        <f t="shared" si="231"/>
        <v>6</v>
      </c>
      <c r="AY167" s="249">
        <f t="shared" si="231"/>
        <v>6</v>
      </c>
      <c r="AZ167" s="249">
        <f t="shared" si="231"/>
        <v>6</v>
      </c>
      <c r="BA167" s="249">
        <f t="shared" si="231"/>
        <v>6</v>
      </c>
    </row>
    <row r="168" spans="1:62" s="238" customFormat="1" ht="12.75" customHeight="1">
      <c r="A168" s="412"/>
      <c r="B168" s="253" t="s">
        <v>635</v>
      </c>
      <c r="I168" s="413">
        <f>I171*1000000/(I164*I166+I165*I167)</f>
        <v>965.79008794733738</v>
      </c>
      <c r="J168" s="413">
        <f>J171*1000000/(J164*J166+J165*J167)</f>
        <v>876.7301487630582</v>
      </c>
      <c r="K168" s="413">
        <f>K171*1000000/(K164*K166+K165*K167)</f>
        <v>933.38507278908094</v>
      </c>
      <c r="L168" s="413">
        <f t="shared" ref="L168:X168" si="232">L171*1000000/(L164*L166+L165*L167)</f>
        <v>896.10993232494218</v>
      </c>
      <c r="M168" s="413">
        <f t="shared" si="232"/>
        <v>920.61916593272588</v>
      </c>
      <c r="N168" s="413">
        <f t="shared" si="232"/>
        <v>889.64672457794302</v>
      </c>
      <c r="O168" s="413">
        <f t="shared" si="232"/>
        <v>1041.8825989760148</v>
      </c>
      <c r="P168" s="413">
        <f t="shared" si="232"/>
        <v>1058.9949681500877</v>
      </c>
      <c r="Q168" s="413">
        <f t="shared" si="232"/>
        <v>961.61458419025462</v>
      </c>
      <c r="R168" s="413">
        <f t="shared" si="232"/>
        <v>1005.681165260069</v>
      </c>
      <c r="S168" s="413">
        <f t="shared" si="232"/>
        <v>1016.1246257076724</v>
      </c>
      <c r="T168" s="413">
        <f t="shared" si="232"/>
        <v>1024.4500938470094</v>
      </c>
      <c r="U168" s="413">
        <f t="shared" si="232"/>
        <v>1063.8380687624967</v>
      </c>
      <c r="V168" s="413">
        <f t="shared" si="232"/>
        <v>985.02508919151876</v>
      </c>
      <c r="W168" s="413">
        <f t="shared" si="232"/>
        <v>1205.2243156412039</v>
      </c>
      <c r="X168" s="413">
        <f t="shared" si="232"/>
        <v>1065.989401274303</v>
      </c>
      <c r="Y168" s="413">
        <f t="shared" ref="Y168:AH168" si="233">Y171*1000000/(Y164*Y166+Y165*Y167)</f>
        <v>927.15645694838463</v>
      </c>
      <c r="Z168" s="413">
        <f t="shared" si="233"/>
        <v>1149.8510508999884</v>
      </c>
      <c r="AA168" s="413">
        <f t="shared" si="233"/>
        <v>1416.4860861087764</v>
      </c>
      <c r="AB168" s="413">
        <f t="shared" si="233"/>
        <v>1529.8119627036333</v>
      </c>
      <c r="AC168" s="413">
        <f t="shared" si="233"/>
        <v>1236.5189161748456</v>
      </c>
      <c r="AD168" s="723">
        <f t="shared" si="233"/>
        <v>1119.5729647917863</v>
      </c>
      <c r="AE168" s="723">
        <f t="shared" si="233"/>
        <v>1399.9694250280095</v>
      </c>
      <c r="AF168" s="723">
        <f t="shared" si="233"/>
        <v>1499.2746565915825</v>
      </c>
      <c r="AG168" s="723">
        <f t="shared" si="233"/>
        <v>1365.3392357066052</v>
      </c>
      <c r="AH168" s="723">
        <f t="shared" si="233"/>
        <v>1339.9757061768996</v>
      </c>
      <c r="AI168" s="723">
        <f t="shared" ref="AI168:AL168" si="234">AI171*1000000/(AI164*AI166+AI165*AI167)</f>
        <v>1270.394692455269</v>
      </c>
      <c r="AJ168" s="723">
        <f t="shared" si="234"/>
        <v>1301.9200132120343</v>
      </c>
      <c r="AK168" s="723">
        <f t="shared" si="234"/>
        <v>1344.4881733408345</v>
      </c>
      <c r="AL168" s="723">
        <f t="shared" si="234"/>
        <v>1254.007836463669</v>
      </c>
      <c r="AM168" s="723">
        <f t="shared" ref="AM168" si="235">AM171*1000000/(AM164*AM166+AM165*AM167)</f>
        <v>1353.1456738363081</v>
      </c>
      <c r="AN168" s="238">
        <f>AM168*(1+$BC$168)</f>
        <v>1366.6771305746713</v>
      </c>
      <c r="AO168" s="238">
        <f>AN168*(1+$BC$168)</f>
        <v>1380.3439018804181</v>
      </c>
      <c r="AP168" s="238">
        <f>AO168*(1+$BC$168)</f>
        <v>1394.1473408992224</v>
      </c>
      <c r="AQ168" s="238">
        <f>AP168*(1+$BC$168)</f>
        <v>1408.0888143082145</v>
      </c>
      <c r="AR168" s="418">
        <f>AQ168</f>
        <v>1408.0888143082145</v>
      </c>
      <c r="AS168" s="238">
        <f>AR168</f>
        <v>1408.0888143082145</v>
      </c>
      <c r="AT168" s="238">
        <f t="shared" ref="AT168:BA168" si="236">AS168</f>
        <v>1408.0888143082145</v>
      </c>
      <c r="AU168" s="238">
        <f t="shared" si="236"/>
        <v>1408.0888143082145</v>
      </c>
      <c r="AV168" s="238">
        <f t="shared" si="236"/>
        <v>1408.0888143082145</v>
      </c>
      <c r="AW168" s="238">
        <f t="shared" si="236"/>
        <v>1408.0888143082145</v>
      </c>
      <c r="AX168" s="238">
        <f t="shared" si="236"/>
        <v>1408.0888143082145</v>
      </c>
      <c r="AY168" s="238">
        <f t="shared" si="236"/>
        <v>1408.0888143082145</v>
      </c>
      <c r="AZ168" s="238">
        <f t="shared" si="236"/>
        <v>1408.0888143082145</v>
      </c>
      <c r="BA168" s="238">
        <f t="shared" si="236"/>
        <v>1408.0888143082145</v>
      </c>
      <c r="BC168" s="119">
        <v>0.01</v>
      </c>
      <c r="BJ168" s="255"/>
    </row>
    <row r="169" spans="1:62" s="77" customFormat="1" ht="12.75" hidden="1" customHeight="1" outlineLevel="1">
      <c r="A169" s="414"/>
      <c r="B169" s="218" t="s">
        <v>494</v>
      </c>
      <c r="D169" s="16"/>
      <c r="E169" s="16"/>
      <c r="F169" s="16"/>
      <c r="G169" s="2">
        <v>0.85</v>
      </c>
      <c r="H169" s="2">
        <v>0.88</v>
      </c>
      <c r="I169" s="2">
        <v>0.83</v>
      </c>
      <c r="J169" s="2">
        <v>0.68500000000000005</v>
      </c>
      <c r="K169" s="2">
        <v>0.66249999999999998</v>
      </c>
      <c r="L169" s="2">
        <f t="shared" ref="L169:X169" si="237">L168/L170</f>
        <v>0.63672887440354287</v>
      </c>
      <c r="M169" s="2">
        <f t="shared" si="237"/>
        <v>0.60922263257494824</v>
      </c>
      <c r="N169" s="2">
        <f t="shared" si="237"/>
        <v>0.55344530509306111</v>
      </c>
      <c r="O169" s="2">
        <f t="shared" si="237"/>
        <v>0.60080650868788843</v>
      </c>
      <c r="P169" s="2">
        <f t="shared" si="237"/>
        <v>0.61067443698322377</v>
      </c>
      <c r="Q169" s="2">
        <f t="shared" si="237"/>
        <v>0.54978307692630102</v>
      </c>
      <c r="R169" s="2">
        <f t="shared" si="237"/>
        <v>0.5725320459195975</v>
      </c>
      <c r="S169" s="2">
        <f t="shared" si="237"/>
        <v>0.58281487756949679</v>
      </c>
      <c r="T169" s="2">
        <f t="shared" si="237"/>
        <v>0.5454337827885879</v>
      </c>
      <c r="U169" s="2">
        <f t="shared" si="237"/>
        <v>0.56640457705525771</v>
      </c>
      <c r="V169" s="2">
        <f t="shared" si="237"/>
        <v>0.52444327329002238</v>
      </c>
      <c r="W169" s="2">
        <f t="shared" si="237"/>
        <v>0.64168089937931128</v>
      </c>
      <c r="X169" s="2">
        <f t="shared" si="237"/>
        <v>0.56754998124526967</v>
      </c>
      <c r="Y169" s="2">
        <f t="shared" ref="Y169:AM169" si="238">Y168/Y170</f>
        <v>0.46318452163080615</v>
      </c>
      <c r="Z169" s="2">
        <f t="shared" si="238"/>
        <v>0.57443725378427757</v>
      </c>
      <c r="AA169" s="2">
        <f t="shared" si="238"/>
        <v>0.70764154773881016</v>
      </c>
      <c r="AB169" s="2">
        <f t="shared" si="238"/>
        <v>0.76425636344289016</v>
      </c>
      <c r="AC169" s="2">
        <f t="shared" si="238"/>
        <v>0.61773438386114077</v>
      </c>
      <c r="AD169" s="690">
        <f t="shared" si="238"/>
        <v>0.55931106798810326</v>
      </c>
      <c r="AE169" s="690">
        <f t="shared" si="238"/>
        <v>0.6993902308178096</v>
      </c>
      <c r="AF169" s="690">
        <f t="shared" si="238"/>
        <v>0.74900067771972945</v>
      </c>
      <c r="AG169" s="690">
        <f t="shared" si="238"/>
        <v>0.68208984148803775</v>
      </c>
      <c r="AH169" s="690">
        <f t="shared" si="238"/>
        <v>0.66941884706844157</v>
      </c>
      <c r="AI169" s="690">
        <f t="shared" si="238"/>
        <v>0.63465788702366444</v>
      </c>
      <c r="AJ169" s="690">
        <f t="shared" si="238"/>
        <v>0.65040716051957548</v>
      </c>
      <c r="AK169" s="690">
        <f t="shared" si="238"/>
        <v>0.67167316448060865</v>
      </c>
      <c r="AL169" s="690">
        <f t="shared" si="238"/>
        <v>0.62647141752693658</v>
      </c>
      <c r="AM169" s="690">
        <f t="shared" si="238"/>
        <v>0.67599823841550088</v>
      </c>
      <c r="AN169" s="2">
        <f>AM169*0.99</f>
        <v>0.6692382560313459</v>
      </c>
      <c r="AO169" s="2">
        <f>AN169*0.99</f>
        <v>0.66254587347103244</v>
      </c>
      <c r="AP169" s="2">
        <f>AO169*0.99</f>
        <v>0.65592041473632212</v>
      </c>
      <c r="AQ169" s="2">
        <f>AP169*0.99</f>
        <v>0.6493612105889589</v>
      </c>
      <c r="AR169" s="417">
        <v>0.9</v>
      </c>
      <c r="AS169" s="417">
        <v>0.9</v>
      </c>
      <c r="AT169" s="417">
        <v>0.9</v>
      </c>
      <c r="AU169" s="417">
        <v>0.9</v>
      </c>
      <c r="AV169" s="417">
        <v>0.9</v>
      </c>
      <c r="AW169" s="417">
        <v>0.9</v>
      </c>
      <c r="AX169" s="417">
        <v>0.9</v>
      </c>
      <c r="AY169" s="417">
        <v>0.9</v>
      </c>
      <c r="AZ169" s="417">
        <v>0.9</v>
      </c>
      <c r="BA169" s="417">
        <v>0.9</v>
      </c>
      <c r="BB169" s="2"/>
      <c r="BD169" s="136"/>
    </row>
    <row r="170" spans="1:62" s="77" customFormat="1" ht="12.75" hidden="1" customHeight="1" outlineLevel="1">
      <c r="A170" s="414"/>
      <c r="B170" s="218" t="s">
        <v>633</v>
      </c>
      <c r="D170" s="16"/>
      <c r="E170" s="16"/>
      <c r="F170" s="16"/>
      <c r="G170" s="2"/>
      <c r="H170" s="2"/>
      <c r="I170" s="2"/>
      <c r="J170" s="2"/>
      <c r="K170" s="2"/>
      <c r="L170" s="418">
        <f>(1381.41*1/2+1433.32*1/2)</f>
        <v>1407.365</v>
      </c>
      <c r="M170" s="418">
        <f>(1462.92*1/4+1527.21*3/4)</f>
        <v>1511.1375</v>
      </c>
      <c r="N170" s="418">
        <f>(1548.46*1/4+1627.14*3/4)</f>
        <v>1607.47</v>
      </c>
      <c r="O170" s="418">
        <f>1734.14</f>
        <v>1734.14</v>
      </c>
      <c r="P170" s="238">
        <f>O170</f>
        <v>1734.14</v>
      </c>
      <c r="Q170" s="238">
        <f>(1734.14*1/3+1756.55*2/3)</f>
        <v>1749.08</v>
      </c>
      <c r="R170" s="238">
        <f>1756.55</f>
        <v>1756.55</v>
      </c>
      <c r="S170" s="238">
        <f>AVERAGE(O170:R170)</f>
        <v>1743.4775000000002</v>
      </c>
      <c r="T170" s="418">
        <f>1878.23</f>
        <v>1878.23</v>
      </c>
      <c r="U170" s="238">
        <f>T170</f>
        <v>1878.23</v>
      </c>
      <c r="V170" s="238">
        <f>U170</f>
        <v>1878.23</v>
      </c>
      <c r="W170" s="238">
        <f>V170</f>
        <v>1878.23</v>
      </c>
      <c r="X170" s="242">
        <f>W170</f>
        <v>1878.23</v>
      </c>
      <c r="Y170" s="418">
        <f>2001.7</f>
        <v>2001.7</v>
      </c>
      <c r="Z170" s="238">
        <f t="shared" ref="Z170:AH170" si="239">Y170</f>
        <v>2001.7</v>
      </c>
      <c r="AA170" s="238">
        <f t="shared" si="239"/>
        <v>2001.7</v>
      </c>
      <c r="AB170" s="238">
        <f t="shared" si="239"/>
        <v>2001.7</v>
      </c>
      <c r="AC170" s="238">
        <f t="shared" si="239"/>
        <v>2001.7</v>
      </c>
      <c r="AD170" s="700">
        <f t="shared" si="239"/>
        <v>2001.7</v>
      </c>
      <c r="AE170" s="700">
        <f t="shared" si="239"/>
        <v>2001.7</v>
      </c>
      <c r="AF170" s="700">
        <f t="shared" si="239"/>
        <v>2001.7</v>
      </c>
      <c r="AG170" s="700">
        <f t="shared" si="239"/>
        <v>2001.7</v>
      </c>
      <c r="AH170" s="700">
        <f t="shared" si="239"/>
        <v>2001.7</v>
      </c>
      <c r="AI170" s="700">
        <f t="shared" ref="AI170" si="240">AH170</f>
        <v>2001.7</v>
      </c>
      <c r="AJ170" s="700">
        <f t="shared" ref="AJ170" si="241">AI170</f>
        <v>2001.7</v>
      </c>
      <c r="AK170" s="700">
        <f t="shared" ref="AK170" si="242">AJ170</f>
        <v>2001.7</v>
      </c>
      <c r="AL170" s="700">
        <f t="shared" ref="AL170:AM170" si="243">AK170</f>
        <v>2001.7</v>
      </c>
      <c r="AM170" s="700">
        <f t="shared" si="243"/>
        <v>2001.7</v>
      </c>
      <c r="AN170" s="238">
        <f>AM170*(1+$BC$168)</f>
        <v>2021.7170000000001</v>
      </c>
      <c r="AO170" s="238">
        <f>AN170*(1+$BC$168)</f>
        <v>2041.9341700000002</v>
      </c>
      <c r="AP170" s="238">
        <f>AO170*(1+$BC$168)</f>
        <v>2062.3535117000001</v>
      </c>
      <c r="AQ170" s="238">
        <f>AP170*(1+$BC$168)</f>
        <v>2082.977046817</v>
      </c>
      <c r="AR170" s="418">
        <f>AQ170</f>
        <v>2082.977046817</v>
      </c>
      <c r="AS170" s="238">
        <f t="shared" ref="AS170:BA170" si="244">AR170</f>
        <v>2082.977046817</v>
      </c>
      <c r="AT170" s="238">
        <f t="shared" si="244"/>
        <v>2082.977046817</v>
      </c>
      <c r="AU170" s="238">
        <f t="shared" si="244"/>
        <v>2082.977046817</v>
      </c>
      <c r="AV170" s="238">
        <f t="shared" si="244"/>
        <v>2082.977046817</v>
      </c>
      <c r="AW170" s="238">
        <f t="shared" si="244"/>
        <v>2082.977046817</v>
      </c>
      <c r="AX170" s="238">
        <f t="shared" si="244"/>
        <v>2082.977046817</v>
      </c>
      <c r="AY170" s="238">
        <f t="shared" si="244"/>
        <v>2082.977046817</v>
      </c>
      <c r="AZ170" s="238">
        <f t="shared" si="244"/>
        <v>2082.977046817</v>
      </c>
      <c r="BA170" s="238">
        <f t="shared" si="244"/>
        <v>2082.977046817</v>
      </c>
      <c r="BB170" s="2"/>
      <c r="BD170" s="136"/>
    </row>
    <row r="171" spans="1:62" s="257" customFormat="1" ht="12.75" customHeight="1" collapsed="1">
      <c r="A171" s="419"/>
      <c r="B171" s="245" t="s">
        <v>637</v>
      </c>
      <c r="C171" s="246"/>
      <c r="D171" s="246"/>
      <c r="E171" s="246"/>
      <c r="F171" s="246"/>
      <c r="G171" s="246"/>
      <c r="H171" s="246"/>
      <c r="I171" s="246">
        <f>REVS!AB4</f>
        <v>205.565</v>
      </c>
      <c r="J171" s="246">
        <f>REVS!AG4</f>
        <v>900.00900000000001</v>
      </c>
      <c r="K171" s="246">
        <f>REVS!AL4</f>
        <v>1317.1680000000001</v>
      </c>
      <c r="L171" s="246">
        <f>REVS!AQ4</f>
        <v>1645.942</v>
      </c>
      <c r="M171" s="246">
        <f>REVS!AV4</f>
        <v>1908.8810000000001</v>
      </c>
      <c r="N171" s="246">
        <f>REVS!BA4</f>
        <v>2022.049</v>
      </c>
      <c r="O171" s="246">
        <f>REVS!BB4</f>
        <v>562.04399999999998</v>
      </c>
      <c r="P171" s="246">
        <f>REVS!BC4</f>
        <v>570.83500000000004</v>
      </c>
      <c r="Q171" s="246">
        <f>REVS!BD4</f>
        <v>539.79700000000003</v>
      </c>
      <c r="R171" s="246">
        <f>REVS!BE4</f>
        <v>579.97900000000004</v>
      </c>
      <c r="S171" s="246">
        <f>REVS!BF4</f>
        <v>2252.6549999999997</v>
      </c>
      <c r="T171" s="246">
        <f>REVS!BG4</f>
        <v>553.82600000000002</v>
      </c>
      <c r="U171" s="246">
        <f>REVS!BH4</f>
        <v>611.33000000000004</v>
      </c>
      <c r="V171" s="246">
        <f>REVS!BI4</f>
        <v>575.53300000000002</v>
      </c>
      <c r="W171" s="246">
        <f>REVS!BJ4</f>
        <v>615.28099999999995</v>
      </c>
      <c r="X171" s="415">
        <f>REVS!BK4</f>
        <v>2355.9699999999998</v>
      </c>
      <c r="Y171" s="415">
        <f>REVS!BL4</f>
        <v>489.92899999999997</v>
      </c>
      <c r="Z171" s="415">
        <f>REVS!BM4</f>
        <v>578.34900000000005</v>
      </c>
      <c r="AA171" s="415">
        <f>REVS!BN4</f>
        <v>621.08799999999997</v>
      </c>
      <c r="AB171" s="415">
        <f>REVS!BO4</f>
        <v>668</v>
      </c>
      <c r="AC171" s="415">
        <f>REVS!BP4</f>
        <v>2357.366</v>
      </c>
      <c r="AD171" s="725">
        <f>REVS!BQ4</f>
        <v>494</v>
      </c>
      <c r="AE171" s="725">
        <f>REVS!BR4</f>
        <v>549</v>
      </c>
      <c r="AF171" s="725">
        <f>REVS!BS4</f>
        <v>597</v>
      </c>
      <c r="AG171" s="725">
        <f>REVS!BT4</f>
        <v>582</v>
      </c>
      <c r="AH171" s="725">
        <f>REVS!BU4</f>
        <v>2222</v>
      </c>
      <c r="AI171" s="725">
        <f>REVS!BV4</f>
        <v>489</v>
      </c>
      <c r="AJ171" s="725">
        <f>REVS!BW4</f>
        <v>479</v>
      </c>
      <c r="AK171" s="725">
        <f>REVS!BX4</f>
        <v>486</v>
      </c>
      <c r="AL171" s="725">
        <f>REVS!BY4</f>
        <v>444</v>
      </c>
      <c r="AM171" s="725">
        <f>REVS!BZ4</f>
        <v>1898</v>
      </c>
      <c r="AN171" s="246">
        <f t="shared" ref="AN171:BA171" si="245">+(AN164*AN166*AN168/1000000)+(AN165*AN167*AN168/1000000)</f>
        <v>1273.9246371889726</v>
      </c>
      <c r="AO171" s="246">
        <f t="shared" si="245"/>
        <v>921.8841630484211</v>
      </c>
      <c r="AP171" s="246">
        <f t="shared" si="245"/>
        <v>667.87792644133128</v>
      </c>
      <c r="AQ171" s="246">
        <f t="shared" si="245"/>
        <v>484.55114554452211</v>
      </c>
      <c r="AR171" s="246">
        <f>+(AR164*AR166*AR168/1000000)+(AR165*AR167*AR168/1000000)</f>
        <v>49.364130972155458</v>
      </c>
      <c r="AS171" s="246">
        <f>+(AS164*AS166*AS168/1000000)+(AS165*AS167*AS168/1000000)</f>
        <v>5.0287882167412903</v>
      </c>
      <c r="AT171" s="246">
        <f t="shared" si="245"/>
        <v>0.51226584019447741</v>
      </c>
      <c r="AU171" s="246">
        <f t="shared" si="245"/>
        <v>5.2180455353950043E-2</v>
      </c>
      <c r="AV171" s="246">
        <f t="shared" si="245"/>
        <v>5.3149717981265483E-3</v>
      </c>
      <c r="AW171" s="246">
        <f t="shared" si="245"/>
        <v>5.4134596735059398E-4</v>
      </c>
      <c r="AX171" s="246">
        <f t="shared" si="245"/>
        <v>5.5135319511462819E-5</v>
      </c>
      <c r="AY171" s="246">
        <f t="shared" si="245"/>
        <v>5.6152117308705966E-6</v>
      </c>
      <c r="AZ171" s="246">
        <f t="shared" si="245"/>
        <v>5.7185224267245062E-7</v>
      </c>
      <c r="BA171" s="246">
        <f t="shared" si="245"/>
        <v>5.8234877710388555E-8</v>
      </c>
      <c r="BJ171" s="258"/>
    </row>
    <row r="172" spans="1:62" s="116" customFormat="1" ht="12.75" customHeight="1">
      <c r="A172" s="372"/>
      <c r="B172" s="239"/>
      <c r="AI172" s="696"/>
      <c r="AJ172" s="696"/>
      <c r="AK172" s="696"/>
      <c r="AL172" s="696"/>
      <c r="BD172" s="241"/>
    </row>
    <row r="173" spans="1:62" s="16" customFormat="1" ht="12.75" customHeight="1">
      <c r="A173" s="422"/>
      <c r="B173" s="410" t="s">
        <v>646</v>
      </c>
      <c r="C173" s="411"/>
      <c r="D173" s="411"/>
      <c r="E173" s="411"/>
      <c r="F173" s="411"/>
      <c r="G173" s="411"/>
      <c r="H173" s="411"/>
      <c r="I173" s="411"/>
      <c r="J173" s="411"/>
      <c r="K173" s="411"/>
      <c r="L173" s="411"/>
      <c r="M173" s="423"/>
      <c r="N173" s="411"/>
      <c r="O173" s="411"/>
      <c r="P173" s="411"/>
      <c r="Q173" s="411"/>
      <c r="R173" s="411"/>
      <c r="S173" s="411"/>
      <c r="T173" s="411"/>
      <c r="U173" s="411"/>
      <c r="V173" s="411"/>
      <c r="W173" s="411"/>
      <c r="X173" s="411"/>
      <c r="Y173" s="411"/>
      <c r="Z173" s="411"/>
      <c r="AA173" s="411"/>
      <c r="AB173" s="411"/>
      <c r="AC173" s="411"/>
      <c r="AD173" s="411"/>
      <c r="AE173" s="411"/>
      <c r="AF173" s="411"/>
      <c r="AG173" s="411"/>
      <c r="AH173" s="411"/>
      <c r="AI173" s="721"/>
      <c r="AJ173" s="721"/>
      <c r="AK173" s="721"/>
      <c r="AL173" s="721"/>
      <c r="AM173" s="411"/>
      <c r="AN173" s="411"/>
      <c r="AO173" s="411"/>
      <c r="AP173" s="411"/>
      <c r="AQ173" s="411"/>
      <c r="AR173" s="411"/>
      <c r="AS173" s="411"/>
      <c r="AT173" s="411"/>
      <c r="AU173" s="411"/>
      <c r="AV173" s="411"/>
      <c r="AW173" s="411"/>
      <c r="AX173" s="411"/>
      <c r="AY173" s="411"/>
      <c r="AZ173" s="411"/>
      <c r="BA173" s="411"/>
      <c r="BB173" s="1"/>
      <c r="BC173" s="77"/>
      <c r="BD173" s="137"/>
    </row>
    <row r="174" spans="1:62" s="116" customFormat="1" ht="12.75" customHeight="1">
      <c r="A174" s="372"/>
      <c r="B174" s="231" t="s">
        <v>640</v>
      </c>
      <c r="N174" s="116">
        <f t="shared" ref="N174:BA174" si="246">N76</f>
        <v>19301.695000000003</v>
      </c>
      <c r="O174" s="116">
        <f t="shared" si="246"/>
        <v>23830.822372034956</v>
      </c>
      <c r="P174" s="116">
        <f t="shared" si="246"/>
        <v>40079.215875988346</v>
      </c>
      <c r="Q174" s="116">
        <f t="shared" si="246"/>
        <v>47400.40129837703</v>
      </c>
      <c r="R174" s="116">
        <f t="shared" si="246"/>
        <v>60162.125520183108</v>
      </c>
      <c r="S174" s="116">
        <f t="shared" si="246"/>
        <v>42868.141266645864</v>
      </c>
      <c r="T174" s="116">
        <f t="shared" si="246"/>
        <v>58057.778360382857</v>
      </c>
      <c r="U174" s="116">
        <f t="shared" si="246"/>
        <v>65362.410337078654</v>
      </c>
      <c r="V174" s="116">
        <f t="shared" si="246"/>
        <v>60272.702867249274</v>
      </c>
      <c r="W174" s="116">
        <f t="shared" si="246"/>
        <v>72893.67213483146</v>
      </c>
      <c r="X174" s="116">
        <f t="shared" si="246"/>
        <v>64146.640924885556</v>
      </c>
      <c r="Y174" s="116">
        <f t="shared" si="246"/>
        <v>76091.976227632127</v>
      </c>
      <c r="Z174" s="116">
        <f t="shared" si="246"/>
        <v>71600.052018310438</v>
      </c>
      <c r="AA174" s="116">
        <f t="shared" si="246"/>
        <v>71706.337286724927</v>
      </c>
      <c r="AB174" s="116">
        <f t="shared" si="246"/>
        <v>68569.502496878908</v>
      </c>
      <c r="AC174" s="116">
        <f t="shared" si="246"/>
        <v>71991.9670073866</v>
      </c>
      <c r="AD174" s="696">
        <f t="shared" si="246"/>
        <v>80845.331502288813</v>
      </c>
      <c r="AE174" s="696">
        <f t="shared" si="246"/>
        <v>79442.274307116109</v>
      </c>
      <c r="AF174" s="696">
        <f t="shared" si="246"/>
        <v>84702.336521015401</v>
      </c>
      <c r="AG174" s="696">
        <f t="shared" si="246"/>
        <v>87348.651910112356</v>
      </c>
      <c r="AH174" s="696">
        <f t="shared" si="246"/>
        <v>83084.648560133166</v>
      </c>
      <c r="AI174" s="696">
        <f t="shared" ref="AI174:AL174" si="247">AI76</f>
        <v>91347.077702871407</v>
      </c>
      <c r="AJ174" s="696">
        <f t="shared" si="247"/>
        <v>88002.666254681651</v>
      </c>
      <c r="AK174" s="696">
        <f t="shared" si="247"/>
        <v>70212.947607157723</v>
      </c>
      <c r="AL174" s="696">
        <f t="shared" si="247"/>
        <v>66877.727640449433</v>
      </c>
      <c r="AM174" s="116">
        <f t="shared" si="246"/>
        <v>79110.104801290057</v>
      </c>
      <c r="AN174" s="116">
        <f t="shared" si="246"/>
        <v>43393.580907441676</v>
      </c>
      <c r="AO174" s="116">
        <f t="shared" si="246"/>
        <v>26534.30723159745</v>
      </c>
      <c r="AP174" s="116">
        <f t="shared" si="246"/>
        <v>16224.421600371159</v>
      </c>
      <c r="AQ174" s="116">
        <f t="shared" si="246"/>
        <v>11573.292324360275</v>
      </c>
      <c r="AR174" s="116">
        <f t="shared" si="246"/>
        <v>9434.442444134811</v>
      </c>
      <c r="AS174" s="116">
        <f t="shared" si="246"/>
        <v>7690.5154858520873</v>
      </c>
      <c r="AT174" s="116">
        <f t="shared" si="246"/>
        <v>783.58261572572553</v>
      </c>
      <c r="AU174" s="116">
        <f t="shared" si="246"/>
        <v>79.835209260826957</v>
      </c>
      <c r="AV174" s="116">
        <f t="shared" si="246"/>
        <v>8.133635233717408</v>
      </c>
      <c r="AW174" s="116">
        <f t="shared" si="246"/>
        <v>0.82862050127641174</v>
      </c>
      <c r="AX174" s="116">
        <f t="shared" si="246"/>
        <v>8.4412666935041236E-2</v>
      </c>
      <c r="AY174" s="116">
        <f t="shared" si="246"/>
        <v>8.5988572104439536E-3</v>
      </c>
      <c r="AZ174" s="116">
        <f t="shared" si="246"/>
        <v>8.7590140089447571E-4</v>
      </c>
      <c r="BA174" s="116">
        <f t="shared" si="246"/>
        <v>8.9217750519355414E-5</v>
      </c>
      <c r="BD174" s="240"/>
    </row>
    <row r="175" spans="1:62" s="116" customFormat="1" ht="12.75" customHeight="1">
      <c r="A175" s="372"/>
      <c r="B175" s="231" t="s">
        <v>641</v>
      </c>
      <c r="N175" s="116">
        <f t="shared" ref="N175:BA175" si="248">N130</f>
        <v>2463.65</v>
      </c>
      <c r="O175" s="116">
        <f t="shared" si="248"/>
        <v>12169.177627965044</v>
      </c>
      <c r="P175" s="116">
        <f t="shared" si="248"/>
        <v>12920.784124011652</v>
      </c>
      <c r="Q175" s="116">
        <f t="shared" si="248"/>
        <v>12599.59870162297</v>
      </c>
      <c r="R175" s="116">
        <f t="shared" si="248"/>
        <v>13837.874479816895</v>
      </c>
      <c r="S175" s="116">
        <f t="shared" si="248"/>
        <v>12877.069483718267</v>
      </c>
      <c r="T175" s="116">
        <f t="shared" si="248"/>
        <v>11942.221639617144</v>
      </c>
      <c r="U175" s="116">
        <f t="shared" si="248"/>
        <v>11637.589662921348</v>
      </c>
      <c r="V175" s="116">
        <f t="shared" si="248"/>
        <v>12727.297132750728</v>
      </c>
      <c r="W175" s="116">
        <f t="shared" si="248"/>
        <v>10106.327865168538</v>
      </c>
      <c r="X175" s="116">
        <f t="shared" si="248"/>
        <v>11612.068632958801</v>
      </c>
      <c r="Y175" s="116">
        <f t="shared" si="248"/>
        <v>12908.023772367873</v>
      </c>
      <c r="Z175" s="116">
        <f t="shared" si="248"/>
        <v>12399.947981689555</v>
      </c>
      <c r="AA175" s="116">
        <f t="shared" si="248"/>
        <v>12293.662713275073</v>
      </c>
      <c r="AB175" s="116">
        <f t="shared" si="248"/>
        <v>11430.497503121098</v>
      </c>
      <c r="AC175" s="116">
        <f t="shared" si="248"/>
        <v>12253.805737619643</v>
      </c>
      <c r="AD175" s="696">
        <f t="shared" si="248"/>
        <v>11154.668497711195</v>
      </c>
      <c r="AE175" s="696">
        <f t="shared" si="248"/>
        <v>10557.725692883894</v>
      </c>
      <c r="AF175" s="696">
        <f t="shared" si="248"/>
        <v>10297.663478984603</v>
      </c>
      <c r="AG175" s="696">
        <f t="shared" si="248"/>
        <v>10651.348089887641</v>
      </c>
      <c r="AH175" s="696">
        <f t="shared" si="248"/>
        <v>10694.558426966292</v>
      </c>
      <c r="AI175" s="696">
        <f t="shared" ref="AI175:AL175" si="249">AI130</f>
        <v>7652.922297128589</v>
      </c>
      <c r="AJ175" s="696">
        <f t="shared" si="249"/>
        <v>5997.3337453183512</v>
      </c>
      <c r="AK175" s="696">
        <f t="shared" si="249"/>
        <v>4787.0523928422799</v>
      </c>
      <c r="AL175" s="696">
        <f t="shared" si="249"/>
        <v>4122.2723595505613</v>
      </c>
      <c r="AM175" s="116">
        <f t="shared" si="248"/>
        <v>5684.4259186433619</v>
      </c>
      <c r="AN175" s="116">
        <f t="shared" si="248"/>
        <v>2640.0315574201222</v>
      </c>
      <c r="AO175" s="116">
        <f t="shared" si="248"/>
        <v>1336.034449691088</v>
      </c>
      <c r="AP175" s="116">
        <f t="shared" si="248"/>
        <v>1216.9155025360944</v>
      </c>
      <c r="AQ175" s="116">
        <f t="shared" si="248"/>
        <v>1108.3193650274845</v>
      </c>
      <c r="AR175" s="116">
        <f t="shared" si="248"/>
        <v>1009.3252740890074</v>
      </c>
      <c r="AS175" s="116">
        <f t="shared" si="248"/>
        <v>919.09222941772737</v>
      </c>
      <c r="AT175" s="116">
        <f t="shared" si="248"/>
        <v>836.85215856948651</v>
      </c>
      <c r="AU175" s="116">
        <f t="shared" si="248"/>
        <v>761.9036607131826</v>
      </c>
      <c r="AV175" s="116">
        <f t="shared" si="248"/>
        <v>77.067364525603807</v>
      </c>
      <c r="AW175" s="116">
        <f t="shared" si="248"/>
        <v>7.7947564112089314</v>
      </c>
      <c r="AX175" s="116">
        <f t="shared" si="248"/>
        <v>0.78830835160568569</v>
      </c>
      <c r="AY175" s="116">
        <f t="shared" si="248"/>
        <v>7.9717043767644075E-2</v>
      </c>
      <c r="AZ175" s="116">
        <f t="shared" si="248"/>
        <v>8.0606051710282144E-3</v>
      </c>
      <c r="BA175" s="116">
        <f t="shared" si="248"/>
        <v>8.149771635790837E-4</v>
      </c>
    </row>
    <row r="176" spans="1:62" s="249" customFormat="1" ht="12.75" customHeight="1">
      <c r="A176" s="409"/>
      <c r="B176" s="248" t="s">
        <v>446</v>
      </c>
      <c r="N176" s="249">
        <v>1.4</v>
      </c>
      <c r="O176" s="250">
        <v>1.1000000000000001</v>
      </c>
      <c r="P176" s="250">
        <v>0.9</v>
      </c>
      <c r="Q176" s="250">
        <v>1.05</v>
      </c>
      <c r="R176" s="250">
        <v>0.85</v>
      </c>
      <c r="S176" s="249">
        <v>4</v>
      </c>
      <c r="T176" s="250">
        <v>1.05</v>
      </c>
      <c r="U176" s="250">
        <v>1.1000000000000001</v>
      </c>
      <c r="V176" s="250">
        <v>1.05</v>
      </c>
      <c r="W176" s="250">
        <v>1.05</v>
      </c>
      <c r="X176" s="249">
        <v>4.3</v>
      </c>
      <c r="Y176" s="250">
        <v>1.05</v>
      </c>
      <c r="Z176" s="250">
        <v>1.1000000000000001</v>
      </c>
      <c r="AA176" s="250">
        <v>2</v>
      </c>
      <c r="AB176" s="250">
        <v>2</v>
      </c>
      <c r="AC176" s="249">
        <f>X176+1</f>
        <v>5.3</v>
      </c>
      <c r="AD176" s="704">
        <f t="shared" ref="AD176:AG176" si="250">Y176+1</f>
        <v>2.0499999999999998</v>
      </c>
      <c r="AE176" s="704">
        <f t="shared" si="250"/>
        <v>2.1</v>
      </c>
      <c r="AF176" s="704">
        <f t="shared" si="250"/>
        <v>3</v>
      </c>
      <c r="AG176" s="704">
        <f t="shared" si="250"/>
        <v>3</v>
      </c>
      <c r="AH176" s="704">
        <v>9</v>
      </c>
      <c r="AI176" s="704">
        <f t="shared" ref="AI176" si="251">AD176+1</f>
        <v>3.05</v>
      </c>
      <c r="AJ176" s="704">
        <f t="shared" ref="AJ176" si="252">AE176+1</f>
        <v>3.1</v>
      </c>
      <c r="AK176" s="704">
        <f t="shared" ref="AK176" si="253">AF176+1</f>
        <v>4</v>
      </c>
      <c r="AL176" s="704">
        <f t="shared" ref="AL176" si="254">AG176+1</f>
        <v>4</v>
      </c>
      <c r="AM176" s="249">
        <v>11</v>
      </c>
      <c r="AN176" s="249">
        <f>AM176</f>
        <v>11</v>
      </c>
      <c r="AO176" s="249">
        <f>AN176</f>
        <v>11</v>
      </c>
      <c r="AP176" s="249">
        <v>11</v>
      </c>
      <c r="AQ176" s="249">
        <v>11</v>
      </c>
      <c r="AR176" s="249">
        <f t="shared" ref="AR176:BA176" si="255">AQ176</f>
        <v>11</v>
      </c>
      <c r="AS176" s="249">
        <f t="shared" si="255"/>
        <v>11</v>
      </c>
      <c r="AT176" s="249">
        <f t="shared" si="255"/>
        <v>11</v>
      </c>
      <c r="AU176" s="249">
        <f t="shared" si="255"/>
        <v>11</v>
      </c>
      <c r="AV176" s="249">
        <f t="shared" si="255"/>
        <v>11</v>
      </c>
      <c r="AW176" s="249">
        <f t="shared" si="255"/>
        <v>11</v>
      </c>
      <c r="AX176" s="249">
        <f t="shared" si="255"/>
        <v>11</v>
      </c>
      <c r="AY176" s="249">
        <f t="shared" si="255"/>
        <v>11</v>
      </c>
      <c r="AZ176" s="249">
        <f t="shared" si="255"/>
        <v>11</v>
      </c>
      <c r="BA176" s="249">
        <f t="shared" si="255"/>
        <v>11</v>
      </c>
    </row>
    <row r="177" spans="1:56" s="249" customFormat="1" ht="12.75" customHeight="1">
      <c r="A177" s="409"/>
      <c r="B177" s="248" t="s">
        <v>447</v>
      </c>
      <c r="N177" s="249">
        <v>0.6</v>
      </c>
      <c r="O177" s="250">
        <v>0.6</v>
      </c>
      <c r="P177" s="250">
        <v>0.6</v>
      </c>
      <c r="Q177" s="250">
        <v>0.6</v>
      </c>
      <c r="R177" s="250">
        <v>0.5</v>
      </c>
      <c r="S177" s="249">
        <v>1.5</v>
      </c>
      <c r="T177" s="250">
        <v>0.5</v>
      </c>
      <c r="U177" s="250">
        <v>0.5</v>
      </c>
      <c r="V177" s="250">
        <v>0.5</v>
      </c>
      <c r="W177" s="250">
        <v>0.5</v>
      </c>
      <c r="X177" s="249">
        <v>1.5</v>
      </c>
      <c r="Y177" s="250">
        <v>0.5</v>
      </c>
      <c r="Z177" s="250">
        <v>0.5</v>
      </c>
      <c r="AA177" s="250">
        <v>0.5</v>
      </c>
      <c r="AB177" s="250">
        <v>0.5</v>
      </c>
      <c r="AC177" s="249">
        <f>X177+2</f>
        <v>3.5</v>
      </c>
      <c r="AD177" s="704">
        <f t="shared" ref="AD177:AG177" si="256">Y177+2</f>
        <v>2.5</v>
      </c>
      <c r="AE177" s="704">
        <f t="shared" si="256"/>
        <v>2.5</v>
      </c>
      <c r="AF177" s="704">
        <f t="shared" si="256"/>
        <v>2.5</v>
      </c>
      <c r="AG177" s="704">
        <f t="shared" si="256"/>
        <v>2.5</v>
      </c>
      <c r="AH177" s="704">
        <v>5</v>
      </c>
      <c r="AI177" s="704">
        <f t="shared" ref="AI177" si="257">AD177+2</f>
        <v>4.5</v>
      </c>
      <c r="AJ177" s="704">
        <f t="shared" ref="AJ177" si="258">AE177+2</f>
        <v>4.5</v>
      </c>
      <c r="AK177" s="704">
        <f t="shared" ref="AK177" si="259">AF177+2</f>
        <v>4.5</v>
      </c>
      <c r="AL177" s="704">
        <f t="shared" ref="AL177" si="260">AG177+2</f>
        <v>4.5</v>
      </c>
      <c r="AM177" s="249">
        <v>6</v>
      </c>
      <c r="AN177" s="249">
        <f>AM177</f>
        <v>6</v>
      </c>
      <c r="AO177" s="249">
        <f>AN177</f>
        <v>6</v>
      </c>
      <c r="AP177" s="249">
        <f>AO177</f>
        <v>6</v>
      </c>
      <c r="AQ177" s="249">
        <f>AP177</f>
        <v>6</v>
      </c>
      <c r="AR177" s="249">
        <f t="shared" ref="AR177:BA177" si="261">AQ177</f>
        <v>6</v>
      </c>
      <c r="AS177" s="249">
        <f t="shared" si="261"/>
        <v>6</v>
      </c>
      <c r="AT177" s="249">
        <f t="shared" si="261"/>
        <v>6</v>
      </c>
      <c r="AU177" s="249">
        <f t="shared" si="261"/>
        <v>6</v>
      </c>
      <c r="AV177" s="249">
        <f t="shared" si="261"/>
        <v>6</v>
      </c>
      <c r="AW177" s="249">
        <f t="shared" si="261"/>
        <v>6</v>
      </c>
      <c r="AX177" s="249">
        <f t="shared" si="261"/>
        <v>6</v>
      </c>
      <c r="AY177" s="249">
        <f t="shared" si="261"/>
        <v>6</v>
      </c>
      <c r="AZ177" s="249">
        <f t="shared" si="261"/>
        <v>6</v>
      </c>
      <c r="BA177" s="249">
        <f t="shared" si="261"/>
        <v>6</v>
      </c>
    </row>
    <row r="178" spans="1:56" ht="12.75" customHeight="1">
      <c r="B178" s="253" t="s">
        <v>635</v>
      </c>
      <c r="C178" s="120"/>
      <c r="D178" s="120"/>
      <c r="E178" s="120"/>
      <c r="F178" s="120"/>
      <c r="G178" s="120"/>
      <c r="H178" s="120"/>
      <c r="I178" s="120"/>
      <c r="J178" s="120"/>
      <c r="K178" s="120"/>
      <c r="L178" s="120"/>
      <c r="M178" s="120"/>
      <c r="N178" s="424">
        <f>N181*1000000/(N174*N176+N175*N177)</f>
        <v>1351.0961169433742</v>
      </c>
      <c r="O178" s="424">
        <f>O181*1000000/(O174*O176+O175*O177)</f>
        <v>1451.2428246827546</v>
      </c>
      <c r="P178" s="424">
        <f t="shared" ref="P178:X178" si="262">P181*1000000/(P174*P176+P175*P177)</f>
        <v>1483.3047856989258</v>
      </c>
      <c r="Q178" s="424">
        <f t="shared" si="262"/>
        <v>1432.03804982478</v>
      </c>
      <c r="R178" s="424">
        <f t="shared" si="262"/>
        <v>1452.5099805576006</v>
      </c>
      <c r="S178" s="424">
        <f t="shared" si="262"/>
        <v>1467.9631396384893</v>
      </c>
      <c r="T178" s="424">
        <f t="shared" si="262"/>
        <v>1543.3177323995469</v>
      </c>
      <c r="U178" s="424">
        <f t="shared" si="262"/>
        <v>1546.4610055151913</v>
      </c>
      <c r="V178" s="424">
        <f t="shared" si="262"/>
        <v>1821.795038822373</v>
      </c>
      <c r="W178" s="424">
        <f t="shared" si="262"/>
        <v>1872.9642567057426</v>
      </c>
      <c r="X178" s="424">
        <f t="shared" si="262"/>
        <v>1715.9157755132726</v>
      </c>
      <c r="Y178" s="424">
        <f>Y181*1000000/(Y174*Y176+Y175*Y177)</f>
        <v>1510.4240126703853</v>
      </c>
      <c r="Z178" s="424">
        <f>Z181*1000000/(Z174*Z176+Z175*Z177)</f>
        <v>1810.8044195269317</v>
      </c>
      <c r="AA178" s="424">
        <f>AA181*1000000/(AA174*AA176+AA175*AA177)</f>
        <v>1224.0011015118832</v>
      </c>
      <c r="AB178" s="424">
        <f>AB181*1000000/(AB174*AB176+AB175*AB177)</f>
        <v>1372.0277475911237</v>
      </c>
      <c r="AC178" s="424">
        <f t="shared" ref="AC178:AH178" si="263">AC181*1000000/(AC174*AC176+AC175*AC177)</f>
        <v>1562.8216502792397</v>
      </c>
      <c r="AD178" s="729">
        <f t="shared" si="263"/>
        <v>841.8569158614888</v>
      </c>
      <c r="AE178" s="729">
        <f t="shared" si="263"/>
        <v>1071.3005350607179</v>
      </c>
      <c r="AF178" s="729">
        <f t="shared" si="263"/>
        <v>750.39886846037848</v>
      </c>
      <c r="AG178" s="729">
        <f t="shared" si="263"/>
        <v>748.24804486987568</v>
      </c>
      <c r="AH178" s="729">
        <f t="shared" si="263"/>
        <v>993.46679613509332</v>
      </c>
      <c r="AI178" s="729">
        <f t="shared" ref="AI178:AL178" si="264">AI181*1000000/(AI174*AI176+AI175*AI177)</f>
        <v>709.15928366755111</v>
      </c>
      <c r="AJ178" s="729">
        <f t="shared" si="264"/>
        <v>663.78411522517263</v>
      </c>
      <c r="AK178" s="729">
        <f t="shared" si="264"/>
        <v>545.64660188136259</v>
      </c>
      <c r="AL178" s="729">
        <f t="shared" si="264"/>
        <v>510.38041011011802</v>
      </c>
      <c r="AM178" s="729">
        <f t="shared" ref="AM178" si="265">AM181*1000000/(AM174*AM176+AM175*AM177)</f>
        <v>809.4500342749875</v>
      </c>
      <c r="AN178" s="120">
        <f>AN179*AN180</f>
        <v>809.36908927155991</v>
      </c>
      <c r="AO178" s="120">
        <f>AO179*AO180</f>
        <v>809.28815236263279</v>
      </c>
      <c r="AP178" s="120">
        <f>AP179*AP180</f>
        <v>809.20722354739644</v>
      </c>
      <c r="AQ178" s="120">
        <f>AQ179*AQ180</f>
        <v>809.12630282504165</v>
      </c>
      <c r="AR178" s="120">
        <f t="shared" ref="AR178:BA178" si="266">AR179*AR180</f>
        <v>809.04539019475908</v>
      </c>
      <c r="AS178" s="120">
        <f t="shared" si="266"/>
        <v>808.96448565573974</v>
      </c>
      <c r="AT178" s="120">
        <f t="shared" si="266"/>
        <v>1961.189262319715</v>
      </c>
      <c r="AU178" s="120">
        <f t="shared" si="266"/>
        <v>1961.189262319715</v>
      </c>
      <c r="AV178" s="120">
        <f t="shared" si="266"/>
        <v>1961.189262319715</v>
      </c>
      <c r="AW178" s="120">
        <f t="shared" si="266"/>
        <v>1961.189262319715</v>
      </c>
      <c r="AX178" s="120">
        <f t="shared" si="266"/>
        <v>1961.189262319715</v>
      </c>
      <c r="AY178" s="120">
        <f t="shared" si="266"/>
        <v>1961.189262319715</v>
      </c>
      <c r="AZ178" s="120">
        <f t="shared" si="266"/>
        <v>1961.189262319715</v>
      </c>
      <c r="BA178" s="120">
        <f t="shared" si="266"/>
        <v>1961.189262319715</v>
      </c>
      <c r="BB178" s="120"/>
      <c r="BC178" s="77">
        <f>BC168</f>
        <v>0.01</v>
      </c>
    </row>
    <row r="179" spans="1:56" s="77" customFormat="1" ht="12.75" hidden="1" customHeight="1" outlineLevel="1">
      <c r="A179" s="414"/>
      <c r="B179" s="218" t="s">
        <v>494</v>
      </c>
      <c r="D179" s="16"/>
      <c r="E179" s="16"/>
      <c r="F179" s="16"/>
      <c r="G179" s="2"/>
      <c r="H179" s="2"/>
      <c r="I179" s="2"/>
      <c r="J179" s="2"/>
      <c r="K179" s="2"/>
      <c r="L179" s="2"/>
      <c r="M179" s="2"/>
      <c r="N179" s="2">
        <f>N178/N180</f>
        <v>0.79259909244378524</v>
      </c>
      <c r="O179" s="2">
        <f>O178/O180</f>
        <v>0.79308953946354077</v>
      </c>
      <c r="P179" s="2">
        <f t="shared" ref="P179:AM179" si="267">P178/P180</f>
        <v>0.81061107718564585</v>
      </c>
      <c r="Q179" s="2">
        <f t="shared" si="267"/>
        <v>0.78259432406019047</v>
      </c>
      <c r="R179" s="2">
        <f t="shared" si="267"/>
        <v>0.79378202734504311</v>
      </c>
      <c r="S179" s="2">
        <f t="shared" si="267"/>
        <v>0.80222702263478596</v>
      </c>
      <c r="T179" s="2">
        <f t="shared" si="267"/>
        <v>0.79695007688987363</v>
      </c>
      <c r="U179" s="2">
        <f t="shared" si="267"/>
        <v>0.79857322402193165</v>
      </c>
      <c r="V179" s="2">
        <f t="shared" si="267"/>
        <v>0.94075229344361977</v>
      </c>
      <c r="W179" s="2">
        <f t="shared" si="267"/>
        <v>0.9671754409721216</v>
      </c>
      <c r="X179" s="2">
        <f t="shared" si="267"/>
        <v>0.88607755909450026</v>
      </c>
      <c r="Y179" s="690">
        <f t="shared" si="267"/>
        <v>0.73578363933846058</v>
      </c>
      <c r="Z179" s="690">
        <f t="shared" si="267"/>
        <v>0.88211009276403163</v>
      </c>
      <c r="AA179" s="690">
        <f t="shared" si="267"/>
        <v>0.59625640050072015</v>
      </c>
      <c r="AB179" s="690">
        <f t="shared" si="267"/>
        <v>0.66836567806622327</v>
      </c>
      <c r="AC179" s="690">
        <f t="shared" si="267"/>
        <v>0.76130847486091735</v>
      </c>
      <c r="AD179" s="690">
        <f t="shared" si="267"/>
        <v>0.41009977341375425</v>
      </c>
      <c r="AE179" s="690">
        <f t="shared" si="267"/>
        <v>0.52187028271526248</v>
      </c>
      <c r="AF179" s="690">
        <f t="shared" si="267"/>
        <v>0.36554716143256244</v>
      </c>
      <c r="AG179" s="690">
        <f t="shared" si="267"/>
        <v>0.36449941537203917</v>
      </c>
      <c r="AH179" s="690">
        <f t="shared" si="267"/>
        <v>0.48395457744997994</v>
      </c>
      <c r="AI179" s="690">
        <f t="shared" si="267"/>
        <v>0.34545782788838281</v>
      </c>
      <c r="AJ179" s="690">
        <f t="shared" si="267"/>
        <v>0.32335389793754543</v>
      </c>
      <c r="AK179" s="690">
        <f t="shared" si="267"/>
        <v>0.26580472712104997</v>
      </c>
      <c r="AL179" s="690">
        <f t="shared" si="267"/>
        <v>0.2486252551917216</v>
      </c>
      <c r="AM179" s="690">
        <f t="shared" si="267"/>
        <v>0.39431317768083141</v>
      </c>
      <c r="AN179" s="2">
        <f t="shared" ref="AN179:AS179" si="268">AM179*0.99</f>
        <v>0.39037004590402308</v>
      </c>
      <c r="AO179" s="2">
        <f t="shared" si="268"/>
        <v>0.38646634544498282</v>
      </c>
      <c r="AP179" s="2">
        <f t="shared" si="268"/>
        <v>0.38260168199053296</v>
      </c>
      <c r="AQ179" s="2">
        <f t="shared" si="268"/>
        <v>0.37877566517062761</v>
      </c>
      <c r="AR179" s="2">
        <f t="shared" si="268"/>
        <v>0.37498790851892133</v>
      </c>
      <c r="AS179" s="2">
        <f t="shared" si="268"/>
        <v>0.37123802943373213</v>
      </c>
      <c r="AT179" s="417">
        <v>0.9</v>
      </c>
      <c r="AU179" s="417">
        <v>0.9</v>
      </c>
      <c r="AV179" s="417">
        <v>0.9</v>
      </c>
      <c r="AW179" s="417">
        <v>0.9</v>
      </c>
      <c r="AX179" s="417">
        <v>0.9</v>
      </c>
      <c r="AY179" s="417">
        <v>0.9</v>
      </c>
      <c r="AZ179" s="417">
        <v>0.9</v>
      </c>
      <c r="BA179" s="417">
        <v>0.9</v>
      </c>
      <c r="BB179" s="2"/>
      <c r="BD179" s="136"/>
    </row>
    <row r="180" spans="1:56" s="77" customFormat="1" ht="12.75" hidden="1" customHeight="1" outlineLevel="1">
      <c r="A180" s="414"/>
      <c r="B180" s="218" t="s">
        <v>633</v>
      </c>
      <c r="D180" s="16"/>
      <c r="E180" s="16"/>
      <c r="F180" s="16"/>
      <c r="G180" s="2"/>
      <c r="H180" s="2"/>
      <c r="I180" s="2"/>
      <c r="J180" s="2"/>
      <c r="K180" s="2"/>
      <c r="L180" s="418"/>
      <c r="M180" s="418"/>
      <c r="N180" s="418">
        <v>1704.64</v>
      </c>
      <c r="O180" s="418">
        <v>1829.86</v>
      </c>
      <c r="P180" s="238">
        <f>O180</f>
        <v>1829.86</v>
      </c>
      <c r="Q180" s="238">
        <f>P180</f>
        <v>1829.86</v>
      </c>
      <c r="R180" s="238">
        <f>Q180</f>
        <v>1829.86</v>
      </c>
      <c r="S180" s="238">
        <f>AVERAGE(O180:R180)</f>
        <v>1829.86</v>
      </c>
      <c r="T180" s="418">
        <v>1936.53</v>
      </c>
      <c r="U180" s="238">
        <f>T180</f>
        <v>1936.53</v>
      </c>
      <c r="V180" s="238">
        <f>U180</f>
        <v>1936.53</v>
      </c>
      <c r="W180" s="238">
        <f>V180</f>
        <v>1936.53</v>
      </c>
      <c r="X180" s="242">
        <f>W180</f>
        <v>1936.53</v>
      </c>
      <c r="Y180" s="418">
        <v>2052.81</v>
      </c>
      <c r="Z180" s="238">
        <f>Y180</f>
        <v>2052.81</v>
      </c>
      <c r="AA180" s="238">
        <f>Z180</f>
        <v>2052.81</v>
      </c>
      <c r="AB180" s="238">
        <f>AA180</f>
        <v>2052.81</v>
      </c>
      <c r="AC180" s="238">
        <f>AB180</f>
        <v>2052.81</v>
      </c>
      <c r="AD180" s="700">
        <f t="shared" ref="AD180:AH180" si="269">AC180</f>
        <v>2052.81</v>
      </c>
      <c r="AE180" s="700">
        <f t="shared" si="269"/>
        <v>2052.81</v>
      </c>
      <c r="AF180" s="700">
        <f t="shared" si="269"/>
        <v>2052.81</v>
      </c>
      <c r="AG180" s="700">
        <f t="shared" si="269"/>
        <v>2052.81</v>
      </c>
      <c r="AH180" s="700">
        <f t="shared" si="269"/>
        <v>2052.81</v>
      </c>
      <c r="AI180" s="700">
        <f t="shared" ref="AI180" si="270">AH180</f>
        <v>2052.81</v>
      </c>
      <c r="AJ180" s="700">
        <f t="shared" ref="AJ180" si="271">AI180</f>
        <v>2052.81</v>
      </c>
      <c r="AK180" s="700">
        <f t="shared" ref="AK180" si="272">AJ180</f>
        <v>2052.81</v>
      </c>
      <c r="AL180" s="700">
        <f t="shared" ref="AL180:AM180" si="273">AK180</f>
        <v>2052.81</v>
      </c>
      <c r="AM180" s="700">
        <f t="shared" si="273"/>
        <v>2052.81</v>
      </c>
      <c r="AN180" s="116">
        <f t="shared" ref="AN180:AS180" si="274">AM180*(1+$BC$178)</f>
        <v>2073.3380999999999</v>
      </c>
      <c r="AO180" s="116">
        <f t="shared" si="274"/>
        <v>2094.0714809999999</v>
      </c>
      <c r="AP180" s="116">
        <f t="shared" si="274"/>
        <v>2115.0121958099999</v>
      </c>
      <c r="AQ180" s="116">
        <f t="shared" si="274"/>
        <v>2136.1623177680999</v>
      </c>
      <c r="AR180" s="116">
        <f t="shared" si="274"/>
        <v>2157.5239409457809</v>
      </c>
      <c r="AS180" s="116">
        <f t="shared" si="274"/>
        <v>2179.0991803552388</v>
      </c>
      <c r="AT180" s="385">
        <f>AS180</f>
        <v>2179.0991803552388</v>
      </c>
      <c r="AU180" s="116">
        <f t="shared" ref="AU180:BA180" si="275">AT180</f>
        <v>2179.0991803552388</v>
      </c>
      <c r="AV180" s="116">
        <f t="shared" si="275"/>
        <v>2179.0991803552388</v>
      </c>
      <c r="AW180" s="116">
        <f t="shared" si="275"/>
        <v>2179.0991803552388</v>
      </c>
      <c r="AX180" s="116">
        <f t="shared" si="275"/>
        <v>2179.0991803552388</v>
      </c>
      <c r="AY180" s="116">
        <f t="shared" si="275"/>
        <v>2179.0991803552388</v>
      </c>
      <c r="AZ180" s="116">
        <f t="shared" si="275"/>
        <v>2179.0991803552388</v>
      </c>
      <c r="BA180" s="116">
        <f t="shared" si="275"/>
        <v>2179.0991803552388</v>
      </c>
      <c r="BB180" s="2"/>
      <c r="BD180" s="136"/>
    </row>
    <row r="181" spans="1:56" s="257" customFormat="1" ht="12.75" customHeight="1" collapsed="1">
      <c r="A181" s="419"/>
      <c r="B181" s="245" t="s">
        <v>638</v>
      </c>
      <c r="C181" s="246"/>
      <c r="D181" s="246"/>
      <c r="E181" s="246"/>
      <c r="F181" s="246"/>
      <c r="G181" s="246"/>
      <c r="H181" s="246"/>
      <c r="I181" s="246"/>
      <c r="J181" s="246"/>
      <c r="K181" s="246"/>
      <c r="L181" s="246"/>
      <c r="M181" s="246"/>
      <c r="N181" s="246">
        <f>REVS!BA19</f>
        <v>38.507000000000005</v>
      </c>
      <c r="O181" s="246">
        <f>REVS!BB19</f>
        <v>48.639000000000003</v>
      </c>
      <c r="P181" s="246">
        <f>REVS!BC19</f>
        <v>65.004000000000005</v>
      </c>
      <c r="Q181" s="246">
        <f>REVS!BD19</f>
        <v>82.099000000000004</v>
      </c>
      <c r="R181" s="246">
        <f>REVS!BE19</f>
        <v>84.328000000000003</v>
      </c>
      <c r="S181" s="246">
        <f>REVS!BF19</f>
        <v>280.07000000000005</v>
      </c>
      <c r="T181" s="246">
        <f>REVS!BG19</f>
        <v>103.297</v>
      </c>
      <c r="U181" s="246">
        <f>REVS!BH19</f>
        <v>120.187</v>
      </c>
      <c r="V181" s="246">
        <f>REVS!BI19</f>
        <v>126.88800000000001</v>
      </c>
      <c r="W181" s="246">
        <f>REVS!BJ19</f>
        <v>152.81800000000001</v>
      </c>
      <c r="X181" s="415">
        <f>REVS!BK19</f>
        <v>503.18999999999994</v>
      </c>
      <c r="Y181" s="415">
        <f>REVS!BL19</f>
        <v>130.42599999999999</v>
      </c>
      <c r="Z181" s="415">
        <f>REVS!BM19</f>
        <v>153.846</v>
      </c>
      <c r="AA181" s="415">
        <f>REVS!BN19</f>
        <v>183.06100000000001</v>
      </c>
      <c r="AB181" s="415">
        <f>REVS!BO19</f>
        <v>196</v>
      </c>
      <c r="AC181" s="415">
        <f>REVS!BP19</f>
        <v>663.33299999999997</v>
      </c>
      <c r="AD181" s="725">
        <f>REVS!BQ19</f>
        <v>163</v>
      </c>
      <c r="AE181" s="725">
        <f>REVS!BR19</f>
        <v>207</v>
      </c>
      <c r="AF181" s="725">
        <f>REVS!BS19</f>
        <v>210</v>
      </c>
      <c r="AG181" s="725">
        <f>REVS!BT19</f>
        <v>216</v>
      </c>
      <c r="AH181" s="725">
        <f>REVS!BU19</f>
        <v>796</v>
      </c>
      <c r="AI181" s="725">
        <f>REVS!BV19</f>
        <v>222</v>
      </c>
      <c r="AJ181" s="725">
        <f>REVS!BW19</f>
        <v>199</v>
      </c>
      <c r="AK181" s="725">
        <f>REVS!BX19-89</f>
        <v>165</v>
      </c>
      <c r="AL181" s="725">
        <f>REVS!BY19</f>
        <v>146</v>
      </c>
      <c r="AM181" s="725">
        <f>REVS!BZ19-89</f>
        <v>732</v>
      </c>
      <c r="AN181" s="246">
        <f t="shared" ref="AN181:BA181" si="276">(AN176*AN174*AN178/1000000)+(AN175*AN177*AN178/1000000)</f>
        <v>399.15621327582983</v>
      </c>
      <c r="AO181" s="246">
        <f t="shared" si="276"/>
        <v>242.70032631820135</v>
      </c>
      <c r="AP181" s="246">
        <f t="shared" si="276"/>
        <v>150.32653161648039</v>
      </c>
      <c r="AQ181" s="246">
        <f t="shared" si="276"/>
        <v>108.3874296301982</v>
      </c>
      <c r="AR181" s="246">
        <f t="shared" si="276"/>
        <v>88.861353614588126</v>
      </c>
      <c r="AS181" s="246">
        <f t="shared" si="276"/>
        <v>72.895970784684778</v>
      </c>
      <c r="AT181" s="246">
        <f t="shared" si="276"/>
        <v>26.751644738331883</v>
      </c>
      <c r="AU181" s="246">
        <f t="shared" si="276"/>
        <v>10.687715176607858</v>
      </c>
      <c r="AV181" s="246">
        <f t="shared" si="276"/>
        <v>1.0823297056212717</v>
      </c>
      <c r="AW181" s="246">
        <f t="shared" si="276"/>
        <v>0.10959785338241834</v>
      </c>
      <c r="AX181" s="246">
        <f t="shared" si="276"/>
        <v>1.1097172623360659E-2</v>
      </c>
      <c r="AY181" s="246">
        <f t="shared" si="276"/>
        <v>1.1235451122886206E-3</v>
      </c>
      <c r="AZ181" s="246">
        <f t="shared" si="276"/>
        <v>1.1374612650045129E-4</v>
      </c>
      <c r="BA181" s="246">
        <f t="shared" si="276"/>
        <v>1.151464861107813E-5</v>
      </c>
    </row>
    <row r="182" spans="1:56" s="116" customFormat="1" ht="12.75" customHeight="1">
      <c r="A182" s="372"/>
      <c r="B182" s="239"/>
      <c r="AH182" s="237"/>
      <c r="AI182" s="696"/>
      <c r="AJ182" s="696"/>
      <c r="AK182" s="696"/>
      <c r="AL182" s="696"/>
      <c r="AM182" s="237"/>
      <c r="AN182" s="237"/>
      <c r="AO182" s="237"/>
      <c r="AP182" s="237"/>
      <c r="AQ182" s="237"/>
      <c r="AR182" s="237"/>
      <c r="AS182" s="237"/>
      <c r="AT182" s="237"/>
      <c r="AU182" s="237"/>
      <c r="AV182" s="237"/>
      <c r="AW182" s="237"/>
      <c r="AX182" s="237"/>
      <c r="AY182" s="237"/>
      <c r="AZ182" s="237"/>
      <c r="BA182" s="237"/>
      <c r="BB182" s="237"/>
    </row>
    <row r="183" spans="1:56" s="12" customFormat="1" ht="12.75" customHeight="1">
      <c r="A183" s="374"/>
      <c r="B183" s="410" t="s">
        <v>647</v>
      </c>
      <c r="C183" s="411"/>
      <c r="D183" s="411"/>
      <c r="E183" s="411"/>
      <c r="F183" s="411"/>
      <c r="G183" s="411"/>
      <c r="H183" s="411"/>
      <c r="I183" s="411"/>
      <c r="J183" s="411"/>
      <c r="K183" s="411"/>
      <c r="L183" s="411"/>
      <c r="M183" s="411"/>
      <c r="N183" s="411"/>
      <c r="O183" s="411"/>
      <c r="P183" s="411"/>
      <c r="Q183" s="411"/>
      <c r="R183" s="411"/>
      <c r="S183" s="411"/>
      <c r="T183" s="411"/>
      <c r="U183" s="411"/>
      <c r="V183" s="411"/>
      <c r="W183" s="411"/>
      <c r="X183" s="411"/>
      <c r="Y183" s="411"/>
      <c r="Z183" s="411"/>
      <c r="AA183" s="411"/>
      <c r="AB183" s="411"/>
      <c r="AC183" s="411"/>
      <c r="AD183" s="411"/>
      <c r="AE183" s="411"/>
      <c r="AF183" s="411"/>
      <c r="AG183" s="411"/>
      <c r="AH183" s="411"/>
      <c r="AI183" s="721"/>
      <c r="AJ183" s="721"/>
      <c r="AK183" s="721"/>
      <c r="AL183" s="721"/>
      <c r="AM183" s="411"/>
      <c r="AN183" s="411"/>
      <c r="AO183" s="411"/>
      <c r="AP183" s="411"/>
      <c r="AQ183" s="411"/>
      <c r="AR183" s="411"/>
      <c r="AS183" s="411"/>
      <c r="AT183" s="411"/>
      <c r="AU183" s="411"/>
      <c r="AV183" s="411"/>
      <c r="AW183" s="411"/>
      <c r="AX183" s="411"/>
      <c r="AY183" s="411"/>
      <c r="AZ183" s="411"/>
      <c r="BA183" s="411"/>
      <c r="BB183" s="1"/>
    </row>
    <row r="184" spans="1:56" s="116" customFormat="1" ht="12.75" customHeight="1">
      <c r="A184" s="372"/>
      <c r="B184" s="231" t="s">
        <v>640</v>
      </c>
      <c r="Q184" s="116">
        <f t="shared" ref="Q184:AH184" si="277">Q77</f>
        <v>8800</v>
      </c>
      <c r="R184" s="116">
        <f t="shared" si="277"/>
        <v>12483.215395339159</v>
      </c>
      <c r="S184" s="116">
        <f t="shared" si="277"/>
        <v>10641.60769766958</v>
      </c>
      <c r="T184" s="116">
        <f t="shared" si="277"/>
        <v>25600.606616729092</v>
      </c>
      <c r="U184" s="116">
        <f t="shared" si="277"/>
        <v>35037.384719101123</v>
      </c>
      <c r="V184" s="116">
        <f t="shared" si="277"/>
        <v>44952.538397836041</v>
      </c>
      <c r="W184" s="116">
        <f t="shared" si="277"/>
        <v>61156.120224719103</v>
      </c>
      <c r="X184" s="116">
        <f t="shared" si="277"/>
        <v>41686.66248959634</v>
      </c>
      <c r="Y184" s="116">
        <f t="shared" si="277"/>
        <v>62285.884103204327</v>
      </c>
      <c r="Z184" s="116">
        <f t="shared" si="277"/>
        <v>68090.980024968798</v>
      </c>
      <c r="AA184" s="116">
        <f t="shared" si="277"/>
        <v>72677.111631294218</v>
      </c>
      <c r="AB184" s="116">
        <f t="shared" si="277"/>
        <v>77847.955472326255</v>
      </c>
      <c r="AC184" s="696">
        <f t="shared" si="277"/>
        <v>70225.4828079484</v>
      </c>
      <c r="AD184" s="696">
        <f t="shared" si="277"/>
        <v>98383.464103204329</v>
      </c>
      <c r="AE184" s="696">
        <f t="shared" si="277"/>
        <v>99576.87114440283</v>
      </c>
      <c r="AF184" s="696">
        <f t="shared" si="277"/>
        <v>108827.65268414482</v>
      </c>
      <c r="AG184" s="696">
        <f t="shared" si="277"/>
        <v>122456.60314606741</v>
      </c>
      <c r="AH184" s="696">
        <f t="shared" si="277"/>
        <v>107311.14776945485</v>
      </c>
      <c r="AI184" s="696">
        <f t="shared" ref="AI184:AL184" si="278">AI77</f>
        <v>117245.12950478568</v>
      </c>
      <c r="AJ184" s="696">
        <f t="shared" si="278"/>
        <v>107337.18459009571</v>
      </c>
      <c r="AK184" s="696">
        <f t="shared" si="278"/>
        <v>101793.62446941323</v>
      </c>
      <c r="AL184" s="696">
        <f t="shared" si="278"/>
        <v>96129.546067415737</v>
      </c>
      <c r="AM184" s="116">
        <f t="shared" ref="AM184:BA184" si="279">AM77</f>
        <v>105626.3711579276</v>
      </c>
      <c r="AN184" s="116">
        <f t="shared" si="279"/>
        <v>48127.426097344403</v>
      </c>
      <c r="AO184" s="116">
        <f t="shared" si="279"/>
        <v>34333.785417854873</v>
      </c>
      <c r="AP184" s="116">
        <f t="shared" si="279"/>
        <v>24492.321294701705</v>
      </c>
      <c r="AQ184" s="116">
        <f t="shared" si="279"/>
        <v>17470.995332077197</v>
      </c>
      <c r="AR184" s="116">
        <f t="shared" si="279"/>
        <v>12461.92167036822</v>
      </c>
      <c r="AS184" s="116">
        <f t="shared" si="279"/>
        <v>11428.17155614227</v>
      </c>
      <c r="AT184" s="116">
        <f t="shared" si="279"/>
        <v>11644.104452293572</v>
      </c>
      <c r="AU184" s="116">
        <f t="shared" si="279"/>
        <v>11863.580137530409</v>
      </c>
      <c r="AV184" s="116">
        <f t="shared" si="279"/>
        <v>12086.651278058895</v>
      </c>
      <c r="AW184" s="116">
        <f t="shared" si="279"/>
        <v>12313.371270032923</v>
      </c>
      <c r="AX184" s="116">
        <f t="shared" si="279"/>
        <v>12543.794249160988</v>
      </c>
      <c r="AY184" s="116">
        <f t="shared" si="279"/>
        <v>12777.975100434571</v>
      </c>
      <c r="AZ184" s="116">
        <f t="shared" si="279"/>
        <v>1301.596946797948</v>
      </c>
      <c r="BA184" s="116">
        <f t="shared" si="279"/>
        <v>132.57833765031762</v>
      </c>
    </row>
    <row r="185" spans="1:56" s="116" customFormat="1" ht="12.75" customHeight="1">
      <c r="A185" s="372"/>
      <c r="B185" s="231" t="s">
        <v>641</v>
      </c>
      <c r="Q185" s="116">
        <f t="shared" ref="Q185:AH185" si="280">Q131</f>
        <v>1049.9665584685808</v>
      </c>
      <c r="R185" s="116">
        <f t="shared" si="280"/>
        <v>10516.784604660841</v>
      </c>
      <c r="S185" s="116">
        <f t="shared" si="280"/>
        <v>5518.744064450686</v>
      </c>
      <c r="T185" s="116">
        <f t="shared" si="280"/>
        <v>11399.39338327091</v>
      </c>
      <c r="U185" s="116">
        <f t="shared" si="280"/>
        <v>14962.615280898877</v>
      </c>
      <c r="V185" s="116">
        <f t="shared" si="280"/>
        <v>16047.461602163959</v>
      </c>
      <c r="W185" s="116">
        <f t="shared" si="280"/>
        <v>16843.879775280897</v>
      </c>
      <c r="X185" s="116">
        <f t="shared" si="280"/>
        <v>14791.563615792758</v>
      </c>
      <c r="Y185" s="116">
        <f t="shared" si="280"/>
        <v>15714.115896795673</v>
      </c>
      <c r="Z185" s="116">
        <f t="shared" si="280"/>
        <v>16909.019975031209</v>
      </c>
      <c r="AA185" s="116">
        <f t="shared" si="280"/>
        <v>17322.888368705782</v>
      </c>
      <c r="AB185" s="116">
        <f t="shared" si="280"/>
        <v>14152.044527673741</v>
      </c>
      <c r="AC185" s="696">
        <f t="shared" si="280"/>
        <v>16013.496134389306</v>
      </c>
      <c r="AD185" s="696">
        <f t="shared" si="280"/>
        <v>15616.535896795671</v>
      </c>
      <c r="AE185" s="696">
        <f t="shared" si="280"/>
        <v>16423.12885559717</v>
      </c>
      <c r="AF185" s="696">
        <f t="shared" si="280"/>
        <v>18172.347315855179</v>
      </c>
      <c r="AG185" s="696">
        <f t="shared" si="280"/>
        <v>17543.396853932583</v>
      </c>
      <c r="AH185" s="696">
        <f t="shared" si="280"/>
        <v>16933.05084269663</v>
      </c>
      <c r="AI185" s="696">
        <f t="shared" ref="AI185:AL185" si="281">AI131</f>
        <v>12754.870495214316</v>
      </c>
      <c r="AJ185" s="696">
        <f t="shared" si="281"/>
        <v>8662.8154099042858</v>
      </c>
      <c r="AK185" s="696">
        <f t="shared" si="281"/>
        <v>8206.3755305867653</v>
      </c>
      <c r="AL185" s="696">
        <f t="shared" si="281"/>
        <v>6870.4539325842698</v>
      </c>
      <c r="AM185" s="116">
        <f t="shared" ref="AM185:BA185" si="282">AM131</f>
        <v>9195.3948683936742</v>
      </c>
      <c r="AN185" s="116">
        <f t="shared" si="282"/>
        <v>4230.8198035578889</v>
      </c>
      <c r="AO185" s="116">
        <f t="shared" si="282"/>
        <v>3425.7293581822782</v>
      </c>
      <c r="AP185" s="116">
        <f t="shared" si="282"/>
        <v>2426.8970136047474</v>
      </c>
      <c r="AQ185" s="116">
        <f t="shared" si="282"/>
        <v>2210.323519997833</v>
      </c>
      <c r="AR185" s="116">
        <f t="shared" si="282"/>
        <v>2012.8994070151148</v>
      </c>
      <c r="AS185" s="116">
        <f t="shared" si="282"/>
        <v>1832.9474660752403</v>
      </c>
      <c r="AT185" s="116">
        <f t="shared" si="282"/>
        <v>1668.9359287710558</v>
      </c>
      <c r="AU185" s="116">
        <f t="shared" si="282"/>
        <v>1519.4659900262905</v>
      </c>
      <c r="AV185" s="116">
        <f t="shared" si="282"/>
        <v>1383.2603889210941</v>
      </c>
      <c r="AW185" s="116">
        <f t="shared" si="282"/>
        <v>1259.1529587337509</v>
      </c>
      <c r="AX185" s="116">
        <f t="shared" si="282"/>
        <v>1146.0790650267279</v>
      </c>
      <c r="AY185" s="116">
        <f t="shared" si="282"/>
        <v>1043.066857298174</v>
      </c>
      <c r="AZ185" s="116">
        <f t="shared" si="282"/>
        <v>105.46991843014612</v>
      </c>
      <c r="BA185" s="116">
        <f t="shared" si="282"/>
        <v>10.663662732677089</v>
      </c>
    </row>
    <row r="186" spans="1:56" s="116" customFormat="1" ht="12.75" customHeight="1">
      <c r="A186" s="372"/>
      <c r="B186" s="248" t="s">
        <v>446</v>
      </c>
      <c r="Q186" s="115">
        <v>0.9</v>
      </c>
      <c r="R186" s="115">
        <v>0.9</v>
      </c>
      <c r="S186" s="115">
        <v>1.8</v>
      </c>
      <c r="T186" s="262">
        <v>1.5</v>
      </c>
      <c r="U186" s="262">
        <v>1.1000000000000001</v>
      </c>
      <c r="V186" s="262">
        <v>1.25</v>
      </c>
      <c r="W186" s="262">
        <v>1.5</v>
      </c>
      <c r="X186" s="115">
        <v>5</v>
      </c>
      <c r="Y186" s="262">
        <v>1.5</v>
      </c>
      <c r="Z186" s="262">
        <v>1.1000000000000001</v>
      </c>
      <c r="AA186" s="262">
        <v>1.25</v>
      </c>
      <c r="AB186" s="262">
        <v>1.5</v>
      </c>
      <c r="AC186" s="262">
        <v>7</v>
      </c>
      <c r="AD186" s="262">
        <v>1.5</v>
      </c>
      <c r="AE186" s="262">
        <v>1.5</v>
      </c>
      <c r="AF186" s="262">
        <v>1.5</v>
      </c>
      <c r="AG186" s="262">
        <v>1.5</v>
      </c>
      <c r="AH186" s="262">
        <v>7</v>
      </c>
      <c r="AI186" s="262">
        <v>1.5</v>
      </c>
      <c r="AJ186" s="262">
        <v>1.5</v>
      </c>
      <c r="AK186" s="262">
        <v>1.5</v>
      </c>
      <c r="AL186" s="262">
        <v>1.5</v>
      </c>
      <c r="AM186" s="116">
        <v>7</v>
      </c>
      <c r="AN186" s="696">
        <f>AM186+1</f>
        <v>8</v>
      </c>
      <c r="AO186" s="696">
        <f t="shared" ref="AO186:BA186" si="283">AN186</f>
        <v>8</v>
      </c>
      <c r="AP186" s="696">
        <f t="shared" si="283"/>
        <v>8</v>
      </c>
      <c r="AQ186" s="116">
        <f t="shared" si="283"/>
        <v>8</v>
      </c>
      <c r="AR186" s="116">
        <f t="shared" si="283"/>
        <v>8</v>
      </c>
      <c r="AS186" s="116">
        <f t="shared" si="283"/>
        <v>8</v>
      </c>
      <c r="AT186" s="116">
        <f t="shared" si="283"/>
        <v>8</v>
      </c>
      <c r="AU186" s="116">
        <f t="shared" si="283"/>
        <v>8</v>
      </c>
      <c r="AV186" s="116">
        <f t="shared" si="283"/>
        <v>8</v>
      </c>
      <c r="AW186" s="116">
        <f t="shared" si="283"/>
        <v>8</v>
      </c>
      <c r="AX186" s="116">
        <f t="shared" si="283"/>
        <v>8</v>
      </c>
      <c r="AY186" s="116">
        <f t="shared" si="283"/>
        <v>8</v>
      </c>
      <c r="AZ186" s="116">
        <f t="shared" si="283"/>
        <v>8</v>
      </c>
      <c r="BA186" s="116">
        <f t="shared" si="283"/>
        <v>8</v>
      </c>
      <c r="BC186" s="17">
        <f>BC168</f>
        <v>0.01</v>
      </c>
    </row>
    <row r="187" spans="1:56" s="116" customFormat="1" ht="12.75" customHeight="1">
      <c r="A187" s="372"/>
      <c r="B187" s="248" t="s">
        <v>447</v>
      </c>
      <c r="Q187" s="115">
        <v>0.9</v>
      </c>
      <c r="R187" s="115">
        <v>0.9</v>
      </c>
      <c r="S187" s="115">
        <v>1.8</v>
      </c>
      <c r="T187" s="262">
        <v>0.9</v>
      </c>
      <c r="U187" s="262">
        <v>0.9</v>
      </c>
      <c r="V187" s="262">
        <v>0.9</v>
      </c>
      <c r="W187" s="262">
        <v>1</v>
      </c>
      <c r="X187" s="115">
        <v>4</v>
      </c>
      <c r="Y187" s="262">
        <v>0.9</v>
      </c>
      <c r="Z187" s="262">
        <v>0.9</v>
      </c>
      <c r="AA187" s="262">
        <v>0.9</v>
      </c>
      <c r="AB187" s="262">
        <v>1</v>
      </c>
      <c r="AC187" s="262">
        <v>2</v>
      </c>
      <c r="AD187" s="262">
        <v>1</v>
      </c>
      <c r="AE187" s="262">
        <v>1</v>
      </c>
      <c r="AF187" s="262">
        <v>1</v>
      </c>
      <c r="AG187" s="262">
        <v>1</v>
      </c>
      <c r="AH187" s="262">
        <v>2</v>
      </c>
      <c r="AI187" s="262">
        <v>1</v>
      </c>
      <c r="AJ187" s="262">
        <v>1</v>
      </c>
      <c r="AK187" s="262">
        <v>1</v>
      </c>
      <c r="AL187" s="262">
        <v>1</v>
      </c>
      <c r="AM187" s="116">
        <v>4</v>
      </c>
      <c r="AN187" s="116">
        <f>AM187+1</f>
        <v>5</v>
      </c>
      <c r="AO187" s="696">
        <f>AN187+1</f>
        <v>6</v>
      </c>
      <c r="AP187" s="116">
        <f>AO187</f>
        <v>6</v>
      </c>
      <c r="AQ187" s="116">
        <f>AP187</f>
        <v>6</v>
      </c>
      <c r="AR187" s="116">
        <f t="shared" ref="AR187:BA187" si="284">AQ187</f>
        <v>6</v>
      </c>
      <c r="AS187" s="116">
        <f t="shared" si="284"/>
        <v>6</v>
      </c>
      <c r="AT187" s="116">
        <f t="shared" si="284"/>
        <v>6</v>
      </c>
      <c r="AU187" s="116">
        <f t="shared" si="284"/>
        <v>6</v>
      </c>
      <c r="AV187" s="116">
        <f t="shared" si="284"/>
        <v>6</v>
      </c>
      <c r="AW187" s="116">
        <f t="shared" si="284"/>
        <v>6</v>
      </c>
      <c r="AX187" s="116">
        <f t="shared" si="284"/>
        <v>6</v>
      </c>
      <c r="AY187" s="116">
        <f t="shared" si="284"/>
        <v>6</v>
      </c>
      <c r="AZ187" s="116">
        <f t="shared" si="284"/>
        <v>6</v>
      </c>
      <c r="BA187" s="116">
        <f t="shared" si="284"/>
        <v>6</v>
      </c>
    </row>
    <row r="188" spans="1:56" s="238" customFormat="1" ht="12.75" customHeight="1">
      <c r="A188" s="412">
        <v>0.8</v>
      </c>
      <c r="B188" s="253" t="s">
        <v>635</v>
      </c>
      <c r="Q188" s="424">
        <f t="shared" ref="Q188:X188" si="285">Q191*1000000/(Q184*Q186+Q185*Q187)</f>
        <v>1975.3028146007923</v>
      </c>
      <c r="R188" s="424">
        <f t="shared" si="285"/>
        <v>1933.4299516908213</v>
      </c>
      <c r="S188" s="424">
        <f t="shared" si="285"/>
        <v>1977.8516116646836</v>
      </c>
      <c r="T188" s="424">
        <f t="shared" si="285"/>
        <v>1890.2036995990268</v>
      </c>
      <c r="U188" s="424">
        <f t="shared" si="285"/>
        <v>1864.3665430018782</v>
      </c>
      <c r="V188" s="424">
        <f t="shared" si="285"/>
        <v>1907.0301308830196</v>
      </c>
      <c r="W188" s="424">
        <f t="shared" si="285"/>
        <v>1715.9083502431458</v>
      </c>
      <c r="X188" s="424">
        <f t="shared" si="285"/>
        <v>1905.6420975797434</v>
      </c>
      <c r="Y188" s="424">
        <f>Y191*1000000/(Y184*Y186+Y185*Y187)</f>
        <v>1739.2148200980071</v>
      </c>
      <c r="Z188" s="424">
        <f>Z191*1000000/(Z184*Z186+Z185*Z187)</f>
        <v>2545.7344928130515</v>
      </c>
      <c r="AA188" s="424">
        <f>AA191*1000000/(AA184*AA186+AA185*AA187)</f>
        <v>2619.7659519861068</v>
      </c>
      <c r="AB188" s="424">
        <f>AB191*1000000/(AB184*AB186+AB185*AB187)</f>
        <v>2436.5284764174066</v>
      </c>
      <c r="AC188" s="729">
        <f t="shared" ref="AC188:AH188" si="286">AC191*1000000/(AC184*AC186+AC185*AC187)</f>
        <v>1937.2356633239838</v>
      </c>
      <c r="AD188" s="729">
        <f t="shared" si="286"/>
        <v>1728.0287209086671</v>
      </c>
      <c r="AE188" s="729">
        <f t="shared" si="286"/>
        <v>2195.5693033937628</v>
      </c>
      <c r="AF188" s="729">
        <f t="shared" si="286"/>
        <v>2326.1733050284724</v>
      </c>
      <c r="AG188" s="729">
        <f t="shared" si="286"/>
        <v>2027.5477992439382</v>
      </c>
      <c r="AH188" s="729">
        <f t="shared" si="286"/>
        <v>1880.1490670142707</v>
      </c>
      <c r="AI188" s="729">
        <f t="shared" ref="AI188:AM188" si="287">AI191*1000000/(AI184*AI186+AI185*AI187)</f>
        <v>1993.3988305883756</v>
      </c>
      <c r="AJ188" s="729">
        <f t="shared" si="287"/>
        <v>1921.3927315027001</v>
      </c>
      <c r="AK188" s="729">
        <f t="shared" si="287"/>
        <v>1876.9793870089891</v>
      </c>
      <c r="AL188" s="729">
        <f t="shared" si="287"/>
        <v>1959.424385021596</v>
      </c>
      <c r="AM188" s="729">
        <f t="shared" si="287"/>
        <v>1962.2086661265942</v>
      </c>
      <c r="AN188" s="238">
        <f>AN189*AN190</f>
        <v>1962.0124452599816</v>
      </c>
      <c r="AO188" s="238">
        <f>AO189*AO190</f>
        <v>1961.8162440154556</v>
      </c>
      <c r="AP188" s="238">
        <f>AP189*AP190</f>
        <v>1961.620062391054</v>
      </c>
      <c r="AQ188" s="238">
        <f>AQ189*AQ190</f>
        <v>1961.4239003848147</v>
      </c>
      <c r="AR188" s="238">
        <f t="shared" ref="AR188:BA188" si="288">AR189*AR190</f>
        <v>1961.2277579947763</v>
      </c>
      <c r="AS188" s="238">
        <f t="shared" si="288"/>
        <v>1961.0316352189766</v>
      </c>
      <c r="AT188" s="238">
        <f t="shared" si="288"/>
        <v>1960.8355320554545</v>
      </c>
      <c r="AU188" s="238">
        <f t="shared" si="288"/>
        <v>1960.6394485022488</v>
      </c>
      <c r="AV188" s="238">
        <f t="shared" si="288"/>
        <v>1960.4433845573985</v>
      </c>
      <c r="AW188" s="238">
        <f t="shared" si="288"/>
        <v>1960.247340218943</v>
      </c>
      <c r="AX188" s="238">
        <f t="shared" si="288"/>
        <v>1960.0513154849209</v>
      </c>
      <c r="AY188" s="238">
        <f t="shared" si="288"/>
        <v>1959.8553103533723</v>
      </c>
      <c r="AZ188" s="238">
        <f t="shared" si="288"/>
        <v>2492.0017247626047</v>
      </c>
      <c r="BA188" s="238">
        <f t="shared" si="288"/>
        <v>2492.0017247626047</v>
      </c>
    </row>
    <row r="189" spans="1:56" s="77" customFormat="1" ht="12.75" hidden="1" customHeight="1" outlineLevel="1">
      <c r="A189" s="414"/>
      <c r="B189" s="218" t="s">
        <v>494</v>
      </c>
      <c r="D189" s="16"/>
      <c r="E189" s="16"/>
      <c r="F189" s="16"/>
      <c r="G189" s="2"/>
      <c r="H189" s="2"/>
      <c r="I189" s="2"/>
      <c r="J189" s="2"/>
      <c r="K189" s="2"/>
      <c r="L189" s="2"/>
      <c r="M189" s="2"/>
      <c r="N189" s="2"/>
      <c r="O189" s="2"/>
      <c r="P189" s="2"/>
      <c r="Q189" s="2">
        <f t="shared" ref="Q189:X189" si="289">Q188/Q190</f>
        <v>0.84325639799049401</v>
      </c>
      <c r="R189" s="2">
        <f t="shared" si="289"/>
        <v>0.82538088073308158</v>
      </c>
      <c r="S189" s="2">
        <f t="shared" si="289"/>
        <v>0.84434447897504927</v>
      </c>
      <c r="T189" s="2">
        <f t="shared" si="289"/>
        <v>0.80692760188989698</v>
      </c>
      <c r="U189" s="2">
        <f t="shared" si="289"/>
        <v>0.7958977246248099</v>
      </c>
      <c r="V189" s="2">
        <f t="shared" si="289"/>
        <v>0.8141108022228758</v>
      </c>
      <c r="W189" s="2">
        <f t="shared" si="289"/>
        <v>0.73252095021201813</v>
      </c>
      <c r="X189" s="2">
        <f t="shared" si="289"/>
        <v>0.8135182510682073</v>
      </c>
      <c r="Y189" s="2">
        <f>Y188/Y190</f>
        <v>0.70778912202584476</v>
      </c>
      <c r="Z189" s="2">
        <f>Z188/Z190</f>
        <v>1.0360095606116804</v>
      </c>
      <c r="AA189" s="2">
        <f>AA188/AA190</f>
        <v>1.0661373291224363</v>
      </c>
      <c r="AB189" s="2">
        <f>AB188/AB190</f>
        <v>0.99156718950754164</v>
      </c>
      <c r="AC189" s="690">
        <f t="shared" ref="AC189:AM189" si="290">AC188/AC190</f>
        <v>0.78837548614263253</v>
      </c>
      <c r="AD189" s="690">
        <f t="shared" si="290"/>
        <v>0.70323683829836892</v>
      </c>
      <c r="AE189" s="690">
        <f t="shared" si="290"/>
        <v>0.89350668568267888</v>
      </c>
      <c r="AF189" s="690">
        <f t="shared" si="290"/>
        <v>0.94665715943777495</v>
      </c>
      <c r="AG189" s="690">
        <f t="shared" si="290"/>
        <v>0.82512882256340958</v>
      </c>
      <c r="AH189" s="690">
        <f t="shared" si="290"/>
        <v>0.76514358205891575</v>
      </c>
      <c r="AI189" s="690">
        <f t="shared" si="290"/>
        <v>0.81123159246652787</v>
      </c>
      <c r="AJ189" s="690">
        <f t="shared" si="290"/>
        <v>0.78192806246930513</v>
      </c>
      <c r="AK189" s="690">
        <f t="shared" si="290"/>
        <v>0.76385365225719359</v>
      </c>
      <c r="AL189" s="690">
        <f t="shared" si="290"/>
        <v>0.79740538611113887</v>
      </c>
      <c r="AM189" s="690">
        <f t="shared" si="290"/>
        <v>0.7985384743622318</v>
      </c>
      <c r="AN189" s="2">
        <f t="shared" ref="AN189:AY189" si="291">AM189*0.99</f>
        <v>0.79055308961860948</v>
      </c>
      <c r="AO189" s="2">
        <f t="shared" si="291"/>
        <v>0.78264755872242342</v>
      </c>
      <c r="AP189" s="2">
        <f t="shared" si="291"/>
        <v>0.77482108313519915</v>
      </c>
      <c r="AQ189" s="2">
        <f t="shared" si="291"/>
        <v>0.76707287230384713</v>
      </c>
      <c r="AR189" s="2">
        <f t="shared" si="291"/>
        <v>0.7594021435808086</v>
      </c>
      <c r="AS189" s="2">
        <f t="shared" si="291"/>
        <v>0.75180812214500048</v>
      </c>
      <c r="AT189" s="2">
        <f t="shared" si="291"/>
        <v>0.74429004092355044</v>
      </c>
      <c r="AU189" s="2">
        <f t="shared" si="291"/>
        <v>0.73684714051431488</v>
      </c>
      <c r="AV189" s="2">
        <f t="shared" si="291"/>
        <v>0.7294786691091717</v>
      </c>
      <c r="AW189" s="2">
        <f t="shared" si="291"/>
        <v>0.72218388241807996</v>
      </c>
      <c r="AX189" s="2">
        <f t="shared" si="291"/>
        <v>0.71496204359389914</v>
      </c>
      <c r="AY189" s="2">
        <f t="shared" si="291"/>
        <v>0.70781242315796011</v>
      </c>
      <c r="AZ189" s="417">
        <v>0.9</v>
      </c>
      <c r="BA189" s="417">
        <v>0.9</v>
      </c>
      <c r="BB189" s="2"/>
      <c r="BD189" s="136"/>
    </row>
    <row r="190" spans="1:56" s="77" customFormat="1" ht="12.75" hidden="1" customHeight="1" outlineLevel="1">
      <c r="A190" s="414"/>
      <c r="B190" s="218" t="s">
        <v>633</v>
      </c>
      <c r="D190" s="16"/>
      <c r="E190" s="16"/>
      <c r="F190" s="16"/>
      <c r="G190" s="2"/>
      <c r="H190" s="2"/>
      <c r="I190" s="2"/>
      <c r="J190" s="2"/>
      <c r="K190" s="2"/>
      <c r="L190" s="418"/>
      <c r="M190" s="418"/>
      <c r="N190" s="418"/>
      <c r="O190" s="418"/>
      <c r="P190" s="238"/>
      <c r="Q190" s="238">
        <v>2342.4699999999998</v>
      </c>
      <c r="R190" s="238">
        <f>Q190</f>
        <v>2342.4699999999998</v>
      </c>
      <c r="S190" s="238">
        <f>AVERAGE(O190:R190)</f>
        <v>2342.4699999999998</v>
      </c>
      <c r="T190" s="418">
        <f>S190</f>
        <v>2342.4699999999998</v>
      </c>
      <c r="U190" s="238">
        <f>T190</f>
        <v>2342.4699999999998</v>
      </c>
      <c r="V190" s="238">
        <f>U190</f>
        <v>2342.4699999999998</v>
      </c>
      <c r="W190" s="238">
        <f>V190</f>
        <v>2342.4699999999998</v>
      </c>
      <c r="X190" s="242">
        <f>W190</f>
        <v>2342.4699999999998</v>
      </c>
      <c r="Y190" s="418">
        <v>2457.25</v>
      </c>
      <c r="Z190" s="238">
        <f t="shared" ref="Z190:AH190" si="292">Y190</f>
        <v>2457.25</v>
      </c>
      <c r="AA190" s="238">
        <f t="shared" si="292"/>
        <v>2457.25</v>
      </c>
      <c r="AB190" s="238">
        <f t="shared" si="292"/>
        <v>2457.25</v>
      </c>
      <c r="AC190" s="700">
        <f t="shared" si="292"/>
        <v>2457.25</v>
      </c>
      <c r="AD190" s="700">
        <f t="shared" si="292"/>
        <v>2457.25</v>
      </c>
      <c r="AE190" s="700">
        <f t="shared" si="292"/>
        <v>2457.25</v>
      </c>
      <c r="AF190" s="700">
        <f t="shared" si="292"/>
        <v>2457.25</v>
      </c>
      <c r="AG190" s="700">
        <f t="shared" si="292"/>
        <v>2457.25</v>
      </c>
      <c r="AH190" s="700">
        <f t="shared" si="292"/>
        <v>2457.25</v>
      </c>
      <c r="AI190" s="700">
        <f t="shared" ref="AI190" si="293">AH190</f>
        <v>2457.25</v>
      </c>
      <c r="AJ190" s="700">
        <f t="shared" ref="AJ190" si="294">AI190</f>
        <v>2457.25</v>
      </c>
      <c r="AK190" s="700">
        <f t="shared" ref="AK190" si="295">AJ190</f>
        <v>2457.25</v>
      </c>
      <c r="AL190" s="700">
        <f t="shared" ref="AL190:AM190" si="296">AK190</f>
        <v>2457.25</v>
      </c>
      <c r="AM190" s="700">
        <f t="shared" si="296"/>
        <v>2457.25</v>
      </c>
      <c r="AN190" s="116">
        <f t="shared" ref="AN190:AY190" si="297">AM190*(1+$BC$178)</f>
        <v>2481.8225000000002</v>
      </c>
      <c r="AO190" s="116">
        <f t="shared" si="297"/>
        <v>2506.6407250000002</v>
      </c>
      <c r="AP190" s="116">
        <f t="shared" si="297"/>
        <v>2531.7071322500001</v>
      </c>
      <c r="AQ190" s="116">
        <f t="shared" si="297"/>
        <v>2557.0242035725</v>
      </c>
      <c r="AR190" s="116">
        <f t="shared" si="297"/>
        <v>2582.5944456082252</v>
      </c>
      <c r="AS190" s="116">
        <f t="shared" si="297"/>
        <v>2608.4203900643074</v>
      </c>
      <c r="AT190" s="116">
        <f t="shared" si="297"/>
        <v>2634.5045939649503</v>
      </c>
      <c r="AU190" s="116">
        <f t="shared" si="297"/>
        <v>2660.8496399045998</v>
      </c>
      <c r="AV190" s="116">
        <f t="shared" si="297"/>
        <v>2687.4581363036459</v>
      </c>
      <c r="AW190" s="116">
        <f t="shared" si="297"/>
        <v>2714.3327176666826</v>
      </c>
      <c r="AX190" s="116">
        <f t="shared" si="297"/>
        <v>2741.4760448433494</v>
      </c>
      <c r="AY190" s="116">
        <f t="shared" si="297"/>
        <v>2768.8908052917827</v>
      </c>
      <c r="AZ190" s="385">
        <f>AY190</f>
        <v>2768.8908052917827</v>
      </c>
      <c r="BA190" s="116">
        <f>AZ190</f>
        <v>2768.8908052917827</v>
      </c>
      <c r="BB190" s="2"/>
      <c r="BD190" s="136"/>
    </row>
    <row r="191" spans="1:56" s="256" customFormat="1" ht="12.75" customHeight="1" collapsed="1">
      <c r="A191" s="425"/>
      <c r="B191" s="245" t="s">
        <v>639</v>
      </c>
      <c r="C191" s="246"/>
      <c r="D191" s="246"/>
      <c r="E191" s="246"/>
      <c r="F191" s="246"/>
      <c r="G191" s="246"/>
      <c r="H191" s="246"/>
      <c r="I191" s="246"/>
      <c r="J191" s="246"/>
      <c r="K191" s="246"/>
      <c r="L191" s="246"/>
      <c r="M191" s="246"/>
      <c r="N191" s="246"/>
      <c r="O191" s="246"/>
      <c r="P191" s="246"/>
      <c r="Q191" s="246">
        <f>REVS!BD24</f>
        <v>17.510999999999999</v>
      </c>
      <c r="R191" s="246">
        <f>REVS!BE24</f>
        <v>40.021999999999998</v>
      </c>
      <c r="S191" s="246">
        <f>REVS!BF24</f>
        <v>57.533000000000001</v>
      </c>
      <c r="T191" s="246">
        <f>REVS!BG24</f>
        <v>91.977999999999994</v>
      </c>
      <c r="U191" s="246">
        <f>REVS!BH24</f>
        <v>96.960999999999999</v>
      </c>
      <c r="V191" s="246">
        <f>REVS!BI24</f>
        <v>134.69999999999999</v>
      </c>
      <c r="W191" s="246">
        <f>REVS!BJ24</f>
        <v>186.31</v>
      </c>
      <c r="X191" s="415">
        <f>REVS!BK24</f>
        <v>509.94900000000001</v>
      </c>
      <c r="Y191" s="415">
        <f>REVS!BL24</f>
        <v>187.09</v>
      </c>
      <c r="Z191" s="415">
        <f>REVS!BM24</f>
        <v>229.417</v>
      </c>
      <c r="AA191" s="415">
        <f>REVS!BN24</f>
        <v>278.83999999999997</v>
      </c>
      <c r="AB191" s="415">
        <f>REVS!BO24</f>
        <v>319</v>
      </c>
      <c r="AC191" s="725">
        <f>REVS!BP24</f>
        <v>1014.347</v>
      </c>
      <c r="AD191" s="725">
        <f>REVS!BQ24</f>
        <v>282</v>
      </c>
      <c r="AE191" s="725">
        <f>REVS!BR24</f>
        <v>364</v>
      </c>
      <c r="AF191" s="725">
        <f>REVS!BS24</f>
        <v>422</v>
      </c>
      <c r="AG191" s="725">
        <f>REVS!BT24</f>
        <v>408</v>
      </c>
      <c r="AH191" s="725">
        <f>REVS!BU24</f>
        <v>1476</v>
      </c>
      <c r="AI191" s="725">
        <f>REVS!BV24</f>
        <v>376</v>
      </c>
      <c r="AJ191" s="725">
        <f>REVS!BW24</f>
        <v>326</v>
      </c>
      <c r="AK191" s="725">
        <f>REVS!BX24-223</f>
        <v>302</v>
      </c>
      <c r="AL191" s="725">
        <f>REVS!BY24</f>
        <v>296</v>
      </c>
      <c r="AM191" s="725">
        <f>REVS!BZ24</f>
        <v>1523</v>
      </c>
      <c r="AN191" s="246">
        <f t="shared" ref="AN191:BA191" si="298">(AN186*AN184*AN188/1000000)+(AN185*AN187*AN188/1000000)</f>
        <v>796.91747723172284</v>
      </c>
      <c r="AO191" s="246">
        <f t="shared" si="298"/>
        <v>579.17653262520514</v>
      </c>
      <c r="AP191" s="246">
        <f t="shared" si="298"/>
        <v>412.92092983718004</v>
      </c>
      <c r="AQ191" s="246">
        <f t="shared" si="298"/>
        <v>300.15651074102061</v>
      </c>
      <c r="AR191" s="246">
        <f t="shared" si="298"/>
        <v>219.21185872959788</v>
      </c>
      <c r="AS191" s="246">
        <f t="shared" si="298"/>
        <v>200.85485543444543</v>
      </c>
      <c r="AT191" s="246">
        <f t="shared" si="298"/>
        <v>202.29244321132836</v>
      </c>
      <c r="AU191" s="246">
        <f t="shared" si="298"/>
        <v>203.95637550909726</v>
      </c>
      <c r="AV191" s="246">
        <f t="shared" si="298"/>
        <v>205.83238638766619</v>
      </c>
      <c r="AW191" s="246">
        <f t="shared" si="298"/>
        <v>207.90753367940295</v>
      </c>
      <c r="AX191" s="246">
        <f t="shared" si="298"/>
        <v>210.17008602825365</v>
      </c>
      <c r="AY191" s="246">
        <f t="shared" si="298"/>
        <v>212.60941956517547</v>
      </c>
      <c r="AZ191" s="246">
        <f t="shared" si="298"/>
        <v>27.525642002760787</v>
      </c>
      <c r="BA191" s="246">
        <f t="shared" si="298"/>
        <v>2.8025267642587117</v>
      </c>
    </row>
    <row r="192" spans="1:56" s="256" customFormat="1" ht="12.75" customHeight="1">
      <c r="A192" s="425"/>
      <c r="B192" s="599"/>
      <c r="C192" s="257"/>
      <c r="D192" s="257"/>
      <c r="E192" s="257"/>
      <c r="F192" s="257"/>
      <c r="G192" s="257"/>
      <c r="H192" s="257"/>
      <c r="I192" s="257"/>
      <c r="J192" s="257"/>
      <c r="K192" s="257"/>
      <c r="L192" s="257"/>
      <c r="M192" s="257"/>
      <c r="N192" s="257"/>
      <c r="O192" s="257"/>
      <c r="P192" s="257"/>
      <c r="Q192" s="257"/>
      <c r="R192" s="257"/>
      <c r="S192" s="257"/>
      <c r="T192" s="257"/>
      <c r="U192" s="257"/>
      <c r="V192" s="257"/>
      <c r="W192" s="257"/>
      <c r="X192" s="257"/>
      <c r="Y192" s="257"/>
      <c r="Z192" s="257"/>
      <c r="AA192" s="257"/>
      <c r="AB192" s="257"/>
      <c r="AC192" s="257"/>
      <c r="AD192" s="257"/>
      <c r="AE192" s="257"/>
      <c r="AF192" s="257"/>
      <c r="AG192" s="257"/>
      <c r="AH192" s="257"/>
      <c r="AI192" s="707"/>
      <c r="AJ192" s="707"/>
      <c r="AK192" s="707"/>
      <c r="AL192" s="707"/>
      <c r="AM192" s="257"/>
      <c r="AN192" s="257"/>
      <c r="AO192" s="257"/>
      <c r="AP192" s="257"/>
      <c r="AQ192" s="257"/>
    </row>
    <row r="193" spans="1:56" s="12" customFormat="1" ht="12.75" customHeight="1">
      <c r="A193" s="374"/>
      <c r="B193" s="606" t="s">
        <v>889</v>
      </c>
      <c r="C193" s="411"/>
      <c r="D193" s="411"/>
      <c r="E193" s="411"/>
      <c r="F193" s="411"/>
      <c r="G193" s="411"/>
      <c r="H193" s="411"/>
      <c r="I193" s="411"/>
      <c r="J193" s="411"/>
      <c r="K193" s="411"/>
      <c r="L193" s="411"/>
      <c r="M193" s="411"/>
      <c r="N193" s="411"/>
      <c r="O193" s="411"/>
      <c r="P193" s="411"/>
      <c r="Q193" s="411"/>
      <c r="R193" s="411"/>
      <c r="S193" s="411"/>
      <c r="T193" s="411"/>
      <c r="U193" s="411"/>
      <c r="V193" s="411"/>
      <c r="W193" s="411"/>
      <c r="X193" s="411"/>
      <c r="Y193" s="411"/>
      <c r="Z193" s="411"/>
      <c r="AA193" s="411"/>
      <c r="AB193" s="411"/>
      <c r="AC193" s="411"/>
      <c r="AD193" s="411"/>
      <c r="AE193" s="411"/>
      <c r="AF193" s="411"/>
      <c r="AG193" s="411"/>
      <c r="AH193" s="411"/>
      <c r="AI193" s="721"/>
      <c r="AJ193" s="721"/>
      <c r="AK193" s="721"/>
      <c r="AL193" s="721"/>
      <c r="AM193" s="411"/>
      <c r="AN193" s="411"/>
      <c r="AO193" s="411"/>
      <c r="AP193" s="411"/>
      <c r="AQ193" s="411"/>
      <c r="AR193" s="411"/>
      <c r="AS193" s="411"/>
      <c r="AT193" s="411"/>
      <c r="AU193" s="411"/>
      <c r="AV193" s="411"/>
      <c r="AW193" s="411"/>
      <c r="AX193" s="411"/>
      <c r="AY193" s="411"/>
      <c r="AZ193" s="411"/>
      <c r="BA193" s="411"/>
      <c r="BB193" s="1"/>
    </row>
    <row r="194" spans="1:56" s="116" customFormat="1" ht="12.75" customHeight="1">
      <c r="A194" s="372"/>
      <c r="B194" s="231" t="s">
        <v>640</v>
      </c>
      <c r="AI194" s="696">
        <f>AI78</f>
        <v>49245.129504785684</v>
      </c>
      <c r="AJ194" s="696">
        <f t="shared" ref="AJ194:AL194" si="299">AJ78</f>
        <v>73008.8875156055</v>
      </c>
      <c r="AK194" s="696">
        <f t="shared" si="299"/>
        <v>119484.06117353309</v>
      </c>
      <c r="AL194" s="696">
        <f t="shared" si="299"/>
        <v>141014.54741573034</v>
      </c>
      <c r="AM194" s="696">
        <f t="shared" ref="AM194" si="300">AM78</f>
        <v>95688.156402413646</v>
      </c>
      <c r="AN194" s="116">
        <f t="shared" ref="AN194:BA194" si="301">AN78</f>
        <v>207105.72705824437</v>
      </c>
      <c r="AO194" s="116">
        <f t="shared" si="301"/>
        <v>226898.47945201225</v>
      </c>
      <c r="AP194" s="116">
        <f t="shared" si="301"/>
        <v>184982.98870120145</v>
      </c>
      <c r="AQ194" s="116">
        <f t="shared" si="301"/>
        <v>150803.50604469448</v>
      </c>
      <c r="AR194" s="116">
        <f t="shared" si="301"/>
        <v>122933.64396902938</v>
      </c>
      <c r="AS194" s="116">
        <f t="shared" si="301"/>
        <v>100209.74723989084</v>
      </c>
      <c r="AT194" s="116">
        <f t="shared" si="301"/>
        <v>96998.029855745117</v>
      </c>
      <c r="AU194" s="116">
        <f t="shared" si="301"/>
        <v>93884.996466349752</v>
      </c>
      <c r="AV194" s="116">
        <f t="shared" si="301"/>
        <v>90867.802080564798</v>
      </c>
      <c r="AW194" s="116">
        <f t="shared" si="301"/>
        <v>87943.675206709464</v>
      </c>
      <c r="AX194" s="116">
        <f t="shared" si="301"/>
        <v>85109.916363287048</v>
      </c>
      <c r="AY194" s="116">
        <f t="shared" si="301"/>
        <v>82363.896598092513</v>
      </c>
      <c r="AZ194" s="116">
        <f t="shared" si="301"/>
        <v>8389.7953702236555</v>
      </c>
      <c r="BA194" s="116">
        <f t="shared" si="301"/>
        <v>854.5695548433481</v>
      </c>
    </row>
    <row r="195" spans="1:56" s="116" customFormat="1" ht="12.75" customHeight="1">
      <c r="A195" s="372"/>
      <c r="B195" s="231" t="s">
        <v>641</v>
      </c>
      <c r="AI195" s="696">
        <f>AI132</f>
        <v>12754.870495214316</v>
      </c>
      <c r="AJ195" s="696">
        <f t="shared" ref="AJ195:AL195" si="302">AJ132</f>
        <v>19991.112484394504</v>
      </c>
      <c r="AK195" s="696">
        <f t="shared" si="302"/>
        <v>20515.938826466914</v>
      </c>
      <c r="AL195" s="696">
        <f t="shared" si="302"/>
        <v>21985.45258426966</v>
      </c>
      <c r="AM195" s="696">
        <f t="shared" ref="AM195" si="303">AM132</f>
        <v>18725.167732001664</v>
      </c>
      <c r="AN195" s="116">
        <f t="shared" ref="AN195:BA195" si="304">AN132</f>
        <v>23015.659731354914</v>
      </c>
      <c r="AO195" s="116">
        <f t="shared" si="304"/>
        <v>23294.959635639487</v>
      </c>
      <c r="AP195" s="116">
        <f t="shared" si="304"/>
        <v>21218.013890372931</v>
      </c>
      <c r="AQ195" s="116">
        <f t="shared" si="304"/>
        <v>19324.542774838195</v>
      </c>
      <c r="AR195" s="116">
        <f t="shared" si="304"/>
        <v>17598.491958475002</v>
      </c>
      <c r="AS195" s="116">
        <f t="shared" si="304"/>
        <v>16025.197846257814</v>
      </c>
      <c r="AT195" s="116">
        <f t="shared" si="304"/>
        <v>14591.268405826944</v>
      </c>
      <c r="AU195" s="116">
        <f t="shared" si="304"/>
        <v>13284.474084229851</v>
      </c>
      <c r="AV195" s="116">
        <f t="shared" si="304"/>
        <v>12093.647971710136</v>
      </c>
      <c r="AW195" s="116">
        <f t="shared" si="304"/>
        <v>11008.594439215076</v>
      </c>
      <c r="AX195" s="116">
        <f t="shared" si="304"/>
        <v>10020.005539947961</v>
      </c>
      <c r="AY195" s="116">
        <f t="shared" si="304"/>
        <v>9119.384523806888</v>
      </c>
      <c r="AZ195" s="116">
        <f t="shared" si="304"/>
        <v>922.10842970356293</v>
      </c>
      <c r="BA195" s="116">
        <f t="shared" si="304"/>
        <v>93.230879891405394</v>
      </c>
    </row>
    <row r="196" spans="1:56" s="116" customFormat="1" ht="12.75" customHeight="1">
      <c r="A196" s="372"/>
      <c r="B196" s="248" t="s">
        <v>446</v>
      </c>
      <c r="Q196" s="115"/>
      <c r="R196" s="115"/>
      <c r="S196" s="115"/>
      <c r="T196" s="262"/>
      <c r="U196" s="262"/>
      <c r="V196" s="262"/>
      <c r="W196" s="262"/>
      <c r="X196" s="115"/>
      <c r="Y196" s="262"/>
      <c r="Z196" s="262"/>
      <c r="AA196" s="262"/>
      <c r="AB196" s="262"/>
      <c r="AI196" s="262">
        <v>1.5</v>
      </c>
      <c r="AJ196" s="262">
        <v>1.5</v>
      </c>
      <c r="AK196" s="262">
        <v>1.5</v>
      </c>
      <c r="AL196" s="262">
        <v>1.5</v>
      </c>
      <c r="AM196" s="262">
        <v>6</v>
      </c>
      <c r="AN196" s="3">
        <v>7</v>
      </c>
      <c r="AO196" s="3">
        <v>8</v>
      </c>
      <c r="AP196" s="3">
        <v>9</v>
      </c>
      <c r="AQ196" s="3">
        <v>10</v>
      </c>
      <c r="AR196" s="3">
        <f t="shared" ref="AR196:BA196" si="305">AQ196</f>
        <v>10</v>
      </c>
      <c r="AS196" s="691">
        <f t="shared" si="305"/>
        <v>10</v>
      </c>
      <c r="AT196" s="691">
        <f t="shared" si="305"/>
        <v>10</v>
      </c>
      <c r="AU196" s="691">
        <f t="shared" si="305"/>
        <v>10</v>
      </c>
      <c r="AV196" s="691">
        <f t="shared" si="305"/>
        <v>10</v>
      </c>
      <c r="AW196" s="691">
        <f t="shared" si="305"/>
        <v>10</v>
      </c>
      <c r="AX196" s="691">
        <f t="shared" si="305"/>
        <v>10</v>
      </c>
      <c r="AY196" s="691">
        <f t="shared" si="305"/>
        <v>10</v>
      </c>
      <c r="AZ196" s="691">
        <f t="shared" si="305"/>
        <v>10</v>
      </c>
      <c r="BA196" s="691">
        <f t="shared" si="305"/>
        <v>10</v>
      </c>
      <c r="BC196" s="17">
        <v>0.03</v>
      </c>
    </row>
    <row r="197" spans="1:56" s="116" customFormat="1" ht="12.75" customHeight="1">
      <c r="A197" s="372"/>
      <c r="B197" s="248" t="s">
        <v>447</v>
      </c>
      <c r="Q197" s="115"/>
      <c r="R197" s="115"/>
      <c r="S197" s="115"/>
      <c r="T197" s="262"/>
      <c r="U197" s="262"/>
      <c r="V197" s="262"/>
      <c r="W197" s="262"/>
      <c r="X197" s="115"/>
      <c r="Y197" s="262"/>
      <c r="Z197" s="262"/>
      <c r="AA197" s="262"/>
      <c r="AB197" s="262"/>
      <c r="AI197" s="262">
        <v>1</v>
      </c>
      <c r="AJ197" s="262">
        <v>1</v>
      </c>
      <c r="AK197" s="262">
        <v>1</v>
      </c>
      <c r="AL197" s="262">
        <v>1</v>
      </c>
      <c r="AM197" s="262">
        <v>3</v>
      </c>
      <c r="AN197" s="3">
        <v>4.5</v>
      </c>
      <c r="AO197" s="3">
        <v>5</v>
      </c>
      <c r="AP197" s="3">
        <v>5.5</v>
      </c>
      <c r="AQ197" s="3">
        <v>6</v>
      </c>
      <c r="AR197" s="3">
        <v>6</v>
      </c>
      <c r="AS197" s="3">
        <v>6</v>
      </c>
      <c r="AT197" s="3">
        <v>6</v>
      </c>
      <c r="AU197" s="3">
        <v>6</v>
      </c>
      <c r="AV197" s="3">
        <v>6</v>
      </c>
      <c r="AW197" s="3">
        <v>6</v>
      </c>
      <c r="AX197" s="3">
        <v>6</v>
      </c>
      <c r="AY197" s="3">
        <v>6</v>
      </c>
      <c r="AZ197" s="3">
        <v>6</v>
      </c>
      <c r="BA197" s="3">
        <v>6</v>
      </c>
    </row>
    <row r="198" spans="1:56" s="238" customFormat="1" ht="12.75" customHeight="1">
      <c r="A198" s="412">
        <v>0.8</v>
      </c>
      <c r="B198" s="253" t="s">
        <v>635</v>
      </c>
      <c r="O198" s="115"/>
      <c r="P198" s="115"/>
      <c r="Q198" s="115"/>
      <c r="R198" s="115"/>
      <c r="S198" s="115"/>
      <c r="T198" s="115"/>
      <c r="U198" s="115"/>
      <c r="V198" s="115"/>
      <c r="W198" s="115"/>
      <c r="X198" s="115"/>
      <c r="Y198" s="115"/>
      <c r="Z198" s="115"/>
      <c r="AA198" s="115"/>
      <c r="AB198" s="115"/>
      <c r="AI198" s="729">
        <f t="shared" ref="AI198:AL198" si="306">AI201*1000000/(AI194*AI196+AI195*AI197)</f>
        <v>1627.7513879096389</v>
      </c>
      <c r="AJ198" s="729">
        <f t="shared" si="306"/>
        <v>2069.4270576630524</v>
      </c>
      <c r="AK198" s="729">
        <f t="shared" si="306"/>
        <v>2037.6282287928482</v>
      </c>
      <c r="AL198" s="729">
        <f t="shared" si="306"/>
        <v>2077.0230935365671</v>
      </c>
      <c r="AM198" s="729">
        <f t="shared" ref="AM198" si="307">AM201*1000000/(AM194*AM196+AM195*AM197)</f>
        <v>2064.081916789009</v>
      </c>
      <c r="AN198" s="238">
        <f>AN200*AN199</f>
        <v>1980.4865991590543</v>
      </c>
      <c r="AO198" s="238">
        <f>AO200*AO199</f>
        <v>1900.2768918931126</v>
      </c>
      <c r="AP198" s="238">
        <f>AP200*AP199</f>
        <v>1871.2976692917425</v>
      </c>
      <c r="AQ198" s="238">
        <f>AQ200*AQ199</f>
        <v>1842.7603798350433</v>
      </c>
      <c r="AR198" s="238">
        <f t="shared" ref="AR198:BA198" si="308">AR200*AR199</f>
        <v>1814.658284042559</v>
      </c>
      <c r="AS198" s="238">
        <f t="shared" si="308"/>
        <v>1786.98474521091</v>
      </c>
      <c r="AT198" s="238">
        <f t="shared" si="308"/>
        <v>1759.7332278464437</v>
      </c>
      <c r="AU198" s="238">
        <f t="shared" si="308"/>
        <v>1732.8972961217851</v>
      </c>
      <c r="AV198" s="238">
        <f t="shared" si="308"/>
        <v>1706.4706123559281</v>
      </c>
      <c r="AW198" s="238">
        <f t="shared" si="308"/>
        <v>1680.4469355175002</v>
      </c>
      <c r="AX198" s="238">
        <f t="shared" si="308"/>
        <v>1654.8201197508581</v>
      </c>
      <c r="AY198" s="238">
        <f t="shared" si="308"/>
        <v>1629.5841129246576</v>
      </c>
      <c r="AZ198" s="238">
        <f t="shared" si="308"/>
        <v>2492.0017247626047</v>
      </c>
      <c r="BA198" s="238">
        <f t="shared" si="308"/>
        <v>2492.0017247626047</v>
      </c>
    </row>
    <row r="199" spans="1:56" s="77" customFormat="1" ht="12.75" hidden="1" customHeight="1" outlineLevel="1">
      <c r="A199" s="414"/>
      <c r="B199" s="218" t="s">
        <v>494</v>
      </c>
      <c r="D199" s="16"/>
      <c r="E199" s="16"/>
      <c r="F199" s="16"/>
      <c r="G199" s="2"/>
      <c r="H199" s="2"/>
      <c r="I199" s="2"/>
      <c r="J199" s="2"/>
      <c r="K199" s="2"/>
      <c r="L199" s="2"/>
      <c r="M199" s="2"/>
      <c r="N199" s="2"/>
      <c r="O199" s="2"/>
      <c r="P199" s="2"/>
      <c r="Q199" s="2"/>
      <c r="R199" s="2"/>
      <c r="S199" s="2"/>
      <c r="T199" s="2"/>
      <c r="U199" s="2"/>
      <c r="V199" s="2"/>
      <c r="W199" s="2"/>
      <c r="X199" s="2"/>
      <c r="Y199" s="2"/>
      <c r="Z199" s="2"/>
      <c r="AA199" s="2"/>
      <c r="AB199" s="2"/>
      <c r="AC199" s="417"/>
      <c r="AD199" s="417"/>
      <c r="AE199" s="417"/>
      <c r="AF199" s="417"/>
      <c r="AG199" s="417"/>
      <c r="AH199" s="2"/>
      <c r="AI199" s="690">
        <f t="shared" ref="AI199:AL199" si="309">AI198/AI200</f>
        <v>0.66242807525064151</v>
      </c>
      <c r="AJ199" s="690">
        <f t="shared" si="309"/>
        <v>0.84217196364352531</v>
      </c>
      <c r="AK199" s="690">
        <f t="shared" si="309"/>
        <v>0.82923114408092302</v>
      </c>
      <c r="AL199" s="690">
        <f t="shared" si="309"/>
        <v>0.84526323879807386</v>
      </c>
      <c r="AM199" s="690">
        <f t="shared" ref="AM199" si="310">AM198/AM200</f>
        <v>0.83999671046454738</v>
      </c>
      <c r="AN199" s="2">
        <f t="shared" ref="AN199:AO199" si="311">AM199*0.95</f>
        <v>0.79799687494131999</v>
      </c>
      <c r="AO199" s="690">
        <f t="shared" si="311"/>
        <v>0.75809703119425398</v>
      </c>
      <c r="AP199" s="690">
        <f t="shared" ref="AP199:AY199" si="312">AO199*0.975</f>
        <v>0.73914460541439764</v>
      </c>
      <c r="AQ199" s="690">
        <f t="shared" si="312"/>
        <v>0.72066599027903766</v>
      </c>
      <c r="AR199" s="690">
        <f t="shared" si="312"/>
        <v>0.70264934052206174</v>
      </c>
      <c r="AS199" s="690">
        <f t="shared" si="312"/>
        <v>0.68508310700901021</v>
      </c>
      <c r="AT199" s="690">
        <f t="shared" si="312"/>
        <v>0.66795602933378495</v>
      </c>
      <c r="AU199" s="690">
        <f t="shared" si="312"/>
        <v>0.65125712860044027</v>
      </c>
      <c r="AV199" s="690">
        <f t="shared" si="312"/>
        <v>0.63497570038542928</v>
      </c>
      <c r="AW199" s="690">
        <f t="shared" si="312"/>
        <v>0.61910130787579354</v>
      </c>
      <c r="AX199" s="690">
        <f t="shared" si="312"/>
        <v>0.60362377517889865</v>
      </c>
      <c r="AY199" s="690">
        <f t="shared" si="312"/>
        <v>0.58853318079942618</v>
      </c>
      <c r="AZ199" s="417">
        <v>0.9</v>
      </c>
      <c r="BA199" s="417">
        <v>0.9</v>
      </c>
      <c r="BB199" s="2"/>
      <c r="BD199" s="136"/>
    </row>
    <row r="200" spans="1:56" s="77" customFormat="1" ht="12.75" hidden="1" customHeight="1" outlineLevel="1">
      <c r="A200" s="414"/>
      <c r="B200" s="218" t="s">
        <v>633</v>
      </c>
      <c r="D200" s="16"/>
      <c r="E200" s="16"/>
      <c r="F200" s="16"/>
      <c r="G200" s="2"/>
      <c r="H200" s="2"/>
      <c r="I200" s="2"/>
      <c r="J200" s="2"/>
      <c r="K200" s="2"/>
      <c r="L200" s="418"/>
      <c r="M200" s="418"/>
      <c r="N200" s="418"/>
      <c r="O200" s="418"/>
      <c r="P200" s="238"/>
      <c r="Q200" s="238"/>
      <c r="R200" s="238"/>
      <c r="S200" s="238"/>
      <c r="T200" s="418"/>
      <c r="U200" s="238"/>
      <c r="V200" s="238"/>
      <c r="W200" s="238"/>
      <c r="X200" s="242"/>
      <c r="Y200" s="418"/>
      <c r="Z200" s="238"/>
      <c r="AA200" s="238"/>
      <c r="AB200" s="238"/>
      <c r="AC200" s="418"/>
      <c r="AD200" s="418"/>
      <c r="AE200" s="418"/>
      <c r="AF200" s="418"/>
      <c r="AG200" s="418"/>
      <c r="AH200" s="116"/>
      <c r="AI200" s="700">
        <f>AM200</f>
        <v>2457.25</v>
      </c>
      <c r="AJ200" s="700">
        <f>AI200</f>
        <v>2457.25</v>
      </c>
      <c r="AK200" s="700">
        <f>AJ200</f>
        <v>2457.25</v>
      </c>
      <c r="AL200" s="700">
        <f>AK200</f>
        <v>2457.25</v>
      </c>
      <c r="AM200" s="700">
        <f>AM190</f>
        <v>2457.25</v>
      </c>
      <c r="AN200" s="238">
        <f t="shared" ref="AN200:AY200" si="313">AN190*1</f>
        <v>2481.8225000000002</v>
      </c>
      <c r="AO200" s="238">
        <f t="shared" si="313"/>
        <v>2506.6407250000002</v>
      </c>
      <c r="AP200" s="238">
        <f t="shared" si="313"/>
        <v>2531.7071322500001</v>
      </c>
      <c r="AQ200" s="238">
        <f t="shared" si="313"/>
        <v>2557.0242035725</v>
      </c>
      <c r="AR200" s="238">
        <f t="shared" si="313"/>
        <v>2582.5944456082252</v>
      </c>
      <c r="AS200" s="238">
        <f t="shared" si="313"/>
        <v>2608.4203900643074</v>
      </c>
      <c r="AT200" s="238">
        <f t="shared" si="313"/>
        <v>2634.5045939649503</v>
      </c>
      <c r="AU200" s="238">
        <f t="shared" si="313"/>
        <v>2660.8496399045998</v>
      </c>
      <c r="AV200" s="238">
        <f t="shared" si="313"/>
        <v>2687.4581363036459</v>
      </c>
      <c r="AW200" s="238">
        <f t="shared" si="313"/>
        <v>2714.3327176666826</v>
      </c>
      <c r="AX200" s="238">
        <f t="shared" si="313"/>
        <v>2741.4760448433494</v>
      </c>
      <c r="AY200" s="238">
        <f t="shared" si="313"/>
        <v>2768.8908052917827</v>
      </c>
      <c r="AZ200" s="418">
        <f>AY200</f>
        <v>2768.8908052917827</v>
      </c>
      <c r="BA200" s="418">
        <f>AZ200</f>
        <v>2768.8908052917827</v>
      </c>
      <c r="BC200" s="238" t="s">
        <v>732</v>
      </c>
      <c r="BD200" s="136"/>
    </row>
    <row r="201" spans="1:56" s="256" customFormat="1" ht="12.75" customHeight="1" collapsed="1">
      <c r="A201" s="425"/>
      <c r="B201" s="245" t="s">
        <v>890</v>
      </c>
      <c r="C201" s="246"/>
      <c r="D201" s="246"/>
      <c r="E201" s="246"/>
      <c r="F201" s="246"/>
      <c r="G201" s="246"/>
      <c r="H201" s="246"/>
      <c r="I201" s="246"/>
      <c r="J201" s="246"/>
      <c r="K201" s="246"/>
      <c r="L201" s="246"/>
      <c r="M201" s="246"/>
      <c r="N201" s="246"/>
      <c r="O201" s="246"/>
      <c r="P201" s="246"/>
      <c r="Q201" s="246"/>
      <c r="R201" s="246"/>
      <c r="S201" s="246"/>
      <c r="T201" s="246"/>
      <c r="U201" s="246"/>
      <c r="V201" s="246"/>
      <c r="W201" s="246"/>
      <c r="X201" s="260"/>
      <c r="Y201" s="246"/>
      <c r="Z201" s="246"/>
      <c r="AA201" s="246"/>
      <c r="AB201" s="246"/>
      <c r="AC201" s="246"/>
      <c r="AD201" s="246"/>
      <c r="AE201" s="246"/>
      <c r="AF201" s="246"/>
      <c r="AG201" s="246"/>
      <c r="AH201" s="246"/>
      <c r="AI201" s="725">
        <f>REVS!BV29</f>
        <v>141</v>
      </c>
      <c r="AJ201" s="725">
        <f>REVS!BW29</f>
        <v>268</v>
      </c>
      <c r="AK201" s="725">
        <f>REVS!BX29</f>
        <v>407</v>
      </c>
      <c r="AL201" s="725">
        <f>REVS!BY29</f>
        <v>485</v>
      </c>
      <c r="AM201" s="725">
        <f>REVS!BZ29</f>
        <v>1301</v>
      </c>
      <c r="AN201" s="246">
        <f t="shared" ref="AN201:BA201" si="314">(AN196*AN194*AN198/1000000)+(AN195*AN197*AN198/1000000)</f>
        <v>3076.3107448450087</v>
      </c>
      <c r="AO201" s="246">
        <f t="shared" si="314"/>
        <v>3670.6938659326875</v>
      </c>
      <c r="AP201" s="246">
        <f t="shared" si="314"/>
        <v>3333.8028302069119</v>
      </c>
      <c r="AQ201" s="246">
        <f t="shared" si="314"/>
        <v>2992.6102714971707</v>
      </c>
      <c r="AR201" s="246">
        <f t="shared" si="314"/>
        <v>2422.4370494739951</v>
      </c>
      <c r="AS201" s="246">
        <f t="shared" si="314"/>
        <v>1962.553600932757</v>
      </c>
      <c r="AT201" s="246">
        <f t="shared" si="314"/>
        <v>1860.967000828919</v>
      </c>
      <c r="AU201" s="246">
        <f t="shared" si="314"/>
        <v>1765.0543405551794</v>
      </c>
      <c r="AV201" s="246">
        <f t="shared" si="314"/>
        <v>1674.4570677579941</v>
      </c>
      <c r="AW201" s="246">
        <f t="shared" si="314"/>
        <v>1588.8429477310165</v>
      </c>
      <c r="AX201" s="246">
        <f t="shared" si="314"/>
        <v>1507.9038604879274</v>
      </c>
      <c r="AY201" s="246">
        <f t="shared" si="314"/>
        <v>1431.3537985860883</v>
      </c>
      <c r="AZ201" s="246">
        <f t="shared" si="314"/>
        <v>222.86122011346313</v>
      </c>
      <c r="BA201" s="246">
        <f t="shared" si="314"/>
        <v>22.689877126935453</v>
      </c>
    </row>
    <row r="202" spans="1:56" s="706" customFormat="1" ht="12.75" customHeight="1">
      <c r="A202" s="730"/>
      <c r="B202" s="731"/>
      <c r="C202" s="707"/>
      <c r="D202" s="707"/>
      <c r="E202" s="707"/>
      <c r="F202" s="707"/>
      <c r="G202" s="707"/>
      <c r="H202" s="707"/>
      <c r="I202" s="707"/>
      <c r="J202" s="707"/>
      <c r="K202" s="707"/>
      <c r="L202" s="707"/>
      <c r="M202" s="707"/>
      <c r="N202" s="707"/>
      <c r="O202" s="707"/>
      <c r="P202" s="707"/>
      <c r="Q202" s="707"/>
      <c r="R202" s="707"/>
      <c r="S202" s="707"/>
      <c r="T202" s="707"/>
      <c r="U202" s="707"/>
      <c r="V202" s="707"/>
      <c r="W202" s="707"/>
      <c r="X202" s="707"/>
      <c r="Y202" s="707"/>
      <c r="Z202" s="707"/>
      <c r="AA202" s="707"/>
      <c r="AB202" s="707"/>
      <c r="AC202" s="707"/>
      <c r="AD202" s="707"/>
      <c r="AE202" s="707"/>
      <c r="AF202" s="707"/>
      <c r="AG202" s="707"/>
      <c r="AH202" s="707"/>
      <c r="AI202" s="707"/>
      <c r="AJ202" s="707"/>
      <c r="AK202" s="707"/>
      <c r="AL202" s="707"/>
      <c r="AM202" s="707"/>
      <c r="AN202" s="707"/>
      <c r="AO202" s="707"/>
      <c r="AP202" s="707"/>
      <c r="AQ202" s="707"/>
    </row>
    <row r="203" spans="1:56" s="692" customFormat="1" ht="12.75" customHeight="1">
      <c r="A203" s="714"/>
      <c r="B203" s="732" t="s">
        <v>893</v>
      </c>
      <c r="C203" s="721"/>
      <c r="D203" s="721"/>
      <c r="E203" s="721"/>
      <c r="F203" s="721"/>
      <c r="G203" s="721"/>
      <c r="H203" s="721"/>
      <c r="I203" s="721"/>
      <c r="J203" s="721"/>
      <c r="K203" s="721"/>
      <c r="L203" s="721"/>
      <c r="M203" s="721"/>
      <c r="N203" s="721"/>
      <c r="O203" s="721"/>
      <c r="P203" s="721"/>
      <c r="Q203" s="721"/>
      <c r="R203" s="721"/>
      <c r="S203" s="721"/>
      <c r="T203" s="721"/>
      <c r="U203" s="721"/>
      <c r="V203" s="721"/>
      <c r="W203" s="721"/>
      <c r="X203" s="721"/>
      <c r="Y203" s="721"/>
      <c r="Z203" s="721"/>
      <c r="AA203" s="721"/>
      <c r="AB203" s="721"/>
      <c r="AC203" s="721"/>
      <c r="AD203" s="721"/>
      <c r="AE203" s="721"/>
      <c r="AF203" s="721"/>
      <c r="AG203" s="721"/>
      <c r="AH203" s="721"/>
      <c r="AI203" s="721"/>
      <c r="AJ203" s="721"/>
      <c r="AK203" s="721"/>
      <c r="AL203" s="721"/>
      <c r="AM203" s="721"/>
      <c r="AN203" s="721"/>
      <c r="AO203" s="721"/>
      <c r="AP203" s="721"/>
      <c r="AQ203" s="721"/>
      <c r="AR203" s="721"/>
      <c r="AS203" s="721"/>
      <c r="AT203" s="721"/>
      <c r="AU203" s="721"/>
      <c r="AV203" s="721"/>
      <c r="AW203" s="721"/>
      <c r="AX203" s="721"/>
      <c r="AY203" s="721"/>
      <c r="AZ203" s="721"/>
      <c r="BA203" s="721"/>
      <c r="BB203" s="689"/>
    </row>
    <row r="204" spans="1:56" s="696" customFormat="1" ht="12.75" customHeight="1">
      <c r="A204" s="713"/>
      <c r="B204" s="699" t="s">
        <v>640</v>
      </c>
      <c r="AM204" s="696">
        <f>AM79</f>
        <v>19258.624334165626</v>
      </c>
      <c r="AN204" s="696">
        <f t="shared" ref="AN204:BA204" si="315">AN79</f>
        <v>69035.242352748115</v>
      </c>
      <c r="AO204" s="696">
        <f t="shared" si="315"/>
        <v>88447.690771991503</v>
      </c>
      <c r="AP204" s="696">
        <f t="shared" si="315"/>
        <v>98329.827881037316</v>
      </c>
      <c r="AQ204" s="696">
        <f t="shared" si="315"/>
        <v>100201.66514597638</v>
      </c>
      <c r="AR204" s="696">
        <f t="shared" si="315"/>
        <v>102104.35545600444</v>
      </c>
      <c r="AS204" s="696">
        <f t="shared" si="315"/>
        <v>104038.3588454016</v>
      </c>
      <c r="AT204" s="696">
        <f t="shared" si="315"/>
        <v>106004.14173778753</v>
      </c>
      <c r="AU204" s="696">
        <f t="shared" si="315"/>
        <v>108002.17703033947</v>
      </c>
      <c r="AV204" s="696">
        <f t="shared" si="315"/>
        <v>11003.294417907748</v>
      </c>
      <c r="AW204" s="696">
        <f t="shared" si="315"/>
        <v>2241.9385857045772</v>
      </c>
      <c r="AX204" s="696">
        <f t="shared" si="315"/>
        <v>456.77850073074268</v>
      </c>
      <c r="AY204" s="696">
        <f t="shared" si="315"/>
        <v>93.061225221254915</v>
      </c>
      <c r="AZ204" s="696">
        <f t="shared" si="315"/>
        <v>18.958904781265712</v>
      </c>
      <c r="BA204" s="696">
        <f t="shared" si="315"/>
        <v>3.8622402822231781</v>
      </c>
    </row>
    <row r="205" spans="1:56" s="696" customFormat="1" ht="12.75" customHeight="1">
      <c r="A205" s="713"/>
      <c r="B205" s="699" t="s">
        <v>641</v>
      </c>
      <c r="AM205" s="696">
        <f>AM133</f>
        <v>3678.1579473574698</v>
      </c>
      <c r="AN205" s="696">
        <f t="shared" ref="AN205:BA205" si="316">AN133</f>
        <v>6092.3805171233589</v>
      </c>
      <c r="AO205" s="696">
        <f t="shared" si="316"/>
        <v>5241.3659180188843</v>
      </c>
      <c r="AP205" s="696">
        <f t="shared" si="316"/>
        <v>4508.8279517042474</v>
      </c>
      <c r="AQ205" s="696">
        <f t="shared" si="316"/>
        <v>3878.3283763390536</v>
      </c>
      <c r="AR205" s="696">
        <f t="shared" si="316"/>
        <v>3335.7018129624871</v>
      </c>
      <c r="AS205" s="696">
        <f t="shared" si="316"/>
        <v>2868.742603989409</v>
      </c>
      <c r="AT205" s="696">
        <f t="shared" si="316"/>
        <v>2466.9346546939564</v>
      </c>
      <c r="AU205" s="696">
        <f t="shared" si="316"/>
        <v>2121.2183805822929</v>
      </c>
      <c r="AV205" s="696">
        <f t="shared" si="316"/>
        <v>214.56349221596284</v>
      </c>
      <c r="AW205" s="696">
        <f t="shared" si="316"/>
        <v>21.701405865593284</v>
      </c>
      <c r="AX205" s="696">
        <f t="shared" si="316"/>
        <v>2.1947317636290982</v>
      </c>
      <c r="AY205" s="696">
        <f t="shared" si="316"/>
        <v>0.22194047253602334</v>
      </c>
      <c r="AZ205" s="696">
        <f t="shared" si="316"/>
        <v>2.2441556234809003E-2</v>
      </c>
      <c r="BA205" s="696">
        <f t="shared" si="316"/>
        <v>2.2689804870087869E-3</v>
      </c>
    </row>
    <row r="206" spans="1:56" s="696" customFormat="1" ht="12.75" customHeight="1">
      <c r="A206" s="713"/>
      <c r="B206" s="703" t="s">
        <v>446</v>
      </c>
      <c r="Q206" s="695"/>
      <c r="R206" s="695"/>
      <c r="S206" s="695"/>
      <c r="T206" s="262"/>
      <c r="U206" s="262"/>
      <c r="V206" s="262"/>
      <c r="W206" s="262"/>
      <c r="X206" s="695"/>
      <c r="Y206" s="262"/>
      <c r="Z206" s="262"/>
      <c r="AA206" s="262"/>
      <c r="AB206" s="262"/>
      <c r="AM206" s="691">
        <v>6</v>
      </c>
      <c r="AN206" s="691">
        <v>7</v>
      </c>
      <c r="AO206" s="691">
        <v>8</v>
      </c>
      <c r="AP206" s="691">
        <v>9</v>
      </c>
      <c r="AQ206" s="691">
        <v>10</v>
      </c>
      <c r="AR206" s="691">
        <f t="shared" ref="AR206:BA206" si="317">AQ206</f>
        <v>10</v>
      </c>
      <c r="AS206" s="691">
        <f t="shared" si="317"/>
        <v>10</v>
      </c>
      <c r="AT206" s="691">
        <f t="shared" si="317"/>
        <v>10</v>
      </c>
      <c r="AU206" s="691">
        <f t="shared" si="317"/>
        <v>10</v>
      </c>
      <c r="AV206" s="691">
        <f t="shared" si="317"/>
        <v>10</v>
      </c>
      <c r="AW206" s="691">
        <f t="shared" si="317"/>
        <v>10</v>
      </c>
      <c r="AX206" s="691">
        <f t="shared" si="317"/>
        <v>10</v>
      </c>
      <c r="AY206" s="691">
        <f t="shared" si="317"/>
        <v>10</v>
      </c>
      <c r="AZ206" s="691">
        <f t="shared" si="317"/>
        <v>10</v>
      </c>
      <c r="BA206" s="691">
        <f t="shared" si="317"/>
        <v>10</v>
      </c>
      <c r="BC206" s="17">
        <v>0.03</v>
      </c>
    </row>
    <row r="207" spans="1:56" s="696" customFormat="1" ht="12.75" customHeight="1">
      <c r="A207" s="713"/>
      <c r="B207" s="703" t="s">
        <v>447</v>
      </c>
      <c r="Q207" s="695"/>
      <c r="R207" s="695"/>
      <c r="S207" s="695"/>
      <c r="T207" s="262"/>
      <c r="U207" s="262"/>
      <c r="V207" s="262"/>
      <c r="W207" s="262"/>
      <c r="X207" s="695"/>
      <c r="Y207" s="262"/>
      <c r="Z207" s="262"/>
      <c r="AA207" s="262"/>
      <c r="AB207" s="262"/>
      <c r="AM207" s="691">
        <v>4</v>
      </c>
      <c r="AN207" s="691">
        <v>4.5</v>
      </c>
      <c r="AO207" s="691">
        <v>5</v>
      </c>
      <c r="AP207" s="691">
        <v>5.5</v>
      </c>
      <c r="AQ207" s="691">
        <v>6</v>
      </c>
      <c r="AR207" s="691">
        <v>6</v>
      </c>
      <c r="AS207" s="691">
        <v>6</v>
      </c>
      <c r="AT207" s="691">
        <v>6</v>
      </c>
      <c r="AU207" s="691">
        <v>6</v>
      </c>
      <c r="AV207" s="691">
        <v>6</v>
      </c>
      <c r="AW207" s="691">
        <v>6</v>
      </c>
      <c r="AX207" s="691">
        <v>6</v>
      </c>
      <c r="AY207" s="691">
        <v>6</v>
      </c>
      <c r="AZ207" s="691">
        <v>6</v>
      </c>
      <c r="BA207" s="691">
        <v>6</v>
      </c>
    </row>
    <row r="208" spans="1:56" s="700" customFormat="1" ht="12.75" customHeight="1">
      <c r="A208" s="722">
        <v>0.8</v>
      </c>
      <c r="B208" s="705" t="s">
        <v>635</v>
      </c>
      <c r="O208" s="695"/>
      <c r="P208" s="695"/>
      <c r="Q208" s="695"/>
      <c r="R208" s="695"/>
      <c r="S208" s="695"/>
      <c r="T208" s="695"/>
      <c r="U208" s="695"/>
      <c r="V208" s="695"/>
      <c r="W208" s="695"/>
      <c r="X208" s="695"/>
      <c r="Y208" s="695"/>
      <c r="Z208" s="695"/>
      <c r="AA208" s="695"/>
      <c r="AB208" s="695"/>
      <c r="AM208" s="700">
        <f>AM210*AM209</f>
        <v>1965.8000000000002</v>
      </c>
      <c r="AN208" s="700">
        <f>AN210*AN209</f>
        <v>1935.8215500000003</v>
      </c>
      <c r="AO208" s="700">
        <f>AO210*AO209</f>
        <v>1906.3002713625001</v>
      </c>
      <c r="AP208" s="700">
        <f>AP210*AP209</f>
        <v>1877.2291922242218</v>
      </c>
      <c r="AQ208" s="700">
        <f>AQ210*AQ209</f>
        <v>1848.6014470428024</v>
      </c>
      <c r="AR208" s="700">
        <f t="shared" ref="AR208:BA208" si="318">AR210*AR209</f>
        <v>1820.4102749753999</v>
      </c>
      <c r="AS208" s="700">
        <f t="shared" si="318"/>
        <v>1792.6490182820251</v>
      </c>
      <c r="AT208" s="700">
        <f t="shared" si="318"/>
        <v>1765.311120753224</v>
      </c>
      <c r="AU208" s="700">
        <f t="shared" si="318"/>
        <v>1738.3901261617373</v>
      </c>
      <c r="AV208" s="700">
        <f t="shared" si="318"/>
        <v>1711.879676737771</v>
      </c>
      <c r="AW208" s="700">
        <f t="shared" si="318"/>
        <v>1685.7735116675199</v>
      </c>
      <c r="AX208" s="700">
        <f t="shared" si="318"/>
        <v>1660.0654656145903</v>
      </c>
      <c r="AY208" s="700">
        <f t="shared" si="318"/>
        <v>1634.7494672639675</v>
      </c>
      <c r="AZ208" s="700">
        <f t="shared" si="318"/>
        <v>2492.0017247626047</v>
      </c>
      <c r="BA208" s="700">
        <f t="shared" si="318"/>
        <v>2492.0017247626047</v>
      </c>
    </row>
    <row r="209" spans="1:56" s="694" customFormat="1" ht="12.75" hidden="1" customHeight="1" outlineLevel="1">
      <c r="A209" s="724"/>
      <c r="B209" s="697" t="s">
        <v>494</v>
      </c>
      <c r="D209" s="693"/>
      <c r="E209" s="693"/>
      <c r="F209" s="693"/>
      <c r="G209" s="690"/>
      <c r="H209" s="690"/>
      <c r="I209" s="690"/>
      <c r="J209" s="690"/>
      <c r="K209" s="690"/>
      <c r="L209" s="690"/>
      <c r="M209" s="690"/>
      <c r="N209" s="690"/>
      <c r="O209" s="690"/>
      <c r="P209" s="690"/>
      <c r="Q209" s="690"/>
      <c r="R209" s="690"/>
      <c r="S209" s="690"/>
      <c r="T209" s="690"/>
      <c r="U209" s="690"/>
      <c r="V209" s="690"/>
      <c r="W209" s="690"/>
      <c r="X209" s="690"/>
      <c r="Y209" s="690"/>
      <c r="Z209" s="690"/>
      <c r="AA209" s="690"/>
      <c r="AB209" s="690"/>
      <c r="AC209" s="726"/>
      <c r="AD209" s="726"/>
      <c r="AE209" s="726"/>
      <c r="AF209" s="726"/>
      <c r="AG209" s="726"/>
      <c r="AH209" s="690"/>
      <c r="AI209" s="726"/>
      <c r="AJ209" s="726"/>
      <c r="AK209" s="726"/>
      <c r="AL209" s="726"/>
      <c r="AM209" s="726">
        <v>0.8</v>
      </c>
      <c r="AN209" s="690">
        <f t="shared" ref="AN209:AY209" si="319">AM209*0.975</f>
        <v>0.78</v>
      </c>
      <c r="AO209" s="690">
        <f t="shared" si="319"/>
        <v>0.76049999999999995</v>
      </c>
      <c r="AP209" s="690">
        <f t="shared" si="319"/>
        <v>0.74148749999999997</v>
      </c>
      <c r="AQ209" s="690">
        <f t="shared" si="319"/>
        <v>0.72295031249999997</v>
      </c>
      <c r="AR209" s="690">
        <f t="shared" si="319"/>
        <v>0.70487655468749999</v>
      </c>
      <c r="AS209" s="690">
        <f t="shared" si="319"/>
        <v>0.68725464082031251</v>
      </c>
      <c r="AT209" s="690">
        <f t="shared" si="319"/>
        <v>0.67007327479980472</v>
      </c>
      <c r="AU209" s="690">
        <f t="shared" si="319"/>
        <v>0.65332144292980954</v>
      </c>
      <c r="AV209" s="690">
        <f t="shared" si="319"/>
        <v>0.63698840685656433</v>
      </c>
      <c r="AW209" s="690">
        <f t="shared" si="319"/>
        <v>0.62106369668515016</v>
      </c>
      <c r="AX209" s="690">
        <f t="shared" si="319"/>
        <v>0.60553710426802143</v>
      </c>
      <c r="AY209" s="690">
        <f t="shared" si="319"/>
        <v>0.59039867666132084</v>
      </c>
      <c r="AZ209" s="726">
        <v>0.9</v>
      </c>
      <c r="BA209" s="726">
        <v>0.9</v>
      </c>
      <c r="BB209" s="690"/>
      <c r="BD209" s="136"/>
    </row>
    <row r="210" spans="1:56" s="694" customFormat="1" ht="12.75" hidden="1" customHeight="1" outlineLevel="1">
      <c r="A210" s="724"/>
      <c r="B210" s="697" t="s">
        <v>633</v>
      </c>
      <c r="D210" s="693"/>
      <c r="E210" s="693"/>
      <c r="F210" s="693"/>
      <c r="G210" s="690"/>
      <c r="H210" s="690"/>
      <c r="I210" s="690"/>
      <c r="J210" s="690"/>
      <c r="K210" s="690"/>
      <c r="L210" s="727"/>
      <c r="M210" s="727"/>
      <c r="N210" s="727"/>
      <c r="O210" s="727"/>
      <c r="P210" s="700"/>
      <c r="Q210" s="700"/>
      <c r="R210" s="700"/>
      <c r="S210" s="700"/>
      <c r="T210" s="727"/>
      <c r="U210" s="700"/>
      <c r="V210" s="700"/>
      <c r="W210" s="700"/>
      <c r="X210" s="242"/>
      <c r="Y210" s="727"/>
      <c r="Z210" s="700"/>
      <c r="AA210" s="700"/>
      <c r="AB210" s="700"/>
      <c r="AC210" s="727"/>
      <c r="AD210" s="727"/>
      <c r="AE210" s="727"/>
      <c r="AF210" s="727"/>
      <c r="AG210" s="727"/>
      <c r="AH210" s="696"/>
      <c r="AI210" s="727"/>
      <c r="AJ210" s="727"/>
      <c r="AK210" s="727"/>
      <c r="AL210" s="727"/>
      <c r="AM210" s="700">
        <f>AM200*1</f>
        <v>2457.25</v>
      </c>
      <c r="AN210" s="700">
        <f t="shared" ref="AN210:AY210" si="320">AN200*1</f>
        <v>2481.8225000000002</v>
      </c>
      <c r="AO210" s="700">
        <f t="shared" si="320"/>
        <v>2506.6407250000002</v>
      </c>
      <c r="AP210" s="700">
        <f t="shared" si="320"/>
        <v>2531.7071322500001</v>
      </c>
      <c r="AQ210" s="700">
        <f t="shared" si="320"/>
        <v>2557.0242035725</v>
      </c>
      <c r="AR210" s="700">
        <f t="shared" si="320"/>
        <v>2582.5944456082252</v>
      </c>
      <c r="AS210" s="700">
        <f t="shared" si="320"/>
        <v>2608.4203900643074</v>
      </c>
      <c r="AT210" s="700">
        <f t="shared" si="320"/>
        <v>2634.5045939649503</v>
      </c>
      <c r="AU210" s="700">
        <f t="shared" si="320"/>
        <v>2660.8496399045998</v>
      </c>
      <c r="AV210" s="700">
        <f t="shared" si="320"/>
        <v>2687.4581363036459</v>
      </c>
      <c r="AW210" s="700">
        <f t="shared" si="320"/>
        <v>2714.3327176666826</v>
      </c>
      <c r="AX210" s="700">
        <f t="shared" si="320"/>
        <v>2741.4760448433494</v>
      </c>
      <c r="AY210" s="700">
        <f t="shared" si="320"/>
        <v>2768.8908052917827</v>
      </c>
      <c r="AZ210" s="727">
        <f>AY210</f>
        <v>2768.8908052917827</v>
      </c>
      <c r="BA210" s="727">
        <f>AZ210</f>
        <v>2768.8908052917827</v>
      </c>
      <c r="BC210" s="700" t="s">
        <v>732</v>
      </c>
      <c r="BD210" s="136"/>
    </row>
    <row r="211" spans="1:56" s="706" customFormat="1" ht="12.75" customHeight="1" collapsed="1">
      <c r="A211" s="730"/>
      <c r="B211" s="701" t="s">
        <v>892</v>
      </c>
      <c r="C211" s="702"/>
      <c r="D211" s="702"/>
      <c r="E211" s="702"/>
      <c r="F211" s="702"/>
      <c r="G211" s="702"/>
      <c r="H211" s="702"/>
      <c r="I211" s="702"/>
      <c r="J211" s="702"/>
      <c r="K211" s="702"/>
      <c r="L211" s="702"/>
      <c r="M211" s="702"/>
      <c r="N211" s="702"/>
      <c r="O211" s="702"/>
      <c r="P211" s="702"/>
      <c r="Q211" s="702"/>
      <c r="R211" s="702"/>
      <c r="S211" s="702"/>
      <c r="T211" s="702"/>
      <c r="U211" s="702"/>
      <c r="V211" s="702"/>
      <c r="W211" s="702"/>
      <c r="X211" s="708"/>
      <c r="Y211" s="702"/>
      <c r="Z211" s="702"/>
      <c r="AA211" s="702"/>
      <c r="AB211" s="702"/>
      <c r="AC211" s="702"/>
      <c r="AD211" s="702"/>
      <c r="AE211" s="702"/>
      <c r="AF211" s="702"/>
      <c r="AG211" s="702"/>
      <c r="AH211" s="702"/>
      <c r="AI211" s="702"/>
      <c r="AJ211" s="702"/>
      <c r="AK211" s="702"/>
      <c r="AL211" s="702"/>
      <c r="AM211" s="702">
        <f t="shared" ref="AM211:BA211" si="321">(AM206*AM204*AM208/1000000)+(AM205*AM207*AM208/1000000)</f>
        <v>256.07371386827799</v>
      </c>
      <c r="AN211" s="702">
        <f t="shared" si="321"/>
        <v>988.55129572277167</v>
      </c>
      <c r="AO211" s="702">
        <f t="shared" si="321"/>
        <v>1398.8209417194189</v>
      </c>
      <c r="AP211" s="702">
        <f t="shared" si="321"/>
        <v>1707.8411792771046</v>
      </c>
      <c r="AQ211" s="702">
        <f t="shared" si="321"/>
        <v>1895.3463325411476</v>
      </c>
      <c r="AR211" s="702">
        <f t="shared" si="321"/>
        <v>1895.152253045936</v>
      </c>
      <c r="AS211" s="702">
        <f t="shared" si="321"/>
        <v>1895.8985101552948</v>
      </c>
      <c r="AT211" s="702">
        <f t="shared" si="321"/>
        <v>1897.4323456367899</v>
      </c>
      <c r="AU211" s="702">
        <f t="shared" si="321"/>
        <v>1899.6242120645632</v>
      </c>
      <c r="AV211" s="702">
        <f t="shared" si="321"/>
        <v>190.56700220195069</v>
      </c>
      <c r="AW211" s="702">
        <f t="shared" si="321"/>
        <v>38.013508756706166</v>
      </c>
      <c r="AX211" s="702">
        <f t="shared" si="321"/>
        <v>7.6046825354256766</v>
      </c>
      <c r="AY211" s="702">
        <f t="shared" si="321"/>
        <v>1.5234947859492409</v>
      </c>
      <c r="AZ211" s="702">
        <f t="shared" si="321"/>
        <v>0.4727917805263025</v>
      </c>
      <c r="BA211" s="702">
        <f t="shared" si="321"/>
        <v>9.6281020267200146E-2</v>
      </c>
    </row>
    <row r="212" spans="1:56" s="706" customFormat="1" ht="12.75" customHeight="1">
      <c r="A212" s="730"/>
      <c r="B212" s="731"/>
      <c r="C212" s="707"/>
      <c r="D212" s="707"/>
      <c r="E212" s="707"/>
      <c r="F212" s="707"/>
      <c r="G212" s="707"/>
      <c r="H212" s="707"/>
      <c r="I212" s="707"/>
      <c r="J212" s="707"/>
      <c r="K212" s="707"/>
      <c r="L212" s="707"/>
      <c r="M212" s="707"/>
      <c r="N212" s="707"/>
      <c r="O212" s="707"/>
      <c r="P212" s="707"/>
      <c r="Q212" s="707"/>
      <c r="R212" s="707"/>
      <c r="S212" s="707"/>
      <c r="T212" s="707"/>
      <c r="U212" s="707"/>
      <c r="V212" s="707"/>
      <c r="W212" s="707"/>
      <c r="X212" s="707"/>
      <c r="Y212" s="707"/>
      <c r="Z212" s="707"/>
      <c r="AA212" s="707"/>
      <c r="AB212" s="707"/>
      <c r="AC212" s="707"/>
      <c r="AD212" s="707"/>
      <c r="AE212" s="707"/>
      <c r="AF212" s="707"/>
      <c r="AG212" s="707"/>
      <c r="AH212" s="707"/>
      <c r="AI212" s="707"/>
      <c r="AJ212" s="707"/>
      <c r="AK212" s="707"/>
      <c r="AL212" s="707"/>
      <c r="AM212" s="707"/>
      <c r="AN212" s="707"/>
      <c r="AO212" s="707"/>
      <c r="AP212" s="707"/>
      <c r="AQ212" s="707"/>
    </row>
    <row r="213" spans="1:56" s="692" customFormat="1" ht="12.75" customHeight="1">
      <c r="A213" s="714"/>
      <c r="B213" s="732" t="s">
        <v>894</v>
      </c>
      <c r="C213" s="721"/>
      <c r="D213" s="721"/>
      <c r="E213" s="721"/>
      <c r="F213" s="721"/>
      <c r="G213" s="721"/>
      <c r="H213" s="721"/>
      <c r="I213" s="721"/>
      <c r="J213" s="721"/>
      <c r="K213" s="721"/>
      <c r="L213" s="721"/>
      <c r="M213" s="721"/>
      <c r="N213" s="721"/>
      <c r="O213" s="721"/>
      <c r="P213" s="721"/>
      <c r="Q213" s="721"/>
      <c r="R213" s="721"/>
      <c r="S213" s="721"/>
      <c r="T213" s="721"/>
      <c r="U213" s="721"/>
      <c r="V213" s="721"/>
      <c r="W213" s="721"/>
      <c r="X213" s="721"/>
      <c r="Y213" s="721"/>
      <c r="Z213" s="721"/>
      <c r="AA213" s="721"/>
      <c r="AB213" s="721"/>
      <c r="AC213" s="721"/>
      <c r="AD213" s="721"/>
      <c r="AE213" s="721"/>
      <c r="AF213" s="721"/>
      <c r="AG213" s="721"/>
      <c r="AH213" s="721"/>
      <c r="AI213" s="721"/>
      <c r="AJ213" s="721"/>
      <c r="AK213" s="721"/>
      <c r="AL213" s="721"/>
      <c r="AM213" s="721"/>
      <c r="AN213" s="721"/>
      <c r="AO213" s="721"/>
      <c r="AP213" s="721"/>
      <c r="AQ213" s="721"/>
      <c r="AR213" s="721"/>
      <c r="AS213" s="721"/>
      <c r="AT213" s="721"/>
      <c r="AU213" s="721"/>
      <c r="AV213" s="721"/>
      <c r="AW213" s="721"/>
      <c r="AX213" s="721"/>
      <c r="AY213" s="721"/>
      <c r="AZ213" s="721"/>
      <c r="BA213" s="721"/>
      <c r="BB213" s="689"/>
    </row>
    <row r="214" spans="1:56" s="696" customFormat="1" ht="12.75" customHeight="1">
      <c r="A214" s="713"/>
      <c r="B214" s="699" t="s">
        <v>640</v>
      </c>
      <c r="AM214" s="696">
        <f>AM80</f>
        <v>17358.859377861008</v>
      </c>
      <c r="AN214" s="696">
        <f t="shared" ref="AN214:BA214" si="322">AN80</f>
        <v>69035.242352748115</v>
      </c>
      <c r="AO214" s="696">
        <f t="shared" si="322"/>
        <v>84427.341191446423</v>
      </c>
      <c r="AP214" s="696">
        <f t="shared" si="322"/>
        <v>106523.9802044571</v>
      </c>
      <c r="AQ214" s="696">
        <f t="shared" si="322"/>
        <v>125252.08143247048</v>
      </c>
      <c r="AR214" s="696">
        <f t="shared" si="322"/>
        <v>144647.83689600631</v>
      </c>
      <c r="AS214" s="696">
        <f t="shared" si="322"/>
        <v>156057.53826810239</v>
      </c>
      <c r="AT214" s="696">
        <f t="shared" si="322"/>
        <v>163423.05184575578</v>
      </c>
      <c r="AU214" s="696">
        <f t="shared" si="322"/>
        <v>171003.44696470417</v>
      </c>
      <c r="AV214" s="696">
        <f t="shared" si="322"/>
        <v>17421.882828353937</v>
      </c>
      <c r="AW214" s="696">
        <f t="shared" si="322"/>
        <v>3549.7360940322478</v>
      </c>
      <c r="AX214" s="696">
        <f t="shared" si="322"/>
        <v>723.23262615700935</v>
      </c>
      <c r="AY214" s="696">
        <f t="shared" si="322"/>
        <v>147.34693993365363</v>
      </c>
      <c r="AZ214" s="696">
        <f t="shared" si="322"/>
        <v>30.018265903670713</v>
      </c>
      <c r="BA214" s="696">
        <f t="shared" si="322"/>
        <v>6.115213780186699</v>
      </c>
    </row>
    <row r="215" spans="1:56" s="696" customFormat="1" ht="12.75" customHeight="1">
      <c r="A215" s="713"/>
      <c r="B215" s="699" t="s">
        <v>641</v>
      </c>
      <c r="AM215" s="696">
        <f>AM134</f>
        <v>2340.645966500208</v>
      </c>
      <c r="AN215" s="696">
        <f t="shared" ref="AN215:BA215" si="323">AN134</f>
        <v>5415.449348554097</v>
      </c>
      <c r="AO215" s="696">
        <f t="shared" si="323"/>
        <v>8564.3233954556927</v>
      </c>
      <c r="AP215" s="696">
        <f t="shared" si="323"/>
        <v>8234.1148675875338</v>
      </c>
      <c r="AQ215" s="696">
        <f t="shared" si="323"/>
        <v>8124.2546047539363</v>
      </c>
      <c r="AR215" s="696">
        <f t="shared" si="323"/>
        <v>8015.1537647886053</v>
      </c>
      <c r="AS215" s="696">
        <f t="shared" si="323"/>
        <v>7906.8210644405926</v>
      </c>
      <c r="AT215" s="696">
        <f t="shared" si="323"/>
        <v>7799.2647549721332</v>
      </c>
      <c r="AU215" s="696">
        <f t="shared" si="323"/>
        <v>7692.492633341395</v>
      </c>
      <c r="AV215" s="696">
        <f t="shared" si="323"/>
        <v>778.10380032734463</v>
      </c>
      <c r="AW215" s="696">
        <f t="shared" si="323"/>
        <v>78.699065726746213</v>
      </c>
      <c r="AX215" s="696">
        <f t="shared" si="323"/>
        <v>7.9590852495077318</v>
      </c>
      <c r="AY215" s="696">
        <f t="shared" si="323"/>
        <v>0.8048560514335189</v>
      </c>
      <c r="AZ215" s="696">
        <f t="shared" si="323"/>
        <v>8.138318411591175E-2</v>
      </c>
      <c r="BA215" s="696">
        <f t="shared" si="323"/>
        <v>8.2283445407064382E-3</v>
      </c>
    </row>
    <row r="216" spans="1:56" s="696" customFormat="1" ht="12.75" customHeight="1">
      <c r="A216" s="713"/>
      <c r="B216" s="703" t="s">
        <v>446</v>
      </c>
      <c r="Q216" s="695"/>
      <c r="R216" s="695"/>
      <c r="S216" s="695"/>
      <c r="T216" s="262"/>
      <c r="U216" s="262"/>
      <c r="V216" s="262"/>
      <c r="W216" s="262"/>
      <c r="X216" s="695"/>
      <c r="Y216" s="262"/>
      <c r="Z216" s="262"/>
      <c r="AA216" s="262"/>
      <c r="AB216" s="262"/>
      <c r="AM216" s="691">
        <v>3.5</v>
      </c>
      <c r="AN216" s="691">
        <v>7</v>
      </c>
      <c r="AO216" s="691">
        <v>8</v>
      </c>
      <c r="AP216" s="691">
        <v>9</v>
      </c>
      <c r="AQ216" s="691">
        <v>10</v>
      </c>
      <c r="AR216" s="691">
        <f t="shared" ref="AR216:BA216" si="324">AQ216</f>
        <v>10</v>
      </c>
      <c r="AS216" s="691">
        <f t="shared" si="324"/>
        <v>10</v>
      </c>
      <c r="AT216" s="691">
        <f t="shared" si="324"/>
        <v>10</v>
      </c>
      <c r="AU216" s="691">
        <f t="shared" si="324"/>
        <v>10</v>
      </c>
      <c r="AV216" s="691">
        <f t="shared" si="324"/>
        <v>10</v>
      </c>
      <c r="AW216" s="691">
        <f t="shared" si="324"/>
        <v>10</v>
      </c>
      <c r="AX216" s="691">
        <f t="shared" si="324"/>
        <v>10</v>
      </c>
      <c r="AY216" s="691">
        <f t="shared" si="324"/>
        <v>10</v>
      </c>
      <c r="AZ216" s="691">
        <f t="shared" si="324"/>
        <v>10</v>
      </c>
      <c r="BA216" s="691">
        <f t="shared" si="324"/>
        <v>10</v>
      </c>
      <c r="BC216" s="17">
        <v>0.03</v>
      </c>
    </row>
    <row r="217" spans="1:56" s="696" customFormat="1" ht="12.75" customHeight="1">
      <c r="A217" s="713"/>
      <c r="B217" s="703" t="s">
        <v>447</v>
      </c>
      <c r="Q217" s="695"/>
      <c r="R217" s="695"/>
      <c r="S217" s="695"/>
      <c r="T217" s="262"/>
      <c r="U217" s="262"/>
      <c r="V217" s="262"/>
      <c r="W217" s="262"/>
      <c r="X217" s="695"/>
      <c r="Y217" s="262"/>
      <c r="Z217" s="262"/>
      <c r="AA217" s="262"/>
      <c r="AB217" s="262"/>
      <c r="AM217" s="691">
        <v>4</v>
      </c>
      <c r="AN217" s="691">
        <v>4.5</v>
      </c>
      <c r="AO217" s="691">
        <v>5</v>
      </c>
      <c r="AP217" s="691">
        <v>5.5</v>
      </c>
      <c r="AQ217" s="691">
        <v>6</v>
      </c>
      <c r="AR217" s="691">
        <v>6</v>
      </c>
      <c r="AS217" s="691">
        <v>6</v>
      </c>
      <c r="AT217" s="691">
        <v>6</v>
      </c>
      <c r="AU217" s="691">
        <v>6</v>
      </c>
      <c r="AV217" s="691">
        <v>6</v>
      </c>
      <c r="AW217" s="691">
        <v>6</v>
      </c>
      <c r="AX217" s="691">
        <v>6</v>
      </c>
      <c r="AY217" s="691">
        <v>6</v>
      </c>
      <c r="AZ217" s="691">
        <v>6</v>
      </c>
      <c r="BA217" s="691">
        <v>6</v>
      </c>
    </row>
    <row r="218" spans="1:56" s="700" customFormat="1" ht="12.75" customHeight="1">
      <c r="A218" s="722">
        <v>0.8</v>
      </c>
      <c r="B218" s="705" t="s">
        <v>635</v>
      </c>
      <c r="O218" s="695"/>
      <c r="P218" s="695"/>
      <c r="Q218" s="695"/>
      <c r="R218" s="695"/>
      <c r="S218" s="695"/>
      <c r="T218" s="695"/>
      <c r="U218" s="695"/>
      <c r="V218" s="695"/>
      <c r="W218" s="695"/>
      <c r="X218" s="695"/>
      <c r="Y218" s="695"/>
      <c r="Z218" s="695"/>
      <c r="AA218" s="695"/>
      <c r="AB218" s="695"/>
      <c r="AM218" s="700">
        <f>AM220*AM219</f>
        <v>1965.8000000000002</v>
      </c>
      <c r="AN218" s="700">
        <f>AN220*AN219</f>
        <v>1935.8215500000003</v>
      </c>
      <c r="AO218" s="700">
        <f>AO220*AO219</f>
        <v>1906.3002713625001</v>
      </c>
      <c r="AP218" s="700">
        <f>AP220*AP219</f>
        <v>1877.2291922242218</v>
      </c>
      <c r="AQ218" s="700">
        <f>AQ220*AQ219</f>
        <v>1848.6014470428024</v>
      </c>
      <c r="AR218" s="700">
        <f t="shared" ref="AR218:BA218" si="325">AR220*AR219</f>
        <v>1820.4102749753999</v>
      </c>
      <c r="AS218" s="700">
        <f t="shared" si="325"/>
        <v>1792.6490182820251</v>
      </c>
      <c r="AT218" s="700">
        <f t="shared" si="325"/>
        <v>1765.311120753224</v>
      </c>
      <c r="AU218" s="700">
        <f t="shared" si="325"/>
        <v>1738.3901261617373</v>
      </c>
      <c r="AV218" s="700">
        <f t="shared" si="325"/>
        <v>1711.879676737771</v>
      </c>
      <c r="AW218" s="700">
        <f t="shared" si="325"/>
        <v>1685.7735116675199</v>
      </c>
      <c r="AX218" s="700">
        <f t="shared" si="325"/>
        <v>1660.0654656145903</v>
      </c>
      <c r="AY218" s="700">
        <f t="shared" si="325"/>
        <v>1634.7494672639675</v>
      </c>
      <c r="AZ218" s="700">
        <f t="shared" si="325"/>
        <v>1634.7494672639675</v>
      </c>
      <c r="BA218" s="700">
        <f t="shared" si="325"/>
        <v>1634.7494672639675</v>
      </c>
    </row>
    <row r="219" spans="1:56" s="694" customFormat="1" ht="12.75" hidden="1" customHeight="1" outlineLevel="1">
      <c r="A219" s="724"/>
      <c r="B219" s="697" t="s">
        <v>494</v>
      </c>
      <c r="D219" s="693"/>
      <c r="E219" s="693"/>
      <c r="F219" s="693"/>
      <c r="G219" s="690"/>
      <c r="H219" s="690"/>
      <c r="I219" s="690"/>
      <c r="J219" s="690"/>
      <c r="K219" s="690"/>
      <c r="L219" s="690"/>
      <c r="M219" s="690"/>
      <c r="N219" s="690"/>
      <c r="O219" s="690"/>
      <c r="P219" s="690"/>
      <c r="Q219" s="690"/>
      <c r="R219" s="690"/>
      <c r="S219" s="690"/>
      <c r="T219" s="690"/>
      <c r="U219" s="690"/>
      <c r="V219" s="690"/>
      <c r="W219" s="690"/>
      <c r="X219" s="690"/>
      <c r="Y219" s="690"/>
      <c r="Z219" s="690"/>
      <c r="AA219" s="690"/>
      <c r="AB219" s="690"/>
      <c r="AC219" s="726"/>
      <c r="AD219" s="726"/>
      <c r="AE219" s="726"/>
      <c r="AF219" s="726"/>
      <c r="AG219" s="726"/>
      <c r="AH219" s="690"/>
      <c r="AI219" s="726"/>
      <c r="AJ219" s="726"/>
      <c r="AK219" s="726"/>
      <c r="AL219" s="726"/>
      <c r="AM219" s="726">
        <v>0.8</v>
      </c>
      <c r="AN219" s="690">
        <f t="shared" ref="AN219:AY219" si="326">AM219*0.975</f>
        <v>0.78</v>
      </c>
      <c r="AO219" s="690">
        <f t="shared" si="326"/>
        <v>0.76049999999999995</v>
      </c>
      <c r="AP219" s="690">
        <f t="shared" si="326"/>
        <v>0.74148749999999997</v>
      </c>
      <c r="AQ219" s="690">
        <f t="shared" si="326"/>
        <v>0.72295031249999997</v>
      </c>
      <c r="AR219" s="690">
        <f t="shared" si="326"/>
        <v>0.70487655468749999</v>
      </c>
      <c r="AS219" s="690">
        <f t="shared" si="326"/>
        <v>0.68725464082031251</v>
      </c>
      <c r="AT219" s="690">
        <f t="shared" si="326"/>
        <v>0.67007327479980472</v>
      </c>
      <c r="AU219" s="690">
        <f t="shared" si="326"/>
        <v>0.65332144292980954</v>
      </c>
      <c r="AV219" s="690">
        <f t="shared" si="326"/>
        <v>0.63698840685656433</v>
      </c>
      <c r="AW219" s="690">
        <f t="shared" si="326"/>
        <v>0.62106369668515016</v>
      </c>
      <c r="AX219" s="690">
        <f t="shared" si="326"/>
        <v>0.60553710426802143</v>
      </c>
      <c r="AY219" s="690">
        <f t="shared" si="326"/>
        <v>0.59039867666132084</v>
      </c>
      <c r="AZ219" s="726">
        <f>AY219</f>
        <v>0.59039867666132084</v>
      </c>
      <c r="BA219" s="726">
        <f>AY219</f>
        <v>0.59039867666132084</v>
      </c>
      <c r="BB219" s="690"/>
      <c r="BD219" s="136"/>
    </row>
    <row r="220" spans="1:56" s="694" customFormat="1" ht="12.75" hidden="1" customHeight="1" outlineLevel="1">
      <c r="A220" s="724"/>
      <c r="B220" s="697" t="s">
        <v>633</v>
      </c>
      <c r="D220" s="693"/>
      <c r="E220" s="693"/>
      <c r="F220" s="693"/>
      <c r="G220" s="690"/>
      <c r="H220" s="690"/>
      <c r="I220" s="690"/>
      <c r="J220" s="690"/>
      <c r="K220" s="690"/>
      <c r="L220" s="727"/>
      <c r="M220" s="727"/>
      <c r="N220" s="727"/>
      <c r="O220" s="727"/>
      <c r="P220" s="700"/>
      <c r="Q220" s="700"/>
      <c r="R220" s="700"/>
      <c r="S220" s="700"/>
      <c r="T220" s="727"/>
      <c r="U220" s="700"/>
      <c r="V220" s="700"/>
      <c r="W220" s="700"/>
      <c r="X220" s="242"/>
      <c r="Y220" s="727"/>
      <c r="Z220" s="700"/>
      <c r="AA220" s="700"/>
      <c r="AB220" s="700"/>
      <c r="AC220" s="727"/>
      <c r="AD220" s="727"/>
      <c r="AE220" s="727"/>
      <c r="AF220" s="727"/>
      <c r="AG220" s="727"/>
      <c r="AH220" s="696"/>
      <c r="AI220" s="727"/>
      <c r="AJ220" s="727"/>
      <c r="AK220" s="727"/>
      <c r="AL220" s="727"/>
      <c r="AM220" s="700">
        <f>AM210*1</f>
        <v>2457.25</v>
      </c>
      <c r="AN220" s="700">
        <f t="shared" ref="AN220:AY220" si="327">AN210*1</f>
        <v>2481.8225000000002</v>
      </c>
      <c r="AO220" s="700">
        <f t="shared" si="327"/>
        <v>2506.6407250000002</v>
      </c>
      <c r="AP220" s="700">
        <f t="shared" si="327"/>
        <v>2531.7071322500001</v>
      </c>
      <c r="AQ220" s="700">
        <f t="shared" si="327"/>
        <v>2557.0242035725</v>
      </c>
      <c r="AR220" s="700">
        <f t="shared" si="327"/>
        <v>2582.5944456082252</v>
      </c>
      <c r="AS220" s="700">
        <f t="shared" si="327"/>
        <v>2608.4203900643074</v>
      </c>
      <c r="AT220" s="700">
        <f t="shared" si="327"/>
        <v>2634.5045939649503</v>
      </c>
      <c r="AU220" s="700">
        <f t="shared" si="327"/>
        <v>2660.8496399045998</v>
      </c>
      <c r="AV220" s="700">
        <f t="shared" si="327"/>
        <v>2687.4581363036459</v>
      </c>
      <c r="AW220" s="700">
        <f t="shared" si="327"/>
        <v>2714.3327176666826</v>
      </c>
      <c r="AX220" s="700">
        <f t="shared" si="327"/>
        <v>2741.4760448433494</v>
      </c>
      <c r="AY220" s="700">
        <f t="shared" si="327"/>
        <v>2768.8908052917827</v>
      </c>
      <c r="AZ220" s="727">
        <f>AY220</f>
        <v>2768.8908052917827</v>
      </c>
      <c r="BA220" s="727">
        <f>AZ220</f>
        <v>2768.8908052917827</v>
      </c>
      <c r="BC220" s="700" t="s">
        <v>732</v>
      </c>
      <c r="BD220" s="136"/>
    </row>
    <row r="221" spans="1:56" s="706" customFormat="1" ht="12.75" customHeight="1" collapsed="1">
      <c r="A221" s="730"/>
      <c r="B221" s="701" t="s">
        <v>895</v>
      </c>
      <c r="C221" s="702"/>
      <c r="D221" s="702"/>
      <c r="E221" s="702"/>
      <c r="F221" s="702"/>
      <c r="G221" s="702"/>
      <c r="H221" s="702"/>
      <c r="I221" s="702"/>
      <c r="J221" s="702"/>
      <c r="K221" s="702"/>
      <c r="L221" s="702"/>
      <c r="M221" s="702"/>
      <c r="N221" s="702"/>
      <c r="O221" s="702"/>
      <c r="P221" s="702"/>
      <c r="Q221" s="702"/>
      <c r="R221" s="702"/>
      <c r="S221" s="702"/>
      <c r="T221" s="702"/>
      <c r="U221" s="702"/>
      <c r="V221" s="702"/>
      <c r="W221" s="702"/>
      <c r="X221" s="708"/>
      <c r="Y221" s="702"/>
      <c r="Z221" s="702"/>
      <c r="AA221" s="702"/>
      <c r="AB221" s="702"/>
      <c r="AC221" s="702"/>
      <c r="AD221" s="702"/>
      <c r="AE221" s="702"/>
      <c r="AF221" s="702"/>
      <c r="AG221" s="702"/>
      <c r="AH221" s="702"/>
      <c r="AI221" s="702"/>
      <c r="AJ221" s="702"/>
      <c r="AK221" s="702"/>
      <c r="AL221" s="702"/>
      <c r="AM221" s="702">
        <f t="shared" ref="AM221:BA221" si="328">(AM216*AM214*AM218/1000000)+(AM215*AM217*AM218/1000000)</f>
        <v>137.83912754128153</v>
      </c>
      <c r="AN221" s="702">
        <f t="shared" si="328"/>
        <v>982.6544149748479</v>
      </c>
      <c r="AO221" s="702">
        <f t="shared" si="328"/>
        <v>1369.1817674533168</v>
      </c>
      <c r="AP221" s="702">
        <f t="shared" si="328"/>
        <v>1884.7445922140932</v>
      </c>
      <c r="AQ221" s="702">
        <f t="shared" si="328"/>
        <v>2405.5228427228326</v>
      </c>
      <c r="AR221" s="702">
        <f t="shared" si="328"/>
        <v>2720.7292949981302</v>
      </c>
      <c r="AS221" s="702">
        <f t="shared" si="328"/>
        <v>2882.6088578316389</v>
      </c>
      <c r="AT221" s="702">
        <f t="shared" si="328"/>
        <v>2967.5340809413397</v>
      </c>
      <c r="AU221" s="702">
        <f t="shared" si="328"/>
        <v>3052.9423568668758</v>
      </c>
      <c r="AV221" s="702">
        <f t="shared" si="328"/>
        <v>306.23379193669547</v>
      </c>
      <c r="AW221" s="702">
        <f t="shared" si="328"/>
        <v>60.636523609667663</v>
      </c>
      <c r="AX221" s="702">
        <f t="shared" si="328"/>
        <v>12.085410678253528</v>
      </c>
      <c r="AY221" s="702">
        <f t="shared" si="328"/>
        <v>2.4166477436029914</v>
      </c>
      <c r="AZ221" s="702">
        <f t="shared" si="328"/>
        <v>0.49152168864340456</v>
      </c>
      <c r="BA221" s="702">
        <f t="shared" si="328"/>
        <v>0.10004913238478111</v>
      </c>
    </row>
    <row r="222" spans="1:56" s="706" customFormat="1" ht="12.75" customHeight="1">
      <c r="A222" s="730"/>
      <c r="B222" s="731"/>
      <c r="C222" s="707"/>
      <c r="D222" s="707"/>
      <c r="E222" s="707"/>
      <c r="F222" s="707"/>
      <c r="G222" s="707"/>
      <c r="H222" s="707"/>
      <c r="I222" s="707"/>
      <c r="J222" s="707"/>
      <c r="K222" s="707"/>
      <c r="L222" s="707"/>
      <c r="M222" s="707"/>
      <c r="N222" s="707"/>
      <c r="O222" s="707"/>
      <c r="P222" s="707"/>
      <c r="Q222" s="707"/>
      <c r="R222" s="707"/>
      <c r="S222" s="707"/>
      <c r="T222" s="707"/>
      <c r="U222" s="707"/>
      <c r="V222" s="707"/>
      <c r="W222" s="707"/>
      <c r="X222" s="707"/>
      <c r="Y222" s="707"/>
      <c r="Z222" s="707"/>
      <c r="AA222" s="707"/>
      <c r="AB222" s="707"/>
      <c r="AC222" s="707"/>
      <c r="AD222" s="707"/>
      <c r="AE222" s="707"/>
      <c r="AF222" s="707"/>
      <c r="AG222" s="707"/>
      <c r="AH222" s="707"/>
      <c r="AI222" s="707"/>
      <c r="AJ222" s="707"/>
      <c r="AK222" s="707"/>
      <c r="AL222" s="707"/>
      <c r="AM222" s="707"/>
      <c r="AN222" s="707"/>
      <c r="AO222" s="707"/>
      <c r="AP222" s="707"/>
      <c r="AQ222" s="707"/>
    </row>
    <row r="223" spans="1:56" s="692" customFormat="1" ht="12.75" customHeight="1">
      <c r="A223" s="714"/>
      <c r="B223" s="732" t="s">
        <v>896</v>
      </c>
      <c r="C223" s="721"/>
      <c r="D223" s="721"/>
      <c r="E223" s="721"/>
      <c r="F223" s="721"/>
      <c r="G223" s="721"/>
      <c r="H223" s="721"/>
      <c r="I223" s="721"/>
      <c r="J223" s="721"/>
      <c r="K223" s="721"/>
      <c r="L223" s="721"/>
      <c r="M223" s="721"/>
      <c r="N223" s="721"/>
      <c r="O223" s="721"/>
      <c r="P223" s="721"/>
      <c r="Q223" s="721"/>
      <c r="R223" s="721"/>
      <c r="S223" s="721"/>
      <c r="T223" s="721"/>
      <c r="U223" s="721"/>
      <c r="V223" s="721"/>
      <c r="W223" s="721"/>
      <c r="X223" s="721"/>
      <c r="Y223" s="721"/>
      <c r="Z223" s="721"/>
      <c r="AA223" s="721"/>
      <c r="AB223" s="721"/>
      <c r="AC223" s="721"/>
      <c r="AD223" s="721"/>
      <c r="AE223" s="721"/>
      <c r="AF223" s="721"/>
      <c r="AG223" s="721"/>
      <c r="AH223" s="721"/>
      <c r="AI223" s="721"/>
      <c r="AJ223" s="721"/>
      <c r="AK223" s="721"/>
      <c r="AL223" s="721"/>
      <c r="AM223" s="721"/>
      <c r="AN223" s="721"/>
      <c r="AO223" s="721"/>
      <c r="AP223" s="721"/>
      <c r="AQ223" s="721"/>
      <c r="AR223" s="721"/>
      <c r="AS223" s="721"/>
      <c r="AT223" s="721"/>
      <c r="AU223" s="721"/>
      <c r="AV223" s="721"/>
      <c r="AW223" s="721"/>
      <c r="AX223" s="721"/>
      <c r="AY223" s="721"/>
      <c r="AZ223" s="721"/>
      <c r="BA223" s="721"/>
      <c r="BB223" s="689"/>
    </row>
    <row r="224" spans="1:56" s="696" customFormat="1" ht="12.75" customHeight="1">
      <c r="A224" s="713"/>
      <c r="B224" s="699" t="s">
        <v>640</v>
      </c>
      <c r="AM224" s="696">
        <f>AM81</f>
        <v>0</v>
      </c>
      <c r="AN224" s="696">
        <f t="shared" ref="AN224:BA224" si="329">AN81</f>
        <v>0</v>
      </c>
      <c r="AO224" s="696">
        <f t="shared" si="329"/>
        <v>76386.642030356292</v>
      </c>
      <c r="AP224" s="696">
        <f t="shared" si="329"/>
        <v>98329.827881037316</v>
      </c>
      <c r="AQ224" s="696">
        <f t="shared" si="329"/>
        <v>125252.08143247048</v>
      </c>
      <c r="AR224" s="696">
        <f t="shared" si="329"/>
        <v>153156.53318400666</v>
      </c>
      <c r="AS224" s="696">
        <f t="shared" si="329"/>
        <v>163860.41518150753</v>
      </c>
      <c r="AT224" s="696">
        <f t="shared" si="329"/>
        <v>166956.52323701538</v>
      </c>
      <c r="AU224" s="696">
        <f t="shared" si="329"/>
        <v>170103.42882278468</v>
      </c>
      <c r="AV224" s="696">
        <f t="shared" si="329"/>
        <v>173301.887082047</v>
      </c>
      <c r="AW224" s="696">
        <f t="shared" si="329"/>
        <v>176552.66362423546</v>
      </c>
      <c r="AX224" s="696">
        <f t="shared" si="329"/>
        <v>179856.53466272989</v>
      </c>
      <c r="AY224" s="696">
        <f t="shared" si="329"/>
        <v>183214.28715434557</v>
      </c>
      <c r="AZ224" s="696">
        <f t="shared" si="329"/>
        <v>186626.71894058428</v>
      </c>
      <c r="BA224" s="696">
        <f t="shared" si="329"/>
        <v>190094.63889067198</v>
      </c>
    </row>
    <row r="225" spans="1:56" s="696" customFormat="1" ht="12.75" customHeight="1">
      <c r="A225" s="713"/>
      <c r="B225" s="699" t="s">
        <v>641</v>
      </c>
      <c r="AM225" s="696">
        <f>AM135</f>
        <v>0</v>
      </c>
      <c r="AN225" s="696">
        <f t="shared" ref="AN225:BA225" si="330">AN135</f>
        <v>0</v>
      </c>
      <c r="AO225" s="696">
        <f t="shared" si="330"/>
        <v>4796.0211014551887</v>
      </c>
      <c r="AP225" s="696">
        <f t="shared" si="330"/>
        <v>6933.9914674421343</v>
      </c>
      <c r="AQ225" s="696">
        <f t="shared" si="330"/>
        <v>10525.350095227774</v>
      </c>
      <c r="AR225" s="696">
        <f t="shared" si="330"/>
        <v>14200.348550371178</v>
      </c>
      <c r="AS225" s="696">
        <f t="shared" si="330"/>
        <v>17959.508779886732</v>
      </c>
      <c r="AT225" s="696">
        <f t="shared" si="330"/>
        <v>18896.219717398239</v>
      </c>
      <c r="AU225" s="696">
        <f t="shared" si="330"/>
        <v>19850.623685757269</v>
      </c>
      <c r="AV225" s="696">
        <f t="shared" si="330"/>
        <v>20079.116698544702</v>
      </c>
      <c r="AW225" s="696">
        <f t="shared" si="330"/>
        <v>20308.443733715103</v>
      </c>
      <c r="AX225" s="696">
        <f t="shared" si="330"/>
        <v>20538.571007017264</v>
      </c>
      <c r="AY225" s="696">
        <f t="shared" si="330"/>
        <v>20769.463631285114</v>
      </c>
      <c r="AZ225" s="696">
        <f t="shared" si="330"/>
        <v>21001.085593915384</v>
      </c>
      <c r="BA225" s="696">
        <f t="shared" si="330"/>
        <v>21233.399733964972</v>
      </c>
    </row>
    <row r="226" spans="1:56" s="696" customFormat="1" ht="12.75" customHeight="1">
      <c r="A226" s="713"/>
      <c r="B226" s="703" t="s">
        <v>446</v>
      </c>
      <c r="Q226" s="695"/>
      <c r="R226" s="695"/>
      <c r="S226" s="695"/>
      <c r="T226" s="262"/>
      <c r="U226" s="262"/>
      <c r="V226" s="262"/>
      <c r="W226" s="262"/>
      <c r="X226" s="695"/>
      <c r="Y226" s="262"/>
      <c r="Z226" s="262"/>
      <c r="AA226" s="262"/>
      <c r="AB226" s="262"/>
      <c r="AM226" s="691">
        <v>5</v>
      </c>
      <c r="AN226" s="691">
        <v>7</v>
      </c>
      <c r="AO226" s="691">
        <v>5</v>
      </c>
      <c r="AP226" s="691">
        <v>7</v>
      </c>
      <c r="AQ226" s="691">
        <v>8</v>
      </c>
      <c r="AR226" s="691">
        <v>9</v>
      </c>
      <c r="AS226" s="691">
        <v>10</v>
      </c>
      <c r="AT226" s="691">
        <f t="shared" ref="AT226:BA226" si="331">AS226</f>
        <v>10</v>
      </c>
      <c r="AU226" s="691">
        <f t="shared" si="331"/>
        <v>10</v>
      </c>
      <c r="AV226" s="691">
        <f t="shared" si="331"/>
        <v>10</v>
      </c>
      <c r="AW226" s="691">
        <f t="shared" si="331"/>
        <v>10</v>
      </c>
      <c r="AX226" s="691">
        <f t="shared" si="331"/>
        <v>10</v>
      </c>
      <c r="AY226" s="691">
        <f t="shared" si="331"/>
        <v>10</v>
      </c>
      <c r="AZ226" s="691">
        <f t="shared" si="331"/>
        <v>10</v>
      </c>
      <c r="BA226" s="691">
        <f t="shared" si="331"/>
        <v>10</v>
      </c>
      <c r="BC226" s="17">
        <v>0.03</v>
      </c>
    </row>
    <row r="227" spans="1:56" s="696" customFormat="1" ht="12.75" customHeight="1">
      <c r="A227" s="713"/>
      <c r="B227" s="703" t="s">
        <v>447</v>
      </c>
      <c r="Q227" s="695"/>
      <c r="R227" s="695"/>
      <c r="S227" s="695"/>
      <c r="T227" s="262"/>
      <c r="U227" s="262"/>
      <c r="V227" s="262"/>
      <c r="W227" s="262"/>
      <c r="X227" s="695"/>
      <c r="Y227" s="262"/>
      <c r="Z227" s="262"/>
      <c r="AA227" s="262"/>
      <c r="AB227" s="262"/>
      <c r="AM227" s="691">
        <v>4</v>
      </c>
      <c r="AN227" s="691">
        <v>4.5</v>
      </c>
      <c r="AO227" s="691">
        <v>5</v>
      </c>
      <c r="AP227" s="691">
        <v>5.5</v>
      </c>
      <c r="AQ227" s="691">
        <v>6</v>
      </c>
      <c r="AR227" s="691">
        <v>6</v>
      </c>
      <c r="AS227" s="691">
        <v>6</v>
      </c>
      <c r="AT227" s="691">
        <v>6</v>
      </c>
      <c r="AU227" s="691">
        <v>6</v>
      </c>
      <c r="AV227" s="691">
        <v>6</v>
      </c>
      <c r="AW227" s="691">
        <v>6</v>
      </c>
      <c r="AX227" s="691">
        <v>6</v>
      </c>
      <c r="AY227" s="691">
        <v>6</v>
      </c>
      <c r="AZ227" s="691">
        <v>6</v>
      </c>
      <c r="BA227" s="691">
        <v>6</v>
      </c>
    </row>
    <row r="228" spans="1:56" s="700" customFormat="1" ht="12.75" customHeight="1">
      <c r="A228" s="722">
        <v>0.8</v>
      </c>
      <c r="B228" s="705" t="s">
        <v>635</v>
      </c>
      <c r="O228" s="695"/>
      <c r="P228" s="695"/>
      <c r="Q228" s="695"/>
      <c r="R228" s="695"/>
      <c r="S228" s="695"/>
      <c r="T228" s="695"/>
      <c r="U228" s="695"/>
      <c r="V228" s="695"/>
      <c r="W228" s="695"/>
      <c r="X228" s="695"/>
      <c r="Y228" s="695"/>
      <c r="Z228" s="695"/>
      <c r="AA228" s="695"/>
      <c r="AB228" s="695"/>
      <c r="AM228" s="700">
        <f>AM230*AM229</f>
        <v>1965.8000000000002</v>
      </c>
      <c r="AN228" s="700">
        <f>AN230*AN229</f>
        <v>1935.8215500000003</v>
      </c>
      <c r="AO228" s="700">
        <f>AO230*AO229</f>
        <v>1906.3002713625001</v>
      </c>
      <c r="AP228" s="700">
        <f>AP230*AP229</f>
        <v>1877.2291922242218</v>
      </c>
      <c r="AQ228" s="700">
        <f>AQ230*AQ229</f>
        <v>1848.6014470428024</v>
      </c>
      <c r="AR228" s="700">
        <f t="shared" ref="AR228:BA228" si="332">AR230*AR229</f>
        <v>1820.4102749753999</v>
      </c>
      <c r="AS228" s="700">
        <f t="shared" si="332"/>
        <v>1792.6490182820251</v>
      </c>
      <c r="AT228" s="700">
        <f t="shared" si="332"/>
        <v>1765.311120753224</v>
      </c>
      <c r="AU228" s="700">
        <f t="shared" si="332"/>
        <v>1738.3901261617373</v>
      </c>
      <c r="AV228" s="700">
        <f t="shared" si="332"/>
        <v>1711.879676737771</v>
      </c>
      <c r="AW228" s="700">
        <f t="shared" si="332"/>
        <v>1685.7735116675199</v>
      </c>
      <c r="AX228" s="700">
        <f t="shared" si="332"/>
        <v>1660.0654656145903</v>
      </c>
      <c r="AY228" s="700">
        <f t="shared" si="332"/>
        <v>1634.7494672639675</v>
      </c>
      <c r="AZ228" s="700">
        <f t="shared" si="332"/>
        <v>1634.7494672639675</v>
      </c>
      <c r="BA228" s="700">
        <f t="shared" si="332"/>
        <v>1634.7494672639675</v>
      </c>
    </row>
    <row r="229" spans="1:56" s="694" customFormat="1" ht="12.75" hidden="1" customHeight="1" outlineLevel="1">
      <c r="A229" s="724"/>
      <c r="B229" s="697" t="s">
        <v>494</v>
      </c>
      <c r="D229" s="693"/>
      <c r="E229" s="693"/>
      <c r="F229" s="693"/>
      <c r="G229" s="690"/>
      <c r="H229" s="690"/>
      <c r="I229" s="690"/>
      <c r="J229" s="690"/>
      <c r="K229" s="690"/>
      <c r="L229" s="690"/>
      <c r="M229" s="690"/>
      <c r="N229" s="690"/>
      <c r="O229" s="690"/>
      <c r="P229" s="690"/>
      <c r="Q229" s="690"/>
      <c r="R229" s="690"/>
      <c r="S229" s="690"/>
      <c r="T229" s="690"/>
      <c r="U229" s="690"/>
      <c r="V229" s="690"/>
      <c r="W229" s="690"/>
      <c r="X229" s="690"/>
      <c r="Y229" s="690"/>
      <c r="Z229" s="690"/>
      <c r="AA229" s="690"/>
      <c r="AB229" s="690"/>
      <c r="AC229" s="726"/>
      <c r="AD229" s="726"/>
      <c r="AE229" s="726"/>
      <c r="AF229" s="726"/>
      <c r="AG229" s="726"/>
      <c r="AH229" s="690"/>
      <c r="AI229" s="726"/>
      <c r="AJ229" s="726"/>
      <c r="AK229" s="726"/>
      <c r="AL229" s="726"/>
      <c r="AM229" s="726">
        <v>0.8</v>
      </c>
      <c r="AN229" s="690">
        <f t="shared" ref="AN229:AY229" si="333">AM229*0.975</f>
        <v>0.78</v>
      </c>
      <c r="AO229" s="690">
        <f t="shared" si="333"/>
        <v>0.76049999999999995</v>
      </c>
      <c r="AP229" s="690">
        <f t="shared" si="333"/>
        <v>0.74148749999999997</v>
      </c>
      <c r="AQ229" s="690">
        <f t="shared" si="333"/>
        <v>0.72295031249999997</v>
      </c>
      <c r="AR229" s="690">
        <f t="shared" si="333"/>
        <v>0.70487655468749999</v>
      </c>
      <c r="AS229" s="690">
        <f t="shared" si="333"/>
        <v>0.68725464082031251</v>
      </c>
      <c r="AT229" s="690">
        <f t="shared" si="333"/>
        <v>0.67007327479980472</v>
      </c>
      <c r="AU229" s="690">
        <f t="shared" si="333"/>
        <v>0.65332144292980954</v>
      </c>
      <c r="AV229" s="690">
        <f t="shared" si="333"/>
        <v>0.63698840685656433</v>
      </c>
      <c r="AW229" s="690">
        <f t="shared" si="333"/>
        <v>0.62106369668515016</v>
      </c>
      <c r="AX229" s="690">
        <f t="shared" si="333"/>
        <v>0.60553710426802143</v>
      </c>
      <c r="AY229" s="690">
        <f t="shared" si="333"/>
        <v>0.59039867666132084</v>
      </c>
      <c r="AZ229" s="726">
        <f>AY229</f>
        <v>0.59039867666132084</v>
      </c>
      <c r="BA229" s="726">
        <f>AY229</f>
        <v>0.59039867666132084</v>
      </c>
      <c r="BB229" s="690"/>
      <c r="BD229" s="136"/>
    </row>
    <row r="230" spans="1:56" s="694" customFormat="1" ht="12.75" hidden="1" customHeight="1" outlineLevel="1">
      <c r="A230" s="724"/>
      <c r="B230" s="697" t="s">
        <v>633</v>
      </c>
      <c r="D230" s="693"/>
      <c r="E230" s="693"/>
      <c r="F230" s="693"/>
      <c r="G230" s="690"/>
      <c r="H230" s="690"/>
      <c r="I230" s="690"/>
      <c r="J230" s="690"/>
      <c r="K230" s="690"/>
      <c r="L230" s="727"/>
      <c r="M230" s="727"/>
      <c r="N230" s="727"/>
      <c r="O230" s="727"/>
      <c r="P230" s="700"/>
      <c r="Q230" s="700"/>
      <c r="R230" s="700"/>
      <c r="S230" s="700"/>
      <c r="T230" s="727"/>
      <c r="U230" s="700"/>
      <c r="V230" s="700"/>
      <c r="W230" s="700"/>
      <c r="X230" s="242"/>
      <c r="Y230" s="727"/>
      <c r="Z230" s="700"/>
      <c r="AA230" s="700"/>
      <c r="AB230" s="700"/>
      <c r="AC230" s="727"/>
      <c r="AD230" s="727"/>
      <c r="AE230" s="727"/>
      <c r="AF230" s="727"/>
      <c r="AG230" s="727"/>
      <c r="AH230" s="696"/>
      <c r="AI230" s="727"/>
      <c r="AJ230" s="727"/>
      <c r="AK230" s="727"/>
      <c r="AL230" s="727"/>
      <c r="AM230" s="700">
        <f>AM220*1</f>
        <v>2457.25</v>
      </c>
      <c r="AN230" s="700">
        <f t="shared" ref="AN230:AY230" si="334">AN220*1</f>
        <v>2481.8225000000002</v>
      </c>
      <c r="AO230" s="700">
        <f t="shared" si="334"/>
        <v>2506.6407250000002</v>
      </c>
      <c r="AP230" s="700">
        <f t="shared" si="334"/>
        <v>2531.7071322500001</v>
      </c>
      <c r="AQ230" s="700">
        <f t="shared" si="334"/>
        <v>2557.0242035725</v>
      </c>
      <c r="AR230" s="700">
        <f t="shared" si="334"/>
        <v>2582.5944456082252</v>
      </c>
      <c r="AS230" s="700">
        <f t="shared" si="334"/>
        <v>2608.4203900643074</v>
      </c>
      <c r="AT230" s="700">
        <f t="shared" si="334"/>
        <v>2634.5045939649503</v>
      </c>
      <c r="AU230" s="700">
        <f t="shared" si="334"/>
        <v>2660.8496399045998</v>
      </c>
      <c r="AV230" s="700">
        <f t="shared" si="334"/>
        <v>2687.4581363036459</v>
      </c>
      <c r="AW230" s="700">
        <f t="shared" si="334"/>
        <v>2714.3327176666826</v>
      </c>
      <c r="AX230" s="700">
        <f t="shared" si="334"/>
        <v>2741.4760448433494</v>
      </c>
      <c r="AY230" s="700">
        <f t="shared" si="334"/>
        <v>2768.8908052917827</v>
      </c>
      <c r="AZ230" s="727">
        <f>AY230</f>
        <v>2768.8908052917827</v>
      </c>
      <c r="BA230" s="727">
        <f>AZ230</f>
        <v>2768.8908052917827</v>
      </c>
      <c r="BC230" s="700" t="s">
        <v>732</v>
      </c>
      <c r="BD230" s="136"/>
    </row>
    <row r="231" spans="1:56" s="706" customFormat="1" ht="12.75" customHeight="1" collapsed="1">
      <c r="A231" s="730"/>
      <c r="B231" s="701" t="s">
        <v>897</v>
      </c>
      <c r="C231" s="702"/>
      <c r="D231" s="702"/>
      <c r="E231" s="702"/>
      <c r="F231" s="702"/>
      <c r="G231" s="702"/>
      <c r="H231" s="702"/>
      <c r="I231" s="702"/>
      <c r="J231" s="702"/>
      <c r="K231" s="702"/>
      <c r="L231" s="702"/>
      <c r="M231" s="702"/>
      <c r="N231" s="702"/>
      <c r="O231" s="702"/>
      <c r="P231" s="702"/>
      <c r="Q231" s="702"/>
      <c r="R231" s="702"/>
      <c r="S231" s="702"/>
      <c r="T231" s="702"/>
      <c r="U231" s="702"/>
      <c r="V231" s="702"/>
      <c r="W231" s="702"/>
      <c r="X231" s="708"/>
      <c r="Y231" s="702"/>
      <c r="Z231" s="702"/>
      <c r="AA231" s="702"/>
      <c r="AB231" s="702"/>
      <c r="AC231" s="702"/>
      <c r="AD231" s="702"/>
      <c r="AE231" s="702"/>
      <c r="AF231" s="702"/>
      <c r="AG231" s="702"/>
      <c r="AH231" s="702"/>
      <c r="AI231" s="702"/>
      <c r="AJ231" s="702"/>
      <c r="AK231" s="702"/>
      <c r="AL231" s="702"/>
      <c r="AM231" s="702">
        <f t="shared" ref="AM231:BA231" si="335">(AM226*AM224*AM228/1000000)+(AM225*AM227*AM228/1000000)</f>
        <v>0</v>
      </c>
      <c r="AN231" s="702">
        <f t="shared" si="335"/>
        <v>0</v>
      </c>
      <c r="AO231" s="702">
        <f t="shared" si="335"/>
        <v>773.79266379051319</v>
      </c>
      <c r="AP231" s="702">
        <f t="shared" si="335"/>
        <v>1363.7051651599036</v>
      </c>
      <c r="AQ231" s="702">
        <f t="shared" si="335"/>
        <v>1969.0724963495236</v>
      </c>
      <c r="AR231" s="702">
        <f t="shared" si="335"/>
        <v>2664.3723026459552</v>
      </c>
      <c r="AS231" s="702">
        <f t="shared" si="335"/>
        <v>3130.6126988026936</v>
      </c>
      <c r="AT231" s="702">
        <f t="shared" si="335"/>
        <v>3147.4483123698892</v>
      </c>
      <c r="AU231" s="702">
        <f t="shared" si="335"/>
        <v>3164.1099801986843</v>
      </c>
      <c r="AV231" s="702">
        <f t="shared" si="335"/>
        <v>3172.9579751791111</v>
      </c>
      <c r="AW231" s="702">
        <f t="shared" si="335"/>
        <v>3181.6906565777404</v>
      </c>
      <c r="AX231" s="702">
        <f t="shared" si="335"/>
        <v>3190.3084542380484</v>
      </c>
      <c r="AY231" s="702">
        <f t="shared" si="335"/>
        <v>3198.81180084675</v>
      </c>
      <c r="AZ231" s="702">
        <f t="shared" si="335"/>
        <v>3256.8683745731323</v>
      </c>
      <c r="BA231" s="702">
        <f t="shared" si="335"/>
        <v>3315.8388299824355</v>
      </c>
    </row>
    <row r="232" spans="1:56" s="116" customFormat="1" ht="12.75" customHeight="1">
      <c r="A232" s="372"/>
      <c r="B232" s="239"/>
      <c r="AI232" s="696"/>
      <c r="AJ232" s="696"/>
      <c r="AK232" s="696"/>
      <c r="AL232" s="696"/>
    </row>
    <row r="233" spans="1:56" s="77" customFormat="1" ht="12.75" customHeight="1">
      <c r="A233" s="384"/>
      <c r="B233" s="370" t="s">
        <v>508</v>
      </c>
      <c r="C233" s="405"/>
      <c r="D233" s="405"/>
      <c r="E233" s="405"/>
      <c r="F233" s="405"/>
      <c r="G233" s="405"/>
      <c r="H233" s="405"/>
      <c r="I233" s="405"/>
      <c r="J233" s="405"/>
      <c r="K233" s="405"/>
      <c r="L233" s="405"/>
      <c r="M233" s="405"/>
      <c r="N233" s="405"/>
      <c r="O233" s="405"/>
      <c r="P233" s="405"/>
      <c r="Q233" s="405"/>
      <c r="R233" s="405"/>
      <c r="S233" s="405"/>
      <c r="T233" s="405"/>
      <c r="U233" s="405"/>
      <c r="V233" s="405"/>
      <c r="W233" s="405"/>
      <c r="X233" s="405"/>
      <c r="Y233" s="405"/>
      <c r="Z233" s="405"/>
      <c r="AA233" s="405"/>
      <c r="AB233" s="405"/>
      <c r="AC233" s="405"/>
      <c r="AD233" s="405"/>
      <c r="AE233" s="405"/>
      <c r="AF233" s="405"/>
      <c r="AG233" s="405"/>
      <c r="AH233" s="405"/>
      <c r="AI233" s="405"/>
      <c r="AJ233" s="405"/>
      <c r="AK233" s="405"/>
      <c r="AL233" s="405"/>
      <c r="AM233" s="405"/>
      <c r="AN233" s="405"/>
      <c r="AO233" s="405"/>
      <c r="AP233" s="405"/>
      <c r="AQ233" s="405"/>
      <c r="AR233" s="405"/>
      <c r="AS233" s="405"/>
      <c r="AT233" s="405"/>
      <c r="AU233" s="405"/>
      <c r="AV233" s="405"/>
      <c r="AW233" s="405"/>
      <c r="AX233" s="405"/>
      <c r="AY233" s="405"/>
      <c r="AZ233" s="405"/>
      <c r="BA233" s="405"/>
      <c r="BB233" s="188"/>
    </row>
    <row r="234" spans="1:56" s="116" customFormat="1" ht="12.75" customHeight="1">
      <c r="A234" s="372"/>
      <c r="B234" s="231" t="s">
        <v>509</v>
      </c>
      <c r="C234" s="116">
        <v>578754.19087294699</v>
      </c>
      <c r="D234" s="116">
        <v>595559.84989307099</v>
      </c>
      <c r="E234" s="116">
        <v>608914.88861526898</v>
      </c>
      <c r="F234" s="116">
        <v>621184.82845888205</v>
      </c>
      <c r="G234" s="116">
        <v>635000</v>
      </c>
      <c r="H234" s="116">
        <f>I234*0.99</f>
        <v>399390.75</v>
      </c>
      <c r="I234" s="116">
        <f>J234*0.99</f>
        <v>403425</v>
      </c>
      <c r="J234" s="116">
        <f>326000*1.25</f>
        <v>407500</v>
      </c>
      <c r="K234" s="116">
        <f>326000*1.25</f>
        <v>407500</v>
      </c>
      <c r="L234" s="116">
        <f>575000*1.33</f>
        <v>764750</v>
      </c>
      <c r="M234" s="116">
        <f>L234*(1+M235)</f>
        <v>780045</v>
      </c>
      <c r="N234" s="116">
        <f>M234*(1+N235)</f>
        <v>795645.9</v>
      </c>
      <c r="O234" s="116">
        <f>(S234-N234)/4+N234</f>
        <v>799624.12950000004</v>
      </c>
      <c r="P234" s="116">
        <f>(S234-N234)/4+O234</f>
        <v>803602.35900000005</v>
      </c>
      <c r="Q234" s="116">
        <f>(S234-N234)/4+P234</f>
        <v>807580.58850000007</v>
      </c>
      <c r="R234" s="116">
        <f>(S234-N234)/4+Q234</f>
        <v>811558.81800000009</v>
      </c>
      <c r="S234" s="116">
        <f>N234*(1+S235)</f>
        <v>811558.81800000009</v>
      </c>
      <c r="T234" s="116">
        <f>(X234-S234)/4+S234</f>
        <v>815616.61209000007</v>
      </c>
      <c r="U234" s="116">
        <f>(X234-S234)/4+T234</f>
        <v>819674.40618000005</v>
      </c>
      <c r="V234" s="116">
        <f>(X234-S234)/4+U234</f>
        <v>823732.20027000003</v>
      </c>
      <c r="W234" s="116">
        <f>(X234-S234)/4+V234</f>
        <v>827789.99436000001</v>
      </c>
      <c r="X234" s="116">
        <f>S234*(1+X235)</f>
        <v>827789.99436000013</v>
      </c>
      <c r="Y234" s="116">
        <f>(AC234-X234)/4+X234</f>
        <v>831928.9443318001</v>
      </c>
      <c r="Z234" s="116">
        <f>(AC234-X234)/4+Y234</f>
        <v>836067.89430360007</v>
      </c>
      <c r="AA234" s="116">
        <f>(AC234-X234)/4+Z234</f>
        <v>840206.84427540004</v>
      </c>
      <c r="AB234" s="116">
        <f>(AC234-X234)/4+AA234</f>
        <v>844345.79424720001</v>
      </c>
      <c r="AC234" s="116">
        <f>X234*(1+AC235)</f>
        <v>844345.79424720013</v>
      </c>
      <c r="AD234" s="696">
        <f>(AH234-AC234)/4+AC234</f>
        <v>848567.52321843617</v>
      </c>
      <c r="AE234" s="696">
        <f>(AH234-AC234)/4+AD234</f>
        <v>852789.2521896722</v>
      </c>
      <c r="AF234" s="696">
        <f>(AH234-AC234)/4+AE234</f>
        <v>857010.98116090824</v>
      </c>
      <c r="AG234" s="696">
        <f>(AH234-AC234)/4+AF234</f>
        <v>861232.71013214428</v>
      </c>
      <c r="AH234" s="116">
        <f>AC234*(1+AH235)</f>
        <v>861232.71013214416</v>
      </c>
      <c r="AI234" s="696">
        <f>(AM234-AH234)/4+AH234</f>
        <v>865538.87368280487</v>
      </c>
      <c r="AJ234" s="696">
        <f>(AM234-AH234)/4+AI234</f>
        <v>869845.03723346558</v>
      </c>
      <c r="AK234" s="696">
        <f>(AM234-AH234)/4+AJ234</f>
        <v>874151.2007841263</v>
      </c>
      <c r="AL234" s="696">
        <f>(AM234-AH234)/4+AK234</f>
        <v>878457.36433478701</v>
      </c>
      <c r="AM234" s="116">
        <f>AH234*(1+AM235)</f>
        <v>878457.36433478701</v>
      </c>
      <c r="AN234" s="116">
        <f>AM234*(1+AN235)</f>
        <v>896026.51162148279</v>
      </c>
      <c r="AO234" s="116">
        <f>AN234*(1+AO235)</f>
        <v>913947.04185391241</v>
      </c>
      <c r="AP234" s="116">
        <f>AO234*(1+AP235)</f>
        <v>932225.98269099067</v>
      </c>
      <c r="AQ234" s="116">
        <f>AP234*(1+AQ235)</f>
        <v>950870.50234481052</v>
      </c>
      <c r="AR234" s="116">
        <f t="shared" ref="AR234:BA234" si="336">AQ234*(1+AR235)</f>
        <v>969887.91239170672</v>
      </c>
      <c r="AS234" s="116">
        <f t="shared" si="336"/>
        <v>989285.67063954088</v>
      </c>
      <c r="AT234" s="116">
        <f t="shared" si="336"/>
        <v>1009071.3840523317</v>
      </c>
      <c r="AU234" s="116">
        <f t="shared" si="336"/>
        <v>1029252.8117333783</v>
      </c>
      <c r="AV234" s="116">
        <f t="shared" si="336"/>
        <v>1049837.8679680459</v>
      </c>
      <c r="AW234" s="116">
        <f t="shared" si="336"/>
        <v>1070834.6253274069</v>
      </c>
      <c r="AX234" s="116">
        <f t="shared" si="336"/>
        <v>1092251.3178339552</v>
      </c>
      <c r="AY234" s="116">
        <f t="shared" si="336"/>
        <v>1114096.3441906343</v>
      </c>
      <c r="AZ234" s="116">
        <f t="shared" si="336"/>
        <v>1136378.2710744471</v>
      </c>
      <c r="BA234" s="116">
        <f t="shared" si="336"/>
        <v>1159105.8364959361</v>
      </c>
    </row>
    <row r="235" spans="1:56" s="252" customFormat="1" ht="12.75" customHeight="1">
      <c r="A235" s="426"/>
      <c r="B235" s="219" t="s">
        <v>427</v>
      </c>
      <c r="C235" s="217"/>
      <c r="D235" s="217">
        <f>D234/C234-1</f>
        <v>2.903764548948784E-2</v>
      </c>
      <c r="E235" s="217">
        <f>E234/D234-1</f>
        <v>2.2424343623224097E-2</v>
      </c>
      <c r="F235" s="217">
        <f>F234/E234-1</f>
        <v>2.0150500624998902E-2</v>
      </c>
      <c r="G235" s="217">
        <v>0.01</v>
      </c>
      <c r="H235" s="217">
        <v>0.01</v>
      </c>
      <c r="I235" s="217">
        <v>0.01</v>
      </c>
      <c r="J235" s="217">
        <v>0.01</v>
      </c>
      <c r="K235" s="217">
        <v>0.01</v>
      </c>
      <c r="L235" s="217">
        <v>0.01</v>
      </c>
      <c r="M235" s="217">
        <v>0.02</v>
      </c>
      <c r="N235" s="217">
        <v>0.02</v>
      </c>
      <c r="O235" s="217"/>
      <c r="P235" s="217"/>
      <c r="Q235" s="217"/>
      <c r="R235" s="217"/>
      <c r="S235" s="217">
        <v>0.02</v>
      </c>
      <c r="T235" s="217"/>
      <c r="U235" s="217"/>
      <c r="V235" s="217"/>
      <c r="W235" s="217"/>
      <c r="X235" s="217">
        <v>0.02</v>
      </c>
      <c r="Y235" s="217"/>
      <c r="Z235" s="217"/>
      <c r="AA235" s="217"/>
      <c r="AB235" s="217"/>
      <c r="AC235" s="217">
        <v>0.02</v>
      </c>
      <c r="AD235" s="217"/>
      <c r="AE235" s="217"/>
      <c r="AF235" s="217"/>
      <c r="AG235" s="217"/>
      <c r="AH235" s="217">
        <v>0.02</v>
      </c>
      <c r="AI235" s="217"/>
      <c r="AJ235" s="217"/>
      <c r="AK235" s="217"/>
      <c r="AL235" s="217"/>
      <c r="AM235" s="217">
        <v>0.02</v>
      </c>
      <c r="AN235" s="217">
        <v>0.02</v>
      </c>
      <c r="AO235" s="217">
        <v>0.02</v>
      </c>
      <c r="AP235" s="217">
        <v>0.02</v>
      </c>
      <c r="AQ235" s="217">
        <v>0.02</v>
      </c>
      <c r="AR235" s="217">
        <v>0.02</v>
      </c>
      <c r="AS235" s="217">
        <v>0.02</v>
      </c>
      <c r="AT235" s="217">
        <v>0.02</v>
      </c>
      <c r="AU235" s="217">
        <v>0.02</v>
      </c>
      <c r="AV235" s="217">
        <v>0.02</v>
      </c>
      <c r="AW235" s="217">
        <v>0.02</v>
      </c>
      <c r="AX235" s="217">
        <v>0.02</v>
      </c>
      <c r="AY235" s="217">
        <v>0.02</v>
      </c>
      <c r="AZ235" s="217">
        <v>0.02</v>
      </c>
      <c r="BA235" s="217">
        <v>0.02</v>
      </c>
      <c r="BB235" s="217"/>
    </row>
    <row r="236" spans="1:56" s="252" customFormat="1" ht="12.75" customHeight="1">
      <c r="A236" s="426"/>
      <c r="B236" s="219"/>
      <c r="C236" s="217"/>
      <c r="D236" s="217"/>
      <c r="E236" s="217"/>
      <c r="F236" s="217"/>
      <c r="G236" s="217"/>
      <c r="H236" s="217"/>
      <c r="I236" s="217"/>
      <c r="J236" s="217"/>
      <c r="K236" s="217"/>
      <c r="L236" s="217"/>
      <c r="M236" s="217"/>
      <c r="N236" s="217"/>
      <c r="O236" s="217"/>
      <c r="P236" s="217"/>
      <c r="Q236" s="217"/>
      <c r="R236" s="217"/>
      <c r="S236" s="217"/>
      <c r="T236" s="217"/>
      <c r="U236" s="217"/>
      <c r="V236" s="217"/>
      <c r="W236" s="217"/>
      <c r="X236" s="217"/>
      <c r="Y236" s="217"/>
      <c r="Z236" s="217"/>
      <c r="AA236" s="217"/>
      <c r="AB236" s="217"/>
      <c r="AC236" s="217"/>
      <c r="AD236" s="217"/>
      <c r="AE236" s="217"/>
      <c r="AF236" s="217"/>
      <c r="AG236" s="217"/>
      <c r="AH236" s="217"/>
      <c r="AI236" s="217"/>
      <c r="AJ236" s="217"/>
      <c r="AK236" s="217"/>
      <c r="AL236" s="217"/>
      <c r="AM236" s="217"/>
      <c r="AN236" s="217"/>
      <c r="AO236" s="217"/>
      <c r="AP236" s="217"/>
      <c r="AQ236" s="217"/>
      <c r="AR236" s="217"/>
      <c r="AS236" s="217"/>
      <c r="AT236" s="217"/>
      <c r="AU236" s="217"/>
      <c r="AV236" s="217"/>
      <c r="AW236" s="217"/>
      <c r="AX236" s="217"/>
      <c r="AY236" s="217"/>
      <c r="AZ236" s="217"/>
      <c r="BA236" s="217"/>
      <c r="BB236" s="217"/>
    </row>
    <row r="237" spans="1:56" s="116" customFormat="1" ht="12.75" customHeight="1">
      <c r="A237" s="372"/>
      <c r="B237" s="231" t="s">
        <v>432</v>
      </c>
      <c r="C237" s="116">
        <f>C234*C241</f>
        <v>219926.59253171986</v>
      </c>
      <c r="D237" s="116">
        <f t="shared" ref="D237:AP237" si="337">D234*D241</f>
        <v>232268.34145829768</v>
      </c>
      <c r="E237" s="116">
        <f t="shared" si="337"/>
        <v>242043.66822456944</v>
      </c>
      <c r="F237" s="116">
        <f t="shared" si="337"/>
        <v>249095.11621201172</v>
      </c>
      <c r="G237" s="116">
        <f t="shared" si="337"/>
        <v>260349.99999999997</v>
      </c>
      <c r="H237" s="116">
        <f t="shared" si="337"/>
        <v>299543.0625</v>
      </c>
      <c r="I237" s="116">
        <f t="shared" si="337"/>
        <v>310637.25</v>
      </c>
      <c r="J237" s="116">
        <f t="shared" si="337"/>
        <v>317850</v>
      </c>
      <c r="K237" s="116">
        <f t="shared" si="337"/>
        <v>309700</v>
      </c>
      <c r="L237" s="116">
        <f t="shared" si="337"/>
        <v>347961.25</v>
      </c>
      <c r="M237" s="116">
        <f t="shared" si="337"/>
        <v>366621.14999999997</v>
      </c>
      <c r="N237" s="116">
        <f t="shared" si="337"/>
        <v>381910.03200000001</v>
      </c>
      <c r="O237" s="116">
        <f t="shared" si="337"/>
        <v>383819.58215999999</v>
      </c>
      <c r="P237" s="116">
        <f t="shared" si="337"/>
        <v>385729.13232000003</v>
      </c>
      <c r="Q237" s="116">
        <f t="shared" si="337"/>
        <v>387638.68248000002</v>
      </c>
      <c r="R237" s="116">
        <f t="shared" si="337"/>
        <v>389548.23264</v>
      </c>
      <c r="S237" s="116">
        <f t="shared" si="337"/>
        <v>389548.23264</v>
      </c>
      <c r="T237" s="116">
        <f>T234*T241</f>
        <v>391495.9738032</v>
      </c>
      <c r="U237" s="116">
        <f>U234*U241</f>
        <v>393443.7149664</v>
      </c>
      <c r="V237" s="116">
        <f>V234*V241</f>
        <v>395391.4561296</v>
      </c>
      <c r="W237" s="116">
        <f>W234*W241</f>
        <v>397339.1972928</v>
      </c>
      <c r="X237" s="116">
        <f t="shared" si="337"/>
        <v>397339.19729280006</v>
      </c>
      <c r="Y237" s="116">
        <f>Y234*Y241</f>
        <v>399325.89327926404</v>
      </c>
      <c r="Z237" s="116">
        <f>Z234*Z241</f>
        <v>401312.58926572802</v>
      </c>
      <c r="AA237" s="116">
        <f>AA234*AA241</f>
        <v>403299.285252192</v>
      </c>
      <c r="AB237" s="116">
        <f>AB234*AB241</f>
        <v>405285.98123865598</v>
      </c>
      <c r="AC237" s="116">
        <f t="shared" si="337"/>
        <v>409507.71020989207</v>
      </c>
      <c r="AD237" s="696">
        <f>(AH237-AC237)/4+AC237</f>
        <v>412631.78964860673</v>
      </c>
      <c r="AE237" s="696">
        <f>(AH237-AC237)/4+AD237</f>
        <v>415755.86908732139</v>
      </c>
      <c r="AF237" s="696">
        <f>(AH237-AC237)/4+AE237</f>
        <v>418879.94852603605</v>
      </c>
      <c r="AG237" s="696">
        <f>(AH237-AC237)/4+AF237</f>
        <v>422004.02796475071</v>
      </c>
      <c r="AH237" s="116">
        <f t="shared" si="337"/>
        <v>422004.02796475065</v>
      </c>
      <c r="AI237" s="696">
        <f>(AM237-AH237)/4+AH237</f>
        <v>425190.15837588452</v>
      </c>
      <c r="AJ237" s="696">
        <f>(AM237-AH237)/4+AI237</f>
        <v>428376.28878701839</v>
      </c>
      <c r="AK237" s="696">
        <f>(AM237-AH237)/4+AJ237</f>
        <v>431562.41919815226</v>
      </c>
      <c r="AL237" s="696">
        <f>(AM237-AH237)/4+AK237</f>
        <v>434748.54960928613</v>
      </c>
      <c r="AM237" s="116">
        <f t="shared" si="337"/>
        <v>434748.54960928607</v>
      </c>
      <c r="AN237" s="116">
        <f t="shared" si="337"/>
        <v>447877.95580748655</v>
      </c>
      <c r="AO237" s="116">
        <f t="shared" si="337"/>
        <v>461403.87007287261</v>
      </c>
      <c r="AP237" s="116">
        <f t="shared" si="337"/>
        <v>475338.26694907341</v>
      </c>
      <c r="AQ237" s="116">
        <f>AQ234*AQ241</f>
        <v>489693.4826109354</v>
      </c>
      <c r="AR237" s="116">
        <f t="shared" ref="AR237:BA237" si="338">AR234*AR241</f>
        <v>504482.2257857857</v>
      </c>
      <c r="AS237" s="116">
        <f t="shared" si="338"/>
        <v>519717.58900451649</v>
      </c>
      <c r="AT237" s="116">
        <f t="shared" si="338"/>
        <v>535413.06019245286</v>
      </c>
      <c r="AU237" s="116">
        <f t="shared" si="338"/>
        <v>551582.53461026493</v>
      </c>
      <c r="AV237" s="116">
        <f t="shared" si="338"/>
        <v>568240.32715549495</v>
      </c>
      <c r="AW237" s="116">
        <f t="shared" si="338"/>
        <v>585401.18503559101</v>
      </c>
      <c r="AX237" s="116">
        <f t="shared" si="338"/>
        <v>603080.30082366604</v>
      </c>
      <c r="AY237" s="116">
        <f t="shared" si="338"/>
        <v>621293.32590854075</v>
      </c>
      <c r="AZ237" s="116">
        <f t="shared" si="338"/>
        <v>640056.38435097877</v>
      </c>
      <c r="BA237" s="116">
        <f t="shared" si="338"/>
        <v>659386.08715837845</v>
      </c>
    </row>
    <row r="238" spans="1:56" s="116" customFormat="1" ht="12.75" hidden="1" customHeight="1" outlineLevel="1">
      <c r="A238" s="427"/>
      <c r="B238" s="428" t="s">
        <v>423</v>
      </c>
      <c r="C238" s="429"/>
      <c r="D238" s="429"/>
      <c r="E238" s="429"/>
      <c r="F238" s="429"/>
      <c r="G238" s="429"/>
      <c r="H238" s="429"/>
      <c r="I238" s="429"/>
      <c r="J238" s="429"/>
      <c r="K238" s="429"/>
      <c r="L238" s="429"/>
      <c r="M238" s="429"/>
      <c r="N238" s="429"/>
      <c r="O238" s="429"/>
      <c r="P238" s="429"/>
      <c r="Q238" s="429"/>
      <c r="R238" s="429"/>
      <c r="S238" s="429"/>
      <c r="T238" s="429"/>
      <c r="U238" s="429"/>
      <c r="V238" s="429"/>
      <c r="W238" s="429"/>
      <c r="X238" s="429"/>
      <c r="Y238" s="429"/>
      <c r="Z238" s="429"/>
      <c r="AA238" s="429"/>
      <c r="AB238" s="429"/>
      <c r="AC238" s="430"/>
      <c r="AD238" s="378"/>
      <c r="AE238" s="378"/>
      <c r="AF238" s="378"/>
      <c r="AG238" s="378"/>
      <c r="AH238" s="430"/>
      <c r="AI238" s="378"/>
      <c r="AJ238" s="378"/>
      <c r="AK238" s="378"/>
      <c r="AL238" s="378"/>
      <c r="AM238" s="430">
        <f>AH241*1.02</f>
        <v>0.49980000000000002</v>
      </c>
      <c r="AN238" s="430">
        <f t="shared" ref="AN238:BA238" si="339">AM238*1.02</f>
        <v>0.50979600000000003</v>
      </c>
      <c r="AO238" s="430">
        <f t="shared" si="339"/>
        <v>0.51999192000000005</v>
      </c>
      <c r="AP238" s="430">
        <f t="shared" si="339"/>
        <v>0.53039175840000008</v>
      </c>
      <c r="AQ238" s="430">
        <f t="shared" si="339"/>
        <v>0.54099959356800009</v>
      </c>
      <c r="AR238" s="430">
        <f t="shared" si="339"/>
        <v>0.55181958543936005</v>
      </c>
      <c r="AS238" s="430">
        <f t="shared" si="339"/>
        <v>0.56285597714814728</v>
      </c>
      <c r="AT238" s="430">
        <f t="shared" si="339"/>
        <v>0.57411309669111021</v>
      </c>
      <c r="AU238" s="430">
        <f t="shared" si="339"/>
        <v>0.58559535862493239</v>
      </c>
      <c r="AV238" s="430">
        <f t="shared" si="339"/>
        <v>0.5973072657974311</v>
      </c>
      <c r="AW238" s="430">
        <f t="shared" si="339"/>
        <v>0.60925341111337972</v>
      </c>
      <c r="AX238" s="430">
        <f t="shared" si="339"/>
        <v>0.62143847933564733</v>
      </c>
      <c r="AY238" s="430">
        <f t="shared" si="339"/>
        <v>0.63386724892236024</v>
      </c>
      <c r="AZ238" s="430">
        <f t="shared" si="339"/>
        <v>0.64654459390080743</v>
      </c>
      <c r="BA238" s="430">
        <f t="shared" si="339"/>
        <v>0.65947548577882364</v>
      </c>
    </row>
    <row r="239" spans="1:56" s="116" customFormat="1" ht="12.75" hidden="1" customHeight="1" outlineLevel="1">
      <c r="A239" s="427"/>
      <c r="B239" s="428" t="s">
        <v>424</v>
      </c>
      <c r="C239" s="429"/>
      <c r="D239" s="429"/>
      <c r="E239" s="429"/>
      <c r="F239" s="429"/>
      <c r="G239" s="429"/>
      <c r="H239" s="429"/>
      <c r="I239" s="429"/>
      <c r="J239" s="429"/>
      <c r="K239" s="429"/>
      <c r="L239" s="429"/>
      <c r="M239" s="429"/>
      <c r="N239" s="429"/>
      <c r="O239" s="429"/>
      <c r="P239" s="429"/>
      <c r="Q239" s="429"/>
      <c r="R239" s="429"/>
      <c r="S239" s="429"/>
      <c r="T239" s="429"/>
      <c r="U239" s="429"/>
      <c r="V239" s="429"/>
      <c r="W239" s="429"/>
      <c r="X239" s="429"/>
      <c r="Y239" s="429"/>
      <c r="Z239" s="429"/>
      <c r="AA239" s="429"/>
      <c r="AB239" s="429"/>
      <c r="AC239" s="430"/>
      <c r="AD239" s="378"/>
      <c r="AE239" s="378"/>
      <c r="AF239" s="378"/>
      <c r="AG239" s="378"/>
      <c r="AH239" s="431"/>
      <c r="AI239" s="378"/>
      <c r="AJ239" s="378"/>
      <c r="AK239" s="378"/>
      <c r="AL239" s="378"/>
      <c r="AM239" s="431">
        <f>AH241*1.01</f>
        <v>0.49490000000000001</v>
      </c>
      <c r="AN239" s="431">
        <f>AM239*1.01</f>
        <v>0.49984899999999999</v>
      </c>
      <c r="AO239" s="431">
        <f>AN239*1.01</f>
        <v>0.50484748999999995</v>
      </c>
      <c r="AP239" s="431">
        <f>AO239*1.01</f>
        <v>0.5098959649</v>
      </c>
      <c r="AQ239" s="431">
        <f>AP239*1.01</f>
        <v>0.51499492454899998</v>
      </c>
      <c r="AR239" s="431">
        <f t="shared" ref="AR239:BA239" si="340">AQ239*1.01</f>
        <v>0.52014487379449004</v>
      </c>
      <c r="AS239" s="431">
        <f t="shared" si="340"/>
        <v>0.52534632253243496</v>
      </c>
      <c r="AT239" s="431">
        <f t="shared" si="340"/>
        <v>0.53059978575775935</v>
      </c>
      <c r="AU239" s="431">
        <f t="shared" si="340"/>
        <v>0.53590578361533692</v>
      </c>
      <c r="AV239" s="431">
        <f t="shared" si="340"/>
        <v>0.54126484145149034</v>
      </c>
      <c r="AW239" s="431">
        <f t="shared" si="340"/>
        <v>0.54667748986600528</v>
      </c>
      <c r="AX239" s="431">
        <f t="shared" si="340"/>
        <v>0.55214426476466538</v>
      </c>
      <c r="AY239" s="431">
        <f t="shared" si="340"/>
        <v>0.55766570741231203</v>
      </c>
      <c r="AZ239" s="431">
        <f t="shared" si="340"/>
        <v>0.56324236448643517</v>
      </c>
      <c r="BA239" s="431">
        <f t="shared" si="340"/>
        <v>0.56887478813129955</v>
      </c>
    </row>
    <row r="240" spans="1:56" s="116" customFormat="1" ht="12.75" hidden="1" customHeight="1" outlineLevel="1">
      <c r="A240" s="427"/>
      <c r="B240" s="428" t="s">
        <v>425</v>
      </c>
      <c r="C240" s="429"/>
      <c r="D240" s="429"/>
      <c r="E240" s="429"/>
      <c r="F240" s="429"/>
      <c r="G240" s="429"/>
      <c r="H240" s="429"/>
      <c r="I240" s="429"/>
      <c r="J240" s="429"/>
      <c r="K240" s="429"/>
      <c r="L240" s="429"/>
      <c r="M240" s="429"/>
      <c r="N240" s="429"/>
      <c r="O240" s="429"/>
      <c r="P240" s="429"/>
      <c r="Q240" s="429"/>
      <c r="R240" s="429"/>
      <c r="S240" s="429"/>
      <c r="T240" s="429"/>
      <c r="U240" s="429"/>
      <c r="V240" s="429"/>
      <c r="W240" s="429"/>
      <c r="X240" s="429"/>
      <c r="Y240" s="429"/>
      <c r="Z240" s="429"/>
      <c r="AA240" s="429"/>
      <c r="AB240" s="429"/>
      <c r="AC240" s="430"/>
      <c r="AD240" s="378"/>
      <c r="AE240" s="378"/>
      <c r="AF240" s="378"/>
      <c r="AG240" s="378"/>
      <c r="AH240" s="431"/>
      <c r="AI240" s="378"/>
      <c r="AJ240" s="378"/>
      <c r="AK240" s="378"/>
      <c r="AL240" s="378"/>
      <c r="AM240" s="431">
        <f>AH241</f>
        <v>0.49</v>
      </c>
      <c r="AN240" s="431">
        <f t="shared" ref="AN240:BA240" si="341">AM240</f>
        <v>0.49</v>
      </c>
      <c r="AO240" s="431">
        <f t="shared" si="341"/>
        <v>0.49</v>
      </c>
      <c r="AP240" s="431">
        <f t="shared" si="341"/>
        <v>0.49</v>
      </c>
      <c r="AQ240" s="431">
        <f t="shared" si="341"/>
        <v>0.49</v>
      </c>
      <c r="AR240" s="431">
        <f t="shared" si="341"/>
        <v>0.49</v>
      </c>
      <c r="AS240" s="431">
        <f t="shared" si="341"/>
        <v>0.49</v>
      </c>
      <c r="AT240" s="431">
        <f t="shared" si="341"/>
        <v>0.49</v>
      </c>
      <c r="AU240" s="431">
        <f t="shared" si="341"/>
        <v>0.49</v>
      </c>
      <c r="AV240" s="431">
        <f t="shared" si="341"/>
        <v>0.49</v>
      </c>
      <c r="AW240" s="431">
        <f t="shared" si="341"/>
        <v>0.49</v>
      </c>
      <c r="AX240" s="431">
        <f t="shared" si="341"/>
        <v>0.49</v>
      </c>
      <c r="AY240" s="431">
        <f t="shared" si="341"/>
        <v>0.49</v>
      </c>
      <c r="AZ240" s="431">
        <f t="shared" si="341"/>
        <v>0.49</v>
      </c>
      <c r="BA240" s="431">
        <f t="shared" si="341"/>
        <v>0.49</v>
      </c>
    </row>
    <row r="241" spans="1:54" s="252" customFormat="1" ht="12.75" customHeight="1" collapsed="1">
      <c r="A241" s="379" t="s">
        <v>578</v>
      </c>
      <c r="B241" s="432" t="s">
        <v>433</v>
      </c>
      <c r="C241" s="431">
        <v>0.38</v>
      </c>
      <c r="D241" s="431">
        <v>0.39</v>
      </c>
      <c r="E241" s="431">
        <v>0.39750000000000002</v>
      </c>
      <c r="F241" s="431">
        <v>0.40100000000000002</v>
      </c>
      <c r="G241" s="431">
        <v>0.41</v>
      </c>
      <c r="H241" s="431">
        <v>0.75</v>
      </c>
      <c r="I241" s="431">
        <v>0.77</v>
      </c>
      <c r="J241" s="431">
        <v>0.78</v>
      </c>
      <c r="K241" s="431">
        <v>0.76</v>
      </c>
      <c r="L241" s="431">
        <v>0.45500000000000002</v>
      </c>
      <c r="M241" s="431">
        <v>0.47</v>
      </c>
      <c r="N241" s="431">
        <v>0.48</v>
      </c>
      <c r="O241" s="431">
        <f>S241</f>
        <v>0.48</v>
      </c>
      <c r="P241" s="431">
        <f>O241</f>
        <v>0.48</v>
      </c>
      <c r="Q241" s="431">
        <f>P241</f>
        <v>0.48</v>
      </c>
      <c r="R241" s="431">
        <f>Q241</f>
        <v>0.48</v>
      </c>
      <c r="S241" s="431">
        <f>N241</f>
        <v>0.48</v>
      </c>
      <c r="T241" s="431">
        <f>S241</f>
        <v>0.48</v>
      </c>
      <c r="U241" s="431">
        <f>T241</f>
        <v>0.48</v>
      </c>
      <c r="V241" s="431">
        <f>U241</f>
        <v>0.48</v>
      </c>
      <c r="W241" s="431">
        <f>V241</f>
        <v>0.48</v>
      </c>
      <c r="X241" s="431">
        <f>S241</f>
        <v>0.48</v>
      </c>
      <c r="Y241" s="431">
        <f>X241</f>
        <v>0.48</v>
      </c>
      <c r="Z241" s="431">
        <f>Y241</f>
        <v>0.48</v>
      </c>
      <c r="AA241" s="431">
        <f>Z241</f>
        <v>0.48</v>
      </c>
      <c r="AB241" s="431">
        <f>AA241</f>
        <v>0.48</v>
      </c>
      <c r="AC241" s="736">
        <v>0.48499999999999999</v>
      </c>
      <c r="AD241" s="715">
        <f>AD237/AD234</f>
        <v>0.48626865671641795</v>
      </c>
      <c r="AE241" s="715">
        <f>AE237/AE234</f>
        <v>0.48752475247524751</v>
      </c>
      <c r="AF241" s="715">
        <f>AF237/AF234</f>
        <v>0.48876847290640396</v>
      </c>
      <c r="AG241" s="715">
        <f>AG237/AG234</f>
        <v>0.49000000000000005</v>
      </c>
      <c r="AH241" s="736">
        <v>0.49</v>
      </c>
      <c r="AI241" s="715">
        <f>AI237/AI234</f>
        <v>0.49124328358208957</v>
      </c>
      <c r="AJ241" s="715">
        <f>AJ237/AJ234</f>
        <v>0.49247425742574258</v>
      </c>
      <c r="AK241" s="715">
        <f>AK237/AK234</f>
        <v>0.49369310344827588</v>
      </c>
      <c r="AL241" s="715">
        <f>AL237/AL234</f>
        <v>0.49490000000000006</v>
      </c>
      <c r="AM241" s="383">
        <f t="shared" ref="AM241:BA241" si="342">CHOOSE($U$1,AM238,AM239,AM240)</f>
        <v>0.49490000000000001</v>
      </c>
      <c r="AN241" s="383">
        <f t="shared" si="342"/>
        <v>0.49984899999999999</v>
      </c>
      <c r="AO241" s="383">
        <f t="shared" si="342"/>
        <v>0.50484748999999995</v>
      </c>
      <c r="AP241" s="383">
        <f t="shared" si="342"/>
        <v>0.5098959649</v>
      </c>
      <c r="AQ241" s="383">
        <f t="shared" si="342"/>
        <v>0.51499492454899998</v>
      </c>
      <c r="AR241" s="383">
        <f t="shared" si="342"/>
        <v>0.52014487379449004</v>
      </c>
      <c r="AS241" s="383">
        <f t="shared" si="342"/>
        <v>0.52534632253243496</v>
      </c>
      <c r="AT241" s="383">
        <f t="shared" si="342"/>
        <v>0.53059978575775935</v>
      </c>
      <c r="AU241" s="383">
        <f t="shared" si="342"/>
        <v>0.53590578361533692</v>
      </c>
      <c r="AV241" s="383">
        <f t="shared" si="342"/>
        <v>0.54126484145149034</v>
      </c>
      <c r="AW241" s="383">
        <f t="shared" si="342"/>
        <v>0.54667748986600528</v>
      </c>
      <c r="AX241" s="383">
        <f t="shared" si="342"/>
        <v>0.55214426476466538</v>
      </c>
      <c r="AY241" s="383">
        <f t="shared" si="342"/>
        <v>0.55766570741231203</v>
      </c>
      <c r="AZ241" s="383">
        <f t="shared" si="342"/>
        <v>0.56324236448643517</v>
      </c>
      <c r="BA241" s="383">
        <f t="shared" si="342"/>
        <v>0.56887478813129955</v>
      </c>
      <c r="BB241" s="222"/>
    </row>
    <row r="242" spans="1:54" s="252" customFormat="1" ht="12.75" customHeight="1">
      <c r="A242" s="426"/>
      <c r="B242" s="216"/>
      <c r="C242" s="222"/>
      <c r="D242" s="222"/>
      <c r="E242" s="222"/>
      <c r="F242" s="222"/>
      <c r="G242" s="222"/>
      <c r="H242" s="222"/>
      <c r="I242" s="222"/>
      <c r="J242" s="222"/>
      <c r="K242" s="222"/>
      <c r="L242" s="222"/>
      <c r="M242" s="222"/>
      <c r="N242" s="222"/>
      <c r="O242" s="222"/>
      <c r="P242" s="222"/>
      <c r="Q242" s="222"/>
      <c r="R242" s="222"/>
      <c r="S242" s="222"/>
      <c r="T242" s="222"/>
      <c r="U242" s="222"/>
      <c r="V242" s="222"/>
      <c r="W242" s="222"/>
      <c r="X242" s="222"/>
      <c r="Y242" s="222"/>
      <c r="Z242" s="222"/>
      <c r="AA242" s="222"/>
      <c r="AB242" s="222"/>
      <c r="AC242" s="222"/>
      <c r="AD242" s="222"/>
      <c r="AE242" s="222"/>
      <c r="AF242" s="222"/>
      <c r="AG242" s="222"/>
      <c r="AH242" s="222"/>
      <c r="AI242" s="222"/>
      <c r="AJ242" s="222"/>
      <c r="AK242" s="222"/>
      <c r="AL242" s="222"/>
      <c r="AM242" s="222"/>
      <c r="AN242" s="222"/>
      <c r="AO242" s="222"/>
      <c r="AP242" s="222"/>
      <c r="AQ242" s="222"/>
      <c r="AR242" s="222"/>
      <c r="AS242" s="222"/>
      <c r="AT242" s="222"/>
      <c r="AU242" s="222"/>
      <c r="AV242" s="222"/>
      <c r="AW242" s="222"/>
      <c r="AX242" s="222"/>
      <c r="AY242" s="222"/>
      <c r="AZ242" s="222"/>
      <c r="BA242" s="222"/>
      <c r="BB242" s="222"/>
    </row>
    <row r="243" spans="1:54" s="116" customFormat="1" ht="12.75" customHeight="1">
      <c r="A243" s="372"/>
      <c r="B243" s="231" t="s">
        <v>448</v>
      </c>
      <c r="C243" s="116">
        <f t="shared" ref="C243:AP243" si="343">C237*C245</f>
        <v>191336.13550259627</v>
      </c>
      <c r="D243" s="116">
        <f t="shared" si="343"/>
        <v>203234.79877601046</v>
      </c>
      <c r="E243" s="116">
        <f t="shared" si="343"/>
        <v>212998.42803762111</v>
      </c>
      <c r="F243" s="116">
        <f t="shared" si="343"/>
        <v>220449.17784763037</v>
      </c>
      <c r="G243" s="116">
        <f t="shared" si="343"/>
        <v>231711.49999999997</v>
      </c>
      <c r="H243" s="116">
        <f t="shared" si="343"/>
        <v>268091.04093750002</v>
      </c>
      <c r="I243" s="116">
        <f t="shared" si="343"/>
        <v>279573.52500000002</v>
      </c>
      <c r="J243" s="116">
        <f t="shared" si="343"/>
        <v>287654.25</v>
      </c>
      <c r="K243" s="116">
        <f t="shared" si="343"/>
        <v>281827</v>
      </c>
      <c r="L243" s="116">
        <f t="shared" si="343"/>
        <v>318036.58250000002</v>
      </c>
      <c r="M243" s="116">
        <f t="shared" si="343"/>
        <v>335091.73109999998</v>
      </c>
      <c r="N243" s="116">
        <f t="shared" si="343"/>
        <v>350586.09857222473</v>
      </c>
      <c r="O243" s="116">
        <f>O237*O245</f>
        <v>352530.9388561658</v>
      </c>
      <c r="P243" s="116">
        <f>P237*P245</f>
        <v>354284.82412410696</v>
      </c>
      <c r="Q243" s="116">
        <f>Q237*Q245</f>
        <v>356038.70939204807</v>
      </c>
      <c r="R243" s="116">
        <f>R237*R245</f>
        <v>357792.59465998918</v>
      </c>
      <c r="S243" s="116">
        <f t="shared" si="343"/>
        <v>357792.59465998918</v>
      </c>
      <c r="T243" s="116">
        <f t="shared" si="343"/>
        <v>359777.30562019075</v>
      </c>
      <c r="U243" s="116">
        <f t="shared" si="343"/>
        <v>361567.2424640723</v>
      </c>
      <c r="V243" s="116">
        <f t="shared" si="343"/>
        <v>363357.17930795386</v>
      </c>
      <c r="W243" s="116">
        <f t="shared" si="343"/>
        <v>365147.11615183542</v>
      </c>
      <c r="X243" s="116">
        <f t="shared" si="343"/>
        <v>365147.11615183548</v>
      </c>
      <c r="Y243" s="116">
        <f>Y237*Y245</f>
        <v>367172.51467923424</v>
      </c>
      <c r="Z243" s="116">
        <f>Z237*Z245</f>
        <v>368999.2436079866</v>
      </c>
      <c r="AA243" s="116">
        <f>AA237*AA245</f>
        <v>370825.97253673902</v>
      </c>
      <c r="AB243" s="116">
        <f>AB237*AB245</f>
        <v>372652.70146549138</v>
      </c>
      <c r="AC243" s="116">
        <f t="shared" si="343"/>
        <v>376534.50043909036</v>
      </c>
      <c r="AD243" s="696">
        <f t="shared" si="343"/>
        <v>379613.34757437784</v>
      </c>
      <c r="AE243" s="696">
        <f t="shared" si="343"/>
        <v>382487.44085456041</v>
      </c>
      <c r="AF243" s="696">
        <f t="shared" si="343"/>
        <v>385361.53413474292</v>
      </c>
      <c r="AG243" s="696">
        <f t="shared" si="343"/>
        <v>388235.62741492549</v>
      </c>
      <c r="AH243" s="116">
        <f t="shared" si="343"/>
        <v>388235.62741492543</v>
      </c>
      <c r="AI243" s="696">
        <f t="shared" ref="AI243:AL243" si="344">AI237*AI245</f>
        <v>391379.40148109605</v>
      </c>
      <c r="AJ243" s="696">
        <f t="shared" si="344"/>
        <v>394312.17353328428</v>
      </c>
      <c r="AK243" s="696">
        <f t="shared" si="344"/>
        <v>397244.94558547257</v>
      </c>
      <c r="AL243" s="696">
        <f t="shared" si="344"/>
        <v>400177.7176376608</v>
      </c>
      <c r="AM243" s="116">
        <f t="shared" si="343"/>
        <v>400177.71763766074</v>
      </c>
      <c r="AN243" s="116">
        <f t="shared" si="343"/>
        <v>412487.02368822187</v>
      </c>
      <c r="AO243" s="116">
        <f t="shared" si="343"/>
        <v>425174.83373864257</v>
      </c>
      <c r="AP243" s="116">
        <f t="shared" si="343"/>
        <v>438252.78285102418</v>
      </c>
      <c r="AQ243" s="116">
        <f>AQ237*AQ245</f>
        <v>451732.86363443057</v>
      </c>
      <c r="AR243" s="116">
        <f t="shared" ref="AR243:BA243" si="345">AR237*AR245</f>
        <v>465627.43722908333</v>
      </c>
      <c r="AS243" s="116">
        <f t="shared" si="345"/>
        <v>479949.24462790391</v>
      </c>
      <c r="AT243" s="116">
        <f t="shared" si="345"/>
        <v>494711.41834576282</v>
      </c>
      <c r="AU243" s="116">
        <f t="shared" si="345"/>
        <v>509927.49444710999</v>
      </c>
      <c r="AV243" s="116">
        <f t="shared" si="345"/>
        <v>525611.42494299053</v>
      </c>
      <c r="AW243" s="116">
        <f t="shared" si="345"/>
        <v>541777.59056878672</v>
      </c>
      <c r="AX243" s="116">
        <f t="shared" si="345"/>
        <v>558440.81395437603</v>
      </c>
      <c r="AY243" s="116">
        <f t="shared" si="345"/>
        <v>575616.37319875241</v>
      </c>
      <c r="AZ243" s="116">
        <f t="shared" si="345"/>
        <v>593320.01586153044</v>
      </c>
      <c r="BA243" s="116">
        <f t="shared" si="345"/>
        <v>611567.97338412784</v>
      </c>
    </row>
    <row r="244" spans="1:54" s="116" customFormat="1" ht="12.75" customHeight="1">
      <c r="A244" s="372"/>
      <c r="B244" s="231" t="s">
        <v>449</v>
      </c>
      <c r="C244" s="116">
        <f t="shared" ref="C244:AP244" si="346">C237*C246</f>
        <v>28590.457029123583</v>
      </c>
      <c r="D244" s="116">
        <f t="shared" si="346"/>
        <v>29033.54268228721</v>
      </c>
      <c r="E244" s="116">
        <f t="shared" si="346"/>
        <v>29045.240186948333</v>
      </c>
      <c r="F244" s="116">
        <f t="shared" si="346"/>
        <v>28645.938364381345</v>
      </c>
      <c r="G244" s="116">
        <f t="shared" si="346"/>
        <v>28638.499999999993</v>
      </c>
      <c r="H244" s="116">
        <f t="shared" si="346"/>
        <v>38341.512000000002</v>
      </c>
      <c r="I244" s="116">
        <f t="shared" si="346"/>
        <v>31063.724999999995</v>
      </c>
      <c r="J244" s="116">
        <f t="shared" si="346"/>
        <v>30195.749999999993</v>
      </c>
      <c r="K244" s="116">
        <f t="shared" si="346"/>
        <v>27872.999999999989</v>
      </c>
      <c r="L244" s="116">
        <f t="shared" si="346"/>
        <v>29924.667499999996</v>
      </c>
      <c r="M244" s="116">
        <f t="shared" si="346"/>
        <v>31529.418899999993</v>
      </c>
      <c r="N244" s="116">
        <f t="shared" si="346"/>
        <v>31323.933427775279</v>
      </c>
      <c r="O244" s="116">
        <f>O237*O246</f>
        <v>31288.643303834157</v>
      </c>
      <c r="P244" s="116">
        <f>P237*P246</f>
        <v>31444.308195893034</v>
      </c>
      <c r="Q244" s="116">
        <f>Q237*Q246</f>
        <v>31599.973087951908</v>
      </c>
      <c r="R244" s="116">
        <f>R237*R246</f>
        <v>31755.637980010786</v>
      </c>
      <c r="S244" s="116">
        <f t="shared" si="346"/>
        <v>31755.637980010786</v>
      </c>
      <c r="T244" s="116">
        <f t="shared" si="346"/>
        <v>31718.668183009238</v>
      </c>
      <c r="U244" s="116">
        <f t="shared" si="346"/>
        <v>31876.472502327691</v>
      </c>
      <c r="V244" s="116">
        <f t="shared" si="346"/>
        <v>32034.276821646148</v>
      </c>
      <c r="W244" s="116">
        <f t="shared" si="346"/>
        <v>32192.081140964601</v>
      </c>
      <c r="X244" s="116">
        <f t="shared" si="346"/>
        <v>32192.081140964605</v>
      </c>
      <c r="Y244" s="116">
        <f>Y237*Y246</f>
        <v>32153.378600029795</v>
      </c>
      <c r="Z244" s="116">
        <f>Z237*Z246</f>
        <v>32313.345657741385</v>
      </c>
      <c r="AA244" s="116">
        <f>AA237*AA246</f>
        <v>32473.312715452972</v>
      </c>
      <c r="AB244" s="116">
        <f>AB237*AB246</f>
        <v>32633.279773164562</v>
      </c>
      <c r="AC244" s="116">
        <f t="shared" si="346"/>
        <v>32973.209770801703</v>
      </c>
      <c r="AD244" s="696">
        <f t="shared" si="346"/>
        <v>33018.442074228878</v>
      </c>
      <c r="AE244" s="696">
        <f t="shared" si="346"/>
        <v>33268.428232760998</v>
      </c>
      <c r="AF244" s="696">
        <f t="shared" si="346"/>
        <v>33518.414391293118</v>
      </c>
      <c r="AG244" s="696">
        <f t="shared" si="346"/>
        <v>33768.400549825237</v>
      </c>
      <c r="AH244" s="116">
        <f t="shared" si="346"/>
        <v>33768.400549825237</v>
      </c>
      <c r="AI244" s="696">
        <f t="shared" ref="AI244:AL244" si="347">AI237*AI246</f>
        <v>33810.756894788472</v>
      </c>
      <c r="AJ244" s="696">
        <f t="shared" si="347"/>
        <v>34064.115253734089</v>
      </c>
      <c r="AK244" s="696">
        <f t="shared" si="347"/>
        <v>34317.4736126797</v>
      </c>
      <c r="AL244" s="696">
        <f t="shared" si="347"/>
        <v>34570.831971625317</v>
      </c>
      <c r="AM244" s="116">
        <f t="shared" si="346"/>
        <v>34570.83197162531</v>
      </c>
      <c r="AN244" s="116">
        <f t="shared" si="346"/>
        <v>35390.932119264653</v>
      </c>
      <c r="AO244" s="116">
        <f t="shared" si="346"/>
        <v>36229.036334230004</v>
      </c>
      <c r="AP244" s="116">
        <f t="shared" si="346"/>
        <v>37085.484098049223</v>
      </c>
      <c r="AQ244" s="116">
        <f>AQ237*AQ246</f>
        <v>37960.618976504833</v>
      </c>
      <c r="AR244" s="116">
        <f t="shared" ref="AR244:BA244" si="348">AR237*AR246</f>
        <v>38854.788556702391</v>
      </c>
      <c r="AS244" s="116">
        <f t="shared" si="348"/>
        <v>39768.344376612549</v>
      </c>
      <c r="AT244" s="116">
        <f t="shared" si="348"/>
        <v>40701.641846690021</v>
      </c>
      <c r="AU244" s="116">
        <f t="shared" si="348"/>
        <v>41655.040163154925</v>
      </c>
      <c r="AV244" s="116">
        <f t="shared" si="348"/>
        <v>42628.902212504458</v>
      </c>
      <c r="AW244" s="116">
        <f t="shared" si="348"/>
        <v>43623.594466804308</v>
      </c>
      <c r="AX244" s="116">
        <f t="shared" si="348"/>
        <v>44639.486869289976</v>
      </c>
      <c r="AY244" s="116">
        <f t="shared" si="348"/>
        <v>45676.95270978826</v>
      </c>
      <c r="AZ244" s="116">
        <f t="shared" si="348"/>
        <v>46736.368489448389</v>
      </c>
      <c r="BA244" s="116">
        <f t="shared" si="348"/>
        <v>47818.113774250545</v>
      </c>
    </row>
    <row r="245" spans="1:54" s="12" customFormat="1" ht="12.75" customHeight="1">
      <c r="A245" s="374"/>
      <c r="B245" s="200" t="s">
        <v>436</v>
      </c>
      <c r="C245" s="2">
        <f t="shared" ref="C245:AC245" si="349">C23</f>
        <v>0.87</v>
      </c>
      <c r="D245" s="2">
        <f t="shared" si="349"/>
        <v>0.875</v>
      </c>
      <c r="E245" s="2">
        <f t="shared" si="349"/>
        <v>0.88</v>
      </c>
      <c r="F245" s="2">
        <f t="shared" si="349"/>
        <v>0.88500000000000001</v>
      </c>
      <c r="G245" s="2">
        <f t="shared" si="349"/>
        <v>0.89</v>
      </c>
      <c r="H245" s="2">
        <f t="shared" si="349"/>
        <v>0.89500000000000002</v>
      </c>
      <c r="I245" s="2">
        <f t="shared" si="349"/>
        <v>0.9</v>
      </c>
      <c r="J245" s="2">
        <f t="shared" si="349"/>
        <v>0.90500000000000003</v>
      </c>
      <c r="K245" s="2">
        <f t="shared" si="349"/>
        <v>0.91</v>
      </c>
      <c r="L245" s="2">
        <f t="shared" si="349"/>
        <v>0.91400000000000003</v>
      </c>
      <c r="M245" s="2">
        <f t="shared" si="349"/>
        <v>0.91400000000000003</v>
      </c>
      <c r="N245" s="2">
        <f t="shared" si="349"/>
        <v>0.91798085726175616</v>
      </c>
      <c r="O245" s="2">
        <f t="shared" si="349"/>
        <v>0.9184808572617561</v>
      </c>
      <c r="P245" s="2">
        <f t="shared" si="349"/>
        <v>0.9184808572617561</v>
      </c>
      <c r="Q245" s="2">
        <f t="shared" si="349"/>
        <v>0.9184808572617561</v>
      </c>
      <c r="R245" s="2">
        <f t="shared" si="349"/>
        <v>0.9184808572617561</v>
      </c>
      <c r="S245" s="2">
        <f t="shared" si="349"/>
        <v>0.9184808572617561</v>
      </c>
      <c r="T245" s="2">
        <f t="shared" si="349"/>
        <v>0.91898085726175616</v>
      </c>
      <c r="U245" s="2">
        <f t="shared" si="349"/>
        <v>0.91898085726175616</v>
      </c>
      <c r="V245" s="2">
        <f t="shared" si="349"/>
        <v>0.91898085726175616</v>
      </c>
      <c r="W245" s="2">
        <f t="shared" si="349"/>
        <v>0.91898085726175616</v>
      </c>
      <c r="X245" s="2">
        <f t="shared" si="349"/>
        <v>0.91898085726175616</v>
      </c>
      <c r="Y245" s="2">
        <f t="shared" si="349"/>
        <v>0.9194808572617561</v>
      </c>
      <c r="Z245" s="2">
        <f t="shared" si="349"/>
        <v>0.9194808572617561</v>
      </c>
      <c r="AA245" s="2">
        <f t="shared" si="349"/>
        <v>0.9194808572617561</v>
      </c>
      <c r="AB245" s="2">
        <f t="shared" si="349"/>
        <v>0.9194808572617561</v>
      </c>
      <c r="AC245" s="2">
        <f t="shared" si="349"/>
        <v>0.9194808572617561</v>
      </c>
      <c r="AD245" s="690">
        <f t="shared" ref="AD245:AH246" si="350">AD23</f>
        <v>0.91998085726175616</v>
      </c>
      <c r="AE245" s="690">
        <f t="shared" si="350"/>
        <v>0.91998085726175616</v>
      </c>
      <c r="AF245" s="690">
        <f t="shared" si="350"/>
        <v>0.91998085726175616</v>
      </c>
      <c r="AG245" s="690">
        <f t="shared" si="350"/>
        <v>0.91998085726175616</v>
      </c>
      <c r="AH245" s="2">
        <f t="shared" si="350"/>
        <v>0.91998085726175616</v>
      </c>
      <c r="AI245" s="690">
        <f t="shared" ref="AI245:AL245" si="351">AI23</f>
        <v>0.9204808572617561</v>
      </c>
      <c r="AJ245" s="690">
        <f t="shared" si="351"/>
        <v>0.9204808572617561</v>
      </c>
      <c r="AK245" s="690">
        <f t="shared" si="351"/>
        <v>0.9204808572617561</v>
      </c>
      <c r="AL245" s="690">
        <f t="shared" si="351"/>
        <v>0.9204808572617561</v>
      </c>
      <c r="AM245" s="2">
        <f t="shared" ref="AM245:BA245" si="352">AM23</f>
        <v>0.9204808572617561</v>
      </c>
      <c r="AN245" s="2">
        <f t="shared" si="352"/>
        <v>0.92098085726175616</v>
      </c>
      <c r="AO245" s="2">
        <f t="shared" si="352"/>
        <v>0.9214808572617561</v>
      </c>
      <c r="AP245" s="2">
        <f t="shared" si="352"/>
        <v>0.92198085726175616</v>
      </c>
      <c r="AQ245" s="2">
        <f t="shared" si="352"/>
        <v>0.9224808572617561</v>
      </c>
      <c r="AR245" s="2">
        <f t="shared" si="352"/>
        <v>0.92298085726175616</v>
      </c>
      <c r="AS245" s="2">
        <f t="shared" si="352"/>
        <v>0.92348085726175611</v>
      </c>
      <c r="AT245" s="2">
        <f t="shared" si="352"/>
        <v>0.92398085726175616</v>
      </c>
      <c r="AU245" s="2">
        <f t="shared" si="352"/>
        <v>0.92448085726175611</v>
      </c>
      <c r="AV245" s="2">
        <f t="shared" si="352"/>
        <v>0.92498085726175616</v>
      </c>
      <c r="AW245" s="2">
        <f t="shared" si="352"/>
        <v>0.92548085726175611</v>
      </c>
      <c r="AX245" s="2">
        <f t="shared" si="352"/>
        <v>0.92598085726175616</v>
      </c>
      <c r="AY245" s="2">
        <f t="shared" si="352"/>
        <v>0.92648085726175611</v>
      </c>
      <c r="AZ245" s="2">
        <f t="shared" si="352"/>
        <v>0.92698085726175616</v>
      </c>
      <c r="BA245" s="2">
        <f t="shared" si="352"/>
        <v>0.92748085726175611</v>
      </c>
      <c r="BB245" s="2"/>
    </row>
    <row r="246" spans="1:54" s="77" customFormat="1" ht="12.75" customHeight="1">
      <c r="A246" s="384"/>
      <c r="B246" s="200" t="s">
        <v>437</v>
      </c>
      <c r="C246" s="2">
        <f t="shared" ref="C246:AC246" si="353">C24</f>
        <v>0.13</v>
      </c>
      <c r="D246" s="2">
        <f t="shared" si="353"/>
        <v>0.125</v>
      </c>
      <c r="E246" s="2">
        <f t="shared" si="353"/>
        <v>0.12</v>
      </c>
      <c r="F246" s="2">
        <f t="shared" si="353"/>
        <v>0.11499999999999999</v>
      </c>
      <c r="G246" s="2">
        <f t="shared" si="353"/>
        <v>0.10999999999999999</v>
      </c>
      <c r="H246" s="2">
        <f t="shared" si="353"/>
        <v>0.128</v>
      </c>
      <c r="I246" s="2">
        <f t="shared" si="353"/>
        <v>9.9999999999999978E-2</v>
      </c>
      <c r="J246" s="2">
        <f t="shared" si="353"/>
        <v>9.4999999999999973E-2</v>
      </c>
      <c r="K246" s="2">
        <f t="shared" si="353"/>
        <v>8.9999999999999969E-2</v>
      </c>
      <c r="L246" s="2">
        <f t="shared" si="353"/>
        <v>8.5999999999999993E-2</v>
      </c>
      <c r="M246" s="2">
        <f t="shared" si="353"/>
        <v>8.5999999999999993E-2</v>
      </c>
      <c r="N246" s="2">
        <f t="shared" si="353"/>
        <v>8.2019142738243858E-2</v>
      </c>
      <c r="O246" s="2">
        <f t="shared" si="353"/>
        <v>8.1519142738243858E-2</v>
      </c>
      <c r="P246" s="2">
        <f t="shared" si="353"/>
        <v>8.1519142738243858E-2</v>
      </c>
      <c r="Q246" s="2">
        <f t="shared" si="353"/>
        <v>8.1519142738243858E-2</v>
      </c>
      <c r="R246" s="2">
        <f t="shared" si="353"/>
        <v>8.1519142738243858E-2</v>
      </c>
      <c r="S246" s="2">
        <f t="shared" si="353"/>
        <v>8.1519142738243858E-2</v>
      </c>
      <c r="T246" s="2">
        <f t="shared" si="353"/>
        <v>8.1019142738243857E-2</v>
      </c>
      <c r="U246" s="2">
        <f t="shared" si="353"/>
        <v>8.1019142738243857E-2</v>
      </c>
      <c r="V246" s="2">
        <f t="shared" si="353"/>
        <v>8.1019142738243857E-2</v>
      </c>
      <c r="W246" s="2">
        <f t="shared" si="353"/>
        <v>8.1019142738243857E-2</v>
      </c>
      <c r="X246" s="2">
        <f t="shared" si="353"/>
        <v>8.1019142738243857E-2</v>
      </c>
      <c r="Y246" s="2">
        <f t="shared" si="353"/>
        <v>8.0519142738243857E-2</v>
      </c>
      <c r="Z246" s="2">
        <f t="shared" si="353"/>
        <v>8.0519142738243857E-2</v>
      </c>
      <c r="AA246" s="2">
        <f t="shared" si="353"/>
        <v>8.0519142738243857E-2</v>
      </c>
      <c r="AB246" s="2">
        <f t="shared" si="353"/>
        <v>8.0519142738243857E-2</v>
      </c>
      <c r="AC246" s="2">
        <f t="shared" si="353"/>
        <v>8.0519142738243857E-2</v>
      </c>
      <c r="AD246" s="690">
        <f t="shared" si="350"/>
        <v>8.0019142738243856E-2</v>
      </c>
      <c r="AE246" s="690">
        <f t="shared" si="350"/>
        <v>8.0019142738243856E-2</v>
      </c>
      <c r="AF246" s="690">
        <f t="shared" si="350"/>
        <v>8.0019142738243856E-2</v>
      </c>
      <c r="AG246" s="690">
        <f t="shared" si="350"/>
        <v>8.0019142738243856E-2</v>
      </c>
      <c r="AH246" s="2">
        <f t="shared" si="350"/>
        <v>8.0019142738243856E-2</v>
      </c>
      <c r="AI246" s="690">
        <f t="shared" ref="AI246:AL246" si="354">AI24</f>
        <v>7.9519142738243856E-2</v>
      </c>
      <c r="AJ246" s="690">
        <f t="shared" si="354"/>
        <v>7.9519142738243856E-2</v>
      </c>
      <c r="AK246" s="690">
        <f t="shared" si="354"/>
        <v>7.9519142738243856E-2</v>
      </c>
      <c r="AL246" s="690">
        <f t="shared" si="354"/>
        <v>7.9519142738243856E-2</v>
      </c>
      <c r="AM246" s="2">
        <f t="shared" ref="AM246:BA246" si="355">AM24</f>
        <v>7.9519142738243856E-2</v>
      </c>
      <c r="AN246" s="2">
        <f t="shared" si="355"/>
        <v>7.9019142738243855E-2</v>
      </c>
      <c r="AO246" s="2">
        <f t="shared" si="355"/>
        <v>7.8519142738243855E-2</v>
      </c>
      <c r="AP246" s="2">
        <f t="shared" si="355"/>
        <v>7.8019142738243855E-2</v>
      </c>
      <c r="AQ246" s="2">
        <f t="shared" si="355"/>
        <v>7.7519142738243854E-2</v>
      </c>
      <c r="AR246" s="2">
        <f t="shared" si="355"/>
        <v>7.7019142738243854E-2</v>
      </c>
      <c r="AS246" s="2">
        <f t="shared" si="355"/>
        <v>7.6519142738243853E-2</v>
      </c>
      <c r="AT246" s="2">
        <f t="shared" si="355"/>
        <v>7.6019142738243853E-2</v>
      </c>
      <c r="AU246" s="2">
        <f t="shared" si="355"/>
        <v>7.5519142738243852E-2</v>
      </c>
      <c r="AV246" s="2">
        <f t="shared" si="355"/>
        <v>7.5019142738243852E-2</v>
      </c>
      <c r="AW246" s="2">
        <f t="shared" si="355"/>
        <v>7.4519142738243851E-2</v>
      </c>
      <c r="AX246" s="2">
        <f t="shared" si="355"/>
        <v>7.4019142738243851E-2</v>
      </c>
      <c r="AY246" s="2">
        <f t="shared" si="355"/>
        <v>7.3519142738243851E-2</v>
      </c>
      <c r="AZ246" s="2">
        <f t="shared" si="355"/>
        <v>7.301914273824385E-2</v>
      </c>
      <c r="BA246" s="2">
        <f t="shared" si="355"/>
        <v>7.251914273824385E-2</v>
      </c>
      <c r="BB246" s="2"/>
    </row>
    <row r="247" spans="1:54" s="12" customFormat="1" ht="12.75" customHeight="1">
      <c r="A247" s="374"/>
      <c r="B247" s="195"/>
      <c r="C247" s="77"/>
      <c r="D247" s="77"/>
      <c r="E247" s="77"/>
      <c r="F247" s="77"/>
      <c r="G247" s="77"/>
      <c r="H247" s="77"/>
      <c r="I247" s="77"/>
      <c r="J247" s="77"/>
      <c r="K247" s="77"/>
      <c r="L247" s="77"/>
      <c r="M247" s="77"/>
      <c r="N247" s="77"/>
      <c r="O247" s="77"/>
      <c r="P247" s="77"/>
      <c r="Q247" s="77"/>
      <c r="R247" s="77"/>
      <c r="S247" s="77"/>
      <c r="T247" s="77"/>
      <c r="U247" s="77"/>
      <c r="V247" s="77"/>
      <c r="W247" s="77"/>
      <c r="X247" s="77"/>
      <c r="Y247" s="77"/>
      <c r="Z247" s="77"/>
      <c r="AA247" s="77"/>
      <c r="AB247" s="77"/>
      <c r="AC247" s="77"/>
      <c r="AD247" s="77"/>
      <c r="AE247" s="77"/>
      <c r="AF247" s="77"/>
      <c r="AG247" s="77"/>
      <c r="AH247" s="77"/>
      <c r="AI247" s="694"/>
      <c r="AJ247" s="694"/>
      <c r="AK247" s="694"/>
      <c r="AL247" s="694"/>
      <c r="AM247" s="77"/>
      <c r="AN247" s="77"/>
      <c r="AO247" s="77"/>
      <c r="AP247" s="77"/>
      <c r="AQ247" s="77"/>
      <c r="AR247" s="77"/>
      <c r="AS247" s="77"/>
      <c r="AT247" s="77"/>
      <c r="AU247" s="77"/>
      <c r="AV247" s="77"/>
      <c r="AW247" s="77"/>
      <c r="AX247" s="77"/>
      <c r="AY247" s="77"/>
      <c r="AZ247" s="77"/>
      <c r="BA247" s="77"/>
      <c r="BB247" s="77"/>
    </row>
    <row r="248" spans="1:54" s="2" customFormat="1" ht="12.75" customHeight="1">
      <c r="A248" s="386"/>
      <c r="B248" s="370" t="s">
        <v>649</v>
      </c>
      <c r="C248" s="387"/>
      <c r="D248" s="387"/>
      <c r="E248" s="387"/>
      <c r="F248" s="387"/>
      <c r="G248" s="387"/>
      <c r="H248" s="387"/>
      <c r="I248" s="387"/>
      <c r="J248" s="387"/>
      <c r="K248" s="387"/>
      <c r="L248" s="387"/>
      <c r="M248" s="387"/>
      <c r="N248" s="387"/>
      <c r="O248" s="387"/>
      <c r="P248" s="387"/>
      <c r="Q248" s="387"/>
      <c r="R248" s="387"/>
      <c r="S248" s="387"/>
      <c r="T248" s="387"/>
      <c r="U248" s="387"/>
      <c r="V248" s="387"/>
      <c r="W248" s="387"/>
      <c r="X248" s="387"/>
      <c r="Y248" s="387"/>
      <c r="Z248" s="387"/>
      <c r="AA248" s="387"/>
      <c r="AB248" s="387"/>
      <c r="AC248" s="387"/>
      <c r="AD248" s="387"/>
      <c r="AE248" s="387"/>
      <c r="AF248" s="387"/>
      <c r="AG248" s="387"/>
      <c r="AH248" s="387"/>
      <c r="AI248" s="387"/>
      <c r="AJ248" s="387"/>
      <c r="AK248" s="387"/>
      <c r="AL248" s="387"/>
      <c r="AM248" s="387"/>
      <c r="AN248" s="387"/>
      <c r="AO248" s="387"/>
      <c r="AP248" s="387"/>
      <c r="AQ248" s="387"/>
      <c r="AR248" s="387"/>
      <c r="AS248" s="387"/>
      <c r="AT248" s="387"/>
      <c r="AU248" s="387"/>
      <c r="AV248" s="387"/>
      <c r="AW248" s="387"/>
      <c r="AX248" s="387"/>
      <c r="AY248" s="387"/>
      <c r="AZ248" s="387"/>
      <c r="BA248" s="387"/>
      <c r="BB248" s="187"/>
    </row>
    <row r="249" spans="1:54" s="12" customFormat="1" ht="12.75" customHeight="1">
      <c r="A249" s="374"/>
      <c r="B249" s="194" t="s">
        <v>438</v>
      </c>
      <c r="C249" s="12">
        <f t="shared" ref="C249:BA249" si="356">C250*C243</f>
        <v>191336.13550259627</v>
      </c>
      <c r="D249" s="12">
        <f t="shared" si="356"/>
        <v>203234.79877601046</v>
      </c>
      <c r="E249" s="12">
        <f t="shared" si="356"/>
        <v>212998.42803762111</v>
      </c>
      <c r="F249" s="12">
        <f t="shared" si="356"/>
        <v>220449.17784763037</v>
      </c>
      <c r="G249" s="12">
        <f t="shared" si="356"/>
        <v>231711.49999999997</v>
      </c>
      <c r="H249" s="12">
        <f t="shared" si="356"/>
        <v>268091.04093750002</v>
      </c>
      <c r="I249" s="12">
        <f t="shared" si="356"/>
        <v>279573.52500000002</v>
      </c>
      <c r="J249" s="12">
        <f t="shared" si="356"/>
        <v>287654.25</v>
      </c>
      <c r="K249" s="12">
        <f t="shared" si="356"/>
        <v>281827</v>
      </c>
      <c r="L249" s="12">
        <f t="shared" si="356"/>
        <v>318036.58250000002</v>
      </c>
      <c r="M249" s="12">
        <f t="shared" si="356"/>
        <v>335091.73109999998</v>
      </c>
      <c r="N249" s="12">
        <f t="shared" si="356"/>
        <v>350586.09857222473</v>
      </c>
      <c r="O249" s="12">
        <f t="shared" ref="O249:W249" si="357">O250*O243</f>
        <v>352530.9388561658</v>
      </c>
      <c r="P249" s="12">
        <f t="shared" si="357"/>
        <v>354284.82412410696</v>
      </c>
      <c r="Q249" s="12">
        <f t="shared" si="357"/>
        <v>356038.70939204807</v>
      </c>
      <c r="R249" s="12">
        <f t="shared" si="357"/>
        <v>357792.59465998918</v>
      </c>
      <c r="S249" s="12">
        <f t="shared" si="357"/>
        <v>357792.59465998918</v>
      </c>
      <c r="T249" s="12">
        <f t="shared" si="357"/>
        <v>359777.30562019075</v>
      </c>
      <c r="U249" s="12">
        <f t="shared" si="357"/>
        <v>361567.2424640723</v>
      </c>
      <c r="V249" s="12">
        <f t="shared" si="357"/>
        <v>363357.17930795386</v>
      </c>
      <c r="W249" s="12">
        <f t="shared" si="357"/>
        <v>365147.11615183542</v>
      </c>
      <c r="X249" s="12">
        <f t="shared" si="356"/>
        <v>365147.11615183548</v>
      </c>
      <c r="Y249" s="12">
        <f t="shared" si="356"/>
        <v>367172.51467923424</v>
      </c>
      <c r="Z249" s="12">
        <f t="shared" si="356"/>
        <v>368999.2436079866</v>
      </c>
      <c r="AA249" s="12">
        <f t="shared" si="356"/>
        <v>370825.97253673902</v>
      </c>
      <c r="AB249" s="12">
        <f t="shared" si="356"/>
        <v>372652.70146549138</v>
      </c>
      <c r="AC249" s="12">
        <f t="shared" si="356"/>
        <v>376534.50043909036</v>
      </c>
      <c r="AD249" s="692">
        <f>AD250*AD243</f>
        <v>379613.34757437784</v>
      </c>
      <c r="AE249" s="692">
        <f>AE250*AE243</f>
        <v>382487.44085456041</v>
      </c>
      <c r="AF249" s="692">
        <f>AF250*AF243</f>
        <v>385361.53413474292</v>
      </c>
      <c r="AG249" s="692">
        <f>AG250*AG243</f>
        <v>388235.62741492549</v>
      </c>
      <c r="AH249" s="12">
        <f t="shared" si="356"/>
        <v>388235.62741492543</v>
      </c>
      <c r="AI249" s="692">
        <f>AI250*AI243</f>
        <v>391379.40148109605</v>
      </c>
      <c r="AJ249" s="692">
        <f>AJ250*AJ243</f>
        <v>394312.17353328428</v>
      </c>
      <c r="AK249" s="692">
        <f>AK250*AK243</f>
        <v>397244.94558547257</v>
      </c>
      <c r="AL249" s="692">
        <f>AL250*AL243</f>
        <v>400177.7176376608</v>
      </c>
      <c r="AM249" s="12">
        <f t="shared" si="356"/>
        <v>400177.71763766074</v>
      </c>
      <c r="AN249" s="12">
        <f t="shared" si="356"/>
        <v>412487.02368822187</v>
      </c>
      <c r="AO249" s="12">
        <f t="shared" si="356"/>
        <v>425174.83373864257</v>
      </c>
      <c r="AP249" s="12">
        <f t="shared" si="356"/>
        <v>438252.78285102418</v>
      </c>
      <c r="AQ249" s="12">
        <f t="shared" si="356"/>
        <v>451732.86363443057</v>
      </c>
      <c r="AR249" s="12">
        <f>AR250*AR243</f>
        <v>465627.43722908333</v>
      </c>
      <c r="AS249" s="12">
        <f t="shared" si="356"/>
        <v>479949.24462790391</v>
      </c>
      <c r="AT249" s="12">
        <f t="shared" si="356"/>
        <v>494711.41834576282</v>
      </c>
      <c r="AU249" s="12">
        <f t="shared" si="356"/>
        <v>509927.49444710999</v>
      </c>
      <c r="AV249" s="12">
        <f t="shared" si="356"/>
        <v>525611.42494299053</v>
      </c>
      <c r="AW249" s="12">
        <f t="shared" si="356"/>
        <v>541777.59056878672</v>
      </c>
      <c r="AX249" s="12">
        <f t="shared" si="356"/>
        <v>558440.81395437603</v>
      </c>
      <c r="AY249" s="12">
        <f t="shared" si="356"/>
        <v>575616.37319875241</v>
      </c>
      <c r="AZ249" s="12">
        <f t="shared" si="356"/>
        <v>593320.01586153044</v>
      </c>
      <c r="BA249" s="12">
        <f t="shared" si="356"/>
        <v>611567.97338412784</v>
      </c>
    </row>
    <row r="250" spans="1:54" s="12" customFormat="1" ht="12.75" customHeight="1">
      <c r="A250" s="374"/>
      <c r="B250" s="200" t="s">
        <v>439</v>
      </c>
      <c r="C250" s="2">
        <f>1</f>
        <v>1</v>
      </c>
      <c r="D250" s="2">
        <f t="shared" ref="D250:N250" si="358">C250</f>
        <v>1</v>
      </c>
      <c r="E250" s="2">
        <f t="shared" si="358"/>
        <v>1</v>
      </c>
      <c r="F250" s="2">
        <f t="shared" si="358"/>
        <v>1</v>
      </c>
      <c r="G250" s="2">
        <f t="shared" si="358"/>
        <v>1</v>
      </c>
      <c r="H250" s="2">
        <f t="shared" si="358"/>
        <v>1</v>
      </c>
      <c r="I250" s="2">
        <f t="shared" si="358"/>
        <v>1</v>
      </c>
      <c r="J250" s="2">
        <f t="shared" si="358"/>
        <v>1</v>
      </c>
      <c r="K250" s="2">
        <f t="shared" si="358"/>
        <v>1</v>
      </c>
      <c r="L250" s="2">
        <f t="shared" si="358"/>
        <v>1</v>
      </c>
      <c r="M250" s="2">
        <f t="shared" si="358"/>
        <v>1</v>
      </c>
      <c r="N250" s="2">
        <f t="shared" si="358"/>
        <v>1</v>
      </c>
      <c r="O250" s="2">
        <f t="shared" ref="O250:W250" si="359">N250</f>
        <v>1</v>
      </c>
      <c r="P250" s="2">
        <f t="shared" si="359"/>
        <v>1</v>
      </c>
      <c r="Q250" s="2">
        <f t="shared" si="359"/>
        <v>1</v>
      </c>
      <c r="R250" s="2">
        <f t="shared" si="359"/>
        <v>1</v>
      </c>
      <c r="S250" s="2">
        <f t="shared" si="359"/>
        <v>1</v>
      </c>
      <c r="T250" s="2">
        <f t="shared" si="359"/>
        <v>1</v>
      </c>
      <c r="U250" s="2">
        <f t="shared" si="359"/>
        <v>1</v>
      </c>
      <c r="V250" s="2">
        <f t="shared" si="359"/>
        <v>1</v>
      </c>
      <c r="W250" s="2">
        <f t="shared" si="359"/>
        <v>1</v>
      </c>
      <c r="X250" s="2">
        <f>S250</f>
        <v>1</v>
      </c>
      <c r="Y250" s="2">
        <f>X250</f>
        <v>1</v>
      </c>
      <c r="Z250" s="2">
        <f>Y250</f>
        <v>1</v>
      </c>
      <c r="AA250" s="2">
        <f>Z250</f>
        <v>1</v>
      </c>
      <c r="AB250" s="2">
        <f>AA250</f>
        <v>1</v>
      </c>
      <c r="AC250" s="2">
        <f>X250</f>
        <v>1</v>
      </c>
      <c r="AD250" s="690">
        <f>AC250</f>
        <v>1</v>
      </c>
      <c r="AE250" s="690">
        <f>AD250</f>
        <v>1</v>
      </c>
      <c r="AF250" s="690">
        <f>AE250</f>
        <v>1</v>
      </c>
      <c r="AG250" s="690">
        <f>AF250</f>
        <v>1</v>
      </c>
      <c r="AH250" s="2">
        <f>AC250</f>
        <v>1</v>
      </c>
      <c r="AI250" s="690">
        <f>AH250</f>
        <v>1</v>
      </c>
      <c r="AJ250" s="690">
        <f>AI250</f>
        <v>1</v>
      </c>
      <c r="AK250" s="690">
        <f>AJ250</f>
        <v>1</v>
      </c>
      <c r="AL250" s="690">
        <f>AK250</f>
        <v>1</v>
      </c>
      <c r="AM250" s="2">
        <f>AH250</f>
        <v>1</v>
      </c>
      <c r="AN250" s="2">
        <f t="shared" ref="AN250:BA250" si="360">AM250</f>
        <v>1</v>
      </c>
      <c r="AO250" s="2">
        <f t="shared" si="360"/>
        <v>1</v>
      </c>
      <c r="AP250" s="2">
        <f t="shared" si="360"/>
        <v>1</v>
      </c>
      <c r="AQ250" s="2">
        <f t="shared" si="360"/>
        <v>1</v>
      </c>
      <c r="AR250" s="2">
        <f t="shared" si="360"/>
        <v>1</v>
      </c>
      <c r="AS250" s="2">
        <f t="shared" si="360"/>
        <v>1</v>
      </c>
      <c r="AT250" s="2">
        <f t="shared" si="360"/>
        <v>1</v>
      </c>
      <c r="AU250" s="2">
        <f t="shared" si="360"/>
        <v>1</v>
      </c>
      <c r="AV250" s="2">
        <f t="shared" si="360"/>
        <v>1</v>
      </c>
      <c r="AW250" s="2">
        <f t="shared" si="360"/>
        <v>1</v>
      </c>
      <c r="AX250" s="2">
        <f t="shared" si="360"/>
        <v>1</v>
      </c>
      <c r="AY250" s="2">
        <f t="shared" si="360"/>
        <v>1</v>
      </c>
      <c r="AZ250" s="2">
        <f t="shared" si="360"/>
        <v>1</v>
      </c>
      <c r="BA250" s="2">
        <f t="shared" si="360"/>
        <v>1</v>
      </c>
      <c r="BB250" s="2"/>
    </row>
    <row r="251" spans="1:54" s="12" customFormat="1" ht="12.75" customHeight="1">
      <c r="A251" s="374"/>
      <c r="B251" s="200"/>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690"/>
      <c r="AJ251" s="690"/>
      <c r="AK251" s="690"/>
      <c r="AL251" s="690"/>
      <c r="AM251" s="2"/>
      <c r="AN251" s="2"/>
      <c r="AO251" s="2"/>
      <c r="AP251" s="2"/>
      <c r="AQ251" s="2"/>
      <c r="AR251" s="2"/>
      <c r="AS251" s="2"/>
      <c r="AT251" s="2"/>
      <c r="AU251" s="2"/>
      <c r="AV251" s="2"/>
      <c r="AW251" s="2"/>
      <c r="AX251" s="2"/>
      <c r="AY251" s="2"/>
      <c r="AZ251" s="2"/>
      <c r="BA251" s="2"/>
      <c r="BB251" s="2"/>
    </row>
    <row r="252" spans="1:54" s="2" customFormat="1" ht="12.75" customHeight="1">
      <c r="A252" s="386"/>
      <c r="B252" s="389" t="s">
        <v>628</v>
      </c>
      <c r="C252" s="390"/>
      <c r="D252" s="390"/>
      <c r="E252" s="390"/>
      <c r="F252" s="390"/>
      <c r="G252" s="390"/>
      <c r="H252" s="390"/>
      <c r="I252" s="390"/>
      <c r="J252" s="390"/>
      <c r="K252" s="390"/>
      <c r="L252" s="390"/>
      <c r="M252" s="390"/>
      <c r="N252" s="390"/>
      <c r="O252" s="390"/>
      <c r="P252" s="390"/>
      <c r="Q252" s="390"/>
      <c r="R252" s="390"/>
      <c r="S252" s="390"/>
      <c r="T252" s="390"/>
      <c r="U252" s="390"/>
      <c r="V252" s="390"/>
      <c r="W252" s="390"/>
      <c r="X252" s="390"/>
      <c r="Y252" s="390"/>
      <c r="Z252" s="390"/>
      <c r="AA252" s="390"/>
      <c r="AB252" s="390"/>
      <c r="AC252" s="390"/>
      <c r="AD252" s="390"/>
      <c r="AE252" s="390"/>
      <c r="AF252" s="390"/>
      <c r="AG252" s="390"/>
      <c r="AH252" s="390"/>
      <c r="AI252" s="390"/>
      <c r="AJ252" s="390"/>
      <c r="AK252" s="390"/>
      <c r="AL252" s="390"/>
      <c r="AM252" s="390"/>
      <c r="AN252" s="390"/>
      <c r="AO252" s="390"/>
      <c r="AP252" s="390"/>
      <c r="AQ252" s="390"/>
      <c r="AR252" s="390"/>
      <c r="AS252" s="390"/>
      <c r="AT252" s="390"/>
      <c r="AU252" s="390"/>
      <c r="AV252" s="390"/>
      <c r="AW252" s="390"/>
      <c r="AX252" s="390"/>
      <c r="AY252" s="390"/>
      <c r="AZ252" s="390"/>
      <c r="BA252" s="390"/>
      <c r="BB252" s="17"/>
    </row>
    <row r="253" spans="1:54" s="2" customFormat="1" ht="12.75" customHeight="1">
      <c r="A253" s="386"/>
      <c r="B253" s="697" t="s">
        <v>63</v>
      </c>
      <c r="C253" s="77"/>
      <c r="D253" s="77"/>
      <c r="E253" s="77">
        <v>6.6629352399999994E-2</v>
      </c>
      <c r="F253" s="77">
        <v>0.20269999999999999</v>
      </c>
      <c r="G253" s="77">
        <v>0.29249999999999998</v>
      </c>
      <c r="H253" s="77">
        <v>0.5</v>
      </c>
      <c r="I253" s="77">
        <v>0.41</v>
      </c>
      <c r="J253" s="77">
        <v>0.33500000000000002</v>
      </c>
      <c r="K253" s="77">
        <v>0.215</v>
      </c>
      <c r="L253" s="77">
        <v>0.12</v>
      </c>
      <c r="M253" s="77">
        <v>0.11</v>
      </c>
      <c r="N253" s="77">
        <v>0.105</v>
      </c>
      <c r="O253" s="77">
        <f>O290/O$249</f>
        <v>3.2021173246449083E-2</v>
      </c>
      <c r="P253" s="77">
        <f>P290/P$249</f>
        <v>3.1845077474196536E-2</v>
      </c>
      <c r="Q253" s="77">
        <f>Q290/Q$249</f>
        <v>2.8468817600731097E-2</v>
      </c>
      <c r="R253" s="77">
        <f>R290/R$249</f>
        <v>2.8311861765685523E-2</v>
      </c>
      <c r="S253" s="77">
        <f>AVERAGE(O253:R253)</f>
        <v>3.0161732521765558E-2</v>
      </c>
      <c r="T253" s="77">
        <f>T290/T$249</f>
        <v>3.1328416485998295E-2</v>
      </c>
      <c r="U253" s="77">
        <f>U290/U$249</f>
        <v>3.1155867503750018E-2</v>
      </c>
      <c r="V253" s="77">
        <f>V290/V$249</f>
        <v>3.0985018511474623E-2</v>
      </c>
      <c r="W253" s="77">
        <f>W290/W$249</f>
        <v>3.0815844509319578E-2</v>
      </c>
      <c r="X253" s="77">
        <f>AVERAGE(T253:W253)</f>
        <v>3.1071286752635627E-2</v>
      </c>
      <c r="Y253" s="77">
        <f>Y290/Y$249</f>
        <v>2.8420968958190074E-2</v>
      </c>
      <c r="Z253" s="77">
        <f>Z290/Z$249</f>
        <v>2.8267265613554759E-2</v>
      </c>
      <c r="AA253" s="77">
        <f>AA290/AA$249</f>
        <v>2.8115076587585806E-2</v>
      </c>
      <c r="AB253" s="77">
        <f>AB290/AB$249</f>
        <v>2.490523098398767E-2</v>
      </c>
      <c r="AC253" s="77">
        <f>X253-0.5%</f>
        <v>2.6071286752635627E-2</v>
      </c>
      <c r="AD253" s="77"/>
      <c r="AE253" s="77"/>
      <c r="AF253" s="77"/>
      <c r="AG253" s="77"/>
      <c r="AH253" s="77">
        <f>AC253-0.5%</f>
        <v>2.1071286752635626E-2</v>
      </c>
      <c r="AI253" s="694"/>
      <c r="AJ253" s="694"/>
      <c r="AK253" s="694"/>
      <c r="AL253" s="694"/>
      <c r="AM253" s="77">
        <f>AH253-0.5%</f>
        <v>1.6071286752635625E-2</v>
      </c>
      <c r="AN253" s="77">
        <f>AM253*0.7</f>
        <v>1.1249900726844937E-2</v>
      </c>
      <c r="AO253" s="391">
        <f>AN253*0.1</f>
        <v>1.1249900726844938E-3</v>
      </c>
      <c r="AP253" s="77">
        <f t="shared" ref="AP253:BA253" si="361">AO253*0.7</f>
        <v>7.8749305087914563E-4</v>
      </c>
      <c r="AQ253" s="77">
        <f t="shared" si="361"/>
        <v>5.5124513561540195E-4</v>
      </c>
      <c r="AR253" s="77">
        <f t="shared" si="361"/>
        <v>3.8587159493078132E-4</v>
      </c>
      <c r="AS253" s="77">
        <f t="shared" si="361"/>
        <v>2.7011011645154692E-4</v>
      </c>
      <c r="AT253" s="77">
        <f t="shared" si="361"/>
        <v>1.8907708151608284E-4</v>
      </c>
      <c r="AU253" s="77">
        <f t="shared" si="361"/>
        <v>1.3235395706125797E-4</v>
      </c>
      <c r="AV253" s="77">
        <f t="shared" si="361"/>
        <v>9.2647769942880579E-5</v>
      </c>
      <c r="AW253" s="77">
        <f t="shared" si="361"/>
        <v>6.4853438960016404E-5</v>
      </c>
      <c r="AX253" s="77">
        <f t="shared" si="361"/>
        <v>4.5397407272011477E-5</v>
      </c>
      <c r="AY253" s="77">
        <f t="shared" si="361"/>
        <v>3.1778185090408034E-5</v>
      </c>
      <c r="AZ253" s="77">
        <f t="shared" si="361"/>
        <v>2.2244729563285621E-5</v>
      </c>
      <c r="BA253" s="77">
        <f t="shared" si="361"/>
        <v>1.5571310694299932E-5</v>
      </c>
      <c r="BB253" s="77"/>
    </row>
    <row r="254" spans="1:54" s="2" customFormat="1" ht="12.75" customHeight="1" outlineLevel="1">
      <c r="A254" s="433"/>
      <c r="B254" s="393" t="s">
        <v>423</v>
      </c>
      <c r="C254" s="394"/>
      <c r="D254" s="394"/>
      <c r="E254" s="394"/>
      <c r="F254" s="394"/>
      <c r="G254" s="394"/>
      <c r="H254" s="394"/>
      <c r="I254" s="394"/>
      <c r="J254" s="394"/>
      <c r="K254" s="394"/>
      <c r="L254" s="394"/>
      <c r="M254" s="394"/>
      <c r="N254" s="394"/>
      <c r="O254" s="394"/>
      <c r="P254" s="394"/>
      <c r="Q254" s="394"/>
      <c r="R254" s="394"/>
      <c r="S254" s="394"/>
      <c r="T254" s="394"/>
      <c r="U254" s="394"/>
      <c r="V254" s="394"/>
      <c r="W254" s="397"/>
      <c r="X254" s="394"/>
      <c r="Y254" s="394"/>
      <c r="Z254" s="394"/>
      <c r="AA254" s="394"/>
      <c r="AB254" s="397"/>
      <c r="AC254" s="394"/>
      <c r="AD254" s="394"/>
      <c r="AE254" s="394"/>
      <c r="AF254" s="394"/>
      <c r="AG254" s="394"/>
      <c r="AH254" s="394"/>
      <c r="AI254" s="716"/>
      <c r="AJ254" s="716"/>
      <c r="AK254" s="716"/>
      <c r="AL254" s="716"/>
      <c r="AM254" s="394">
        <f>AM255*1.2</f>
        <v>0.35518752429641925</v>
      </c>
      <c r="AN254" s="716">
        <f>AN255*1.2</f>
        <v>0.24863126700749344</v>
      </c>
      <c r="AO254" s="391">
        <f>AO255*1.2</f>
        <v>6.215781675187336E-2</v>
      </c>
      <c r="AP254" s="394">
        <f>AP255*1.2</f>
        <v>1.8647345025562007E-2</v>
      </c>
      <c r="AQ254" s="716">
        <f>AQ255*1.2</f>
        <v>1.8647345025562009E-3</v>
      </c>
      <c r="AR254" s="394">
        <f t="shared" ref="AR254:BA254" si="362">AQ254*0.5</f>
        <v>9.3236725127810046E-4</v>
      </c>
      <c r="AS254" s="394">
        <f t="shared" si="362"/>
        <v>4.6618362563905023E-4</v>
      </c>
      <c r="AT254" s="394">
        <f t="shared" si="362"/>
        <v>2.3309181281952511E-4</v>
      </c>
      <c r="AU254" s="394">
        <f t="shared" si="362"/>
        <v>1.1654590640976256E-4</v>
      </c>
      <c r="AV254" s="394">
        <f t="shared" si="362"/>
        <v>5.8272953204881279E-5</v>
      </c>
      <c r="AW254" s="394">
        <f t="shared" si="362"/>
        <v>2.9136476602440639E-5</v>
      </c>
      <c r="AX254" s="394">
        <f t="shared" si="362"/>
        <v>1.456823830122032E-5</v>
      </c>
      <c r="AY254" s="394">
        <f t="shared" si="362"/>
        <v>7.2841191506101598E-6</v>
      </c>
      <c r="AZ254" s="394">
        <f t="shared" si="362"/>
        <v>3.6420595753050799E-6</v>
      </c>
      <c r="BA254" s="394">
        <f t="shared" si="362"/>
        <v>1.82102978765254E-6</v>
      </c>
      <c r="BB254" s="77"/>
    </row>
    <row r="255" spans="1:54" s="2" customFormat="1" ht="12.75" customHeight="1" outlineLevel="1">
      <c r="A255" s="433"/>
      <c r="B255" s="393" t="s">
        <v>424</v>
      </c>
      <c r="C255" s="394"/>
      <c r="D255" s="394"/>
      <c r="E255" s="394"/>
      <c r="F255" s="394"/>
      <c r="G255" s="394"/>
      <c r="H255" s="394"/>
      <c r="I255" s="394"/>
      <c r="J255" s="394"/>
      <c r="K255" s="394"/>
      <c r="L255" s="394"/>
      <c r="M255" s="394"/>
      <c r="N255" s="394"/>
      <c r="O255" s="394"/>
      <c r="P255" s="394"/>
      <c r="Q255" s="394"/>
      <c r="R255" s="394"/>
      <c r="S255" s="394"/>
      <c r="T255" s="394"/>
      <c r="U255" s="394"/>
      <c r="V255" s="394"/>
      <c r="W255" s="397"/>
      <c r="X255" s="394"/>
      <c r="Y255" s="394"/>
      <c r="Z255" s="394"/>
      <c r="AA255" s="394"/>
      <c r="AB255" s="397"/>
      <c r="AC255" s="397"/>
      <c r="AD255" s="397"/>
      <c r="AE255" s="397"/>
      <c r="AF255" s="397"/>
      <c r="AG255" s="397"/>
      <c r="AH255" s="394"/>
      <c r="AI255" s="718"/>
      <c r="AJ255" s="718"/>
      <c r="AK255" s="718"/>
      <c r="AL255" s="718"/>
      <c r="AM255" s="716">
        <f>AH257-7%</f>
        <v>0.29598960358034937</v>
      </c>
      <c r="AN255" s="394">
        <f>AM255*0.7</f>
        <v>0.20719272250624454</v>
      </c>
      <c r="AO255" s="391">
        <f>AN255*0.25</f>
        <v>5.1798180626561136E-2</v>
      </c>
      <c r="AP255" s="394">
        <f>AO255*0.3</f>
        <v>1.553945418796834E-2</v>
      </c>
      <c r="AQ255" s="394">
        <f>AP255*0.1</f>
        <v>1.5539454187968342E-3</v>
      </c>
      <c r="AR255" s="394">
        <f t="shared" ref="AR255:BA255" si="363">AQ255*0.1</f>
        <v>1.5539454187968343E-4</v>
      </c>
      <c r="AS255" s="394">
        <f t="shared" si="363"/>
        <v>1.5539454187968344E-5</v>
      </c>
      <c r="AT255" s="394">
        <f t="shared" si="363"/>
        <v>1.5539454187968345E-6</v>
      </c>
      <c r="AU255" s="394">
        <f t="shared" si="363"/>
        <v>1.5539454187968345E-7</v>
      </c>
      <c r="AV255" s="394">
        <f t="shared" si="363"/>
        <v>1.5539454187968344E-8</v>
      </c>
      <c r="AW255" s="394">
        <f t="shared" si="363"/>
        <v>1.5539454187968344E-9</v>
      </c>
      <c r="AX255" s="394">
        <f t="shared" si="363"/>
        <v>1.5539454187968344E-10</v>
      </c>
      <c r="AY255" s="394">
        <f t="shared" si="363"/>
        <v>1.5539454187968345E-11</v>
      </c>
      <c r="AZ255" s="394">
        <f t="shared" si="363"/>
        <v>1.5539454187968345E-12</v>
      </c>
      <c r="BA255" s="394">
        <f t="shared" si="363"/>
        <v>1.5539454187968345E-13</v>
      </c>
      <c r="BB255" s="77"/>
    </row>
    <row r="256" spans="1:54" s="2" customFormat="1" ht="12.75" customHeight="1" outlineLevel="1">
      <c r="A256" s="433"/>
      <c r="B256" s="393" t="s">
        <v>425</v>
      </c>
      <c r="C256" s="394"/>
      <c r="D256" s="394"/>
      <c r="E256" s="394"/>
      <c r="F256" s="394"/>
      <c r="G256" s="394"/>
      <c r="H256" s="394"/>
      <c r="I256" s="394"/>
      <c r="J256" s="394"/>
      <c r="K256" s="394"/>
      <c r="L256" s="394"/>
      <c r="M256" s="394"/>
      <c r="N256" s="394"/>
      <c r="O256" s="394"/>
      <c r="P256" s="394"/>
      <c r="Q256" s="394"/>
      <c r="R256" s="394"/>
      <c r="S256" s="394"/>
      <c r="T256" s="394"/>
      <c r="U256" s="394"/>
      <c r="V256" s="394"/>
      <c r="W256" s="397"/>
      <c r="X256" s="394"/>
      <c r="Y256" s="394"/>
      <c r="Z256" s="394"/>
      <c r="AA256" s="394"/>
      <c r="AB256" s="397"/>
      <c r="AC256" s="397"/>
      <c r="AD256" s="397"/>
      <c r="AE256" s="397"/>
      <c r="AF256" s="397"/>
      <c r="AG256" s="397"/>
      <c r="AH256" s="397"/>
      <c r="AI256" s="718"/>
      <c r="AJ256" s="718"/>
      <c r="AK256" s="718"/>
      <c r="AL256" s="718"/>
      <c r="AM256" s="397">
        <f>AH257</f>
        <v>0.36598960358034938</v>
      </c>
      <c r="AN256" s="397">
        <f>AM256*0.75</f>
        <v>0.27449220268526203</v>
      </c>
      <c r="AO256" s="391">
        <f>AN256*0.1</f>
        <v>2.7449220268526205E-2</v>
      </c>
      <c r="AP256" s="394">
        <f>AO256*0.1</f>
        <v>2.7449220268526207E-3</v>
      </c>
      <c r="AQ256" s="394">
        <f>AP256*0.1</f>
        <v>2.7449220268526206E-4</v>
      </c>
      <c r="AR256" s="394">
        <f t="shared" ref="AR256:BA256" si="364">AQ256*0.1</f>
        <v>2.7449220268526208E-5</v>
      </c>
      <c r="AS256" s="394">
        <f t="shared" si="364"/>
        <v>2.7449220268526211E-6</v>
      </c>
      <c r="AT256" s="394">
        <f t="shared" si="364"/>
        <v>2.7449220268526211E-7</v>
      </c>
      <c r="AU256" s="394">
        <f t="shared" si="364"/>
        <v>2.7449220268526213E-8</v>
      </c>
      <c r="AV256" s="394">
        <f t="shared" si="364"/>
        <v>2.7449220268526214E-9</v>
      </c>
      <c r="AW256" s="394">
        <f t="shared" si="364"/>
        <v>2.7449220268526213E-10</v>
      </c>
      <c r="AX256" s="394">
        <f t="shared" si="364"/>
        <v>2.7449220268526216E-11</v>
      </c>
      <c r="AY256" s="394">
        <f t="shared" si="364"/>
        <v>2.7449220268526216E-12</v>
      </c>
      <c r="AZ256" s="394">
        <f t="shared" si="364"/>
        <v>2.7449220268526216E-13</v>
      </c>
      <c r="BA256" s="394">
        <f t="shared" si="364"/>
        <v>2.7449220268526218E-14</v>
      </c>
      <c r="BB256" s="77"/>
    </row>
    <row r="257" spans="1:54" s="77" customFormat="1" ht="12.75" customHeight="1">
      <c r="A257" s="379" t="s">
        <v>578</v>
      </c>
      <c r="B257" s="717" t="s">
        <v>904</v>
      </c>
      <c r="C257" s="394"/>
      <c r="D257" s="394"/>
      <c r="E257" s="394">
        <v>0</v>
      </c>
      <c r="F257" s="394">
        <v>0</v>
      </c>
      <c r="G257" s="394">
        <v>0</v>
      </c>
      <c r="H257" s="394">
        <v>0.06</v>
      </c>
      <c r="I257" s="394">
        <v>0.18</v>
      </c>
      <c r="J257" s="394">
        <v>0.37</v>
      </c>
      <c r="K257" s="394">
        <v>0.44500000000000001</v>
      </c>
      <c r="L257" s="394">
        <v>0.53100000000000003</v>
      </c>
      <c r="M257" s="394">
        <v>0.52</v>
      </c>
      <c r="N257" s="394">
        <v>0.53</v>
      </c>
      <c r="O257" s="394">
        <f>O291/O$249</f>
        <v>0.40834906239766233</v>
      </c>
      <c r="P257" s="394">
        <f>P291/P$249</f>
        <v>0.40610784347808443</v>
      </c>
      <c r="Q257" s="394">
        <f>Q291/Q$249</f>
        <v>0.41793211857357937</v>
      </c>
      <c r="R257" s="394">
        <f>R291/R$249</f>
        <v>0.4133889898681441</v>
      </c>
      <c r="S257" s="394">
        <f>AVERAGE(O257:R257)</f>
        <v>0.41144450357936757</v>
      </c>
      <c r="T257" s="394">
        <f>T291/T$249</f>
        <v>0.41468022133751731</v>
      </c>
      <c r="U257" s="394">
        <f>U291/U$249</f>
        <v>0.42001380874340521</v>
      </c>
      <c r="V257" s="394">
        <f>V291/V$249</f>
        <v>0.42093018061106419</v>
      </c>
      <c r="W257" s="394">
        <f>W291/W$249</f>
        <v>0.4155935098158095</v>
      </c>
      <c r="X257" s="394">
        <f>AVERAGE(T257:W257)</f>
        <v>0.41780443012694901</v>
      </c>
      <c r="Y257" s="394">
        <f>Y291/Y$249</f>
        <v>0.40887969295072307</v>
      </c>
      <c r="Z257" s="394">
        <f>Z291/Z$249</f>
        <v>0.40758817801074615</v>
      </c>
      <c r="AA257" s="394">
        <f>AA291/AA$249</f>
        <v>0.41466496771830258</v>
      </c>
      <c r="AB257" s="394">
        <f>AB291/AB$249</f>
        <v>0.39589144393123982</v>
      </c>
      <c r="AC257" s="716">
        <f>AVERAGE(Y257:AB257)</f>
        <v>0.40675607065275288</v>
      </c>
      <c r="AD257" s="716">
        <f>AD291/AD$249</f>
        <v>0.37370633836237543</v>
      </c>
      <c r="AE257" s="716">
        <f>AE291/AE$249</f>
        <v>0.37292080508178554</v>
      </c>
      <c r="AF257" s="716">
        <f>AF291/AF$249</f>
        <v>0.36909455503855504</v>
      </c>
      <c r="AG257" s="716">
        <f>AG291/AG$249</f>
        <v>0.3482367158386816</v>
      </c>
      <c r="AH257" s="716">
        <f>AVERAGE(AD257:AG257)</f>
        <v>0.36598960358034938</v>
      </c>
      <c r="AI257" s="716">
        <f>AI291/AI$249</f>
        <v>0.34163577005166751</v>
      </c>
      <c r="AJ257" s="716">
        <f>AJ291/AJ$249</f>
        <v>0.33314550970347012</v>
      </c>
      <c r="AK257" s="716">
        <f>AK291/AK$249</f>
        <v>0.33863237655985778</v>
      </c>
      <c r="AL257" s="716">
        <f>AL291/AL$249</f>
        <v>0.32475571295469208</v>
      </c>
      <c r="AM257" s="396">
        <f t="shared" ref="AM257:BA257" si="365">CHOOSE($U$1,AM254,AM255,AM256)</f>
        <v>0.29598960358034937</v>
      </c>
      <c r="AN257" s="396">
        <f t="shared" si="365"/>
        <v>0.20719272250624454</v>
      </c>
      <c r="AO257" s="435">
        <f t="shared" si="365"/>
        <v>5.1798180626561136E-2</v>
      </c>
      <c r="AP257" s="396">
        <f t="shared" si="365"/>
        <v>1.553945418796834E-2</v>
      </c>
      <c r="AQ257" s="396">
        <f t="shared" si="365"/>
        <v>1.5539454187968342E-3</v>
      </c>
      <c r="AR257" s="396">
        <f t="shared" si="365"/>
        <v>1.5539454187968343E-4</v>
      </c>
      <c r="AS257" s="396">
        <f t="shared" si="365"/>
        <v>1.5539454187968344E-5</v>
      </c>
      <c r="AT257" s="396">
        <f t="shared" si="365"/>
        <v>1.5539454187968345E-6</v>
      </c>
      <c r="AU257" s="396">
        <f t="shared" si="365"/>
        <v>1.5539454187968345E-7</v>
      </c>
      <c r="AV257" s="396">
        <f t="shared" si="365"/>
        <v>1.5539454187968344E-8</v>
      </c>
      <c r="AW257" s="396">
        <f t="shared" si="365"/>
        <v>1.5539454187968344E-9</v>
      </c>
      <c r="AX257" s="396">
        <f t="shared" si="365"/>
        <v>1.5539454187968344E-10</v>
      </c>
      <c r="AY257" s="396">
        <f t="shared" si="365"/>
        <v>1.5539454187968345E-11</v>
      </c>
      <c r="AZ257" s="396">
        <f t="shared" si="365"/>
        <v>1.5539454187968345E-12</v>
      </c>
      <c r="BA257" s="396">
        <f t="shared" si="365"/>
        <v>1.5539454187968345E-13</v>
      </c>
    </row>
    <row r="258" spans="1:54" s="77" customFormat="1" ht="12.75" customHeight="1" outlineLevel="1">
      <c r="A258" s="379"/>
      <c r="B258" s="434" t="s">
        <v>423</v>
      </c>
      <c r="C258" s="394"/>
      <c r="D258" s="394"/>
      <c r="E258" s="394"/>
      <c r="F258" s="394"/>
      <c r="G258" s="394"/>
      <c r="H258" s="394"/>
      <c r="I258" s="394"/>
      <c r="J258" s="394"/>
      <c r="K258" s="394"/>
      <c r="L258" s="394"/>
      <c r="M258" s="394"/>
      <c r="N258" s="394"/>
      <c r="O258" s="394"/>
      <c r="P258" s="394"/>
      <c r="Q258" s="394"/>
      <c r="R258" s="394"/>
      <c r="S258" s="394"/>
      <c r="T258" s="394"/>
      <c r="U258" s="394"/>
      <c r="V258" s="394"/>
      <c r="W258" s="397"/>
      <c r="X258" s="394"/>
      <c r="Y258" s="394"/>
      <c r="Z258" s="394"/>
      <c r="AA258" s="394"/>
      <c r="AB258" s="397"/>
      <c r="AC258" s="716"/>
      <c r="AD258" s="716"/>
      <c r="AE258" s="716"/>
      <c r="AF258" s="716"/>
      <c r="AG258" s="718"/>
      <c r="AH258" s="716"/>
      <c r="AI258" s="716"/>
      <c r="AJ258" s="716"/>
      <c r="AK258" s="716"/>
      <c r="AL258" s="718"/>
      <c r="AM258" s="716">
        <f>AH261-0.03</f>
        <v>0.15966036451180912</v>
      </c>
      <c r="AN258" s="394">
        <f>AN259*1.2</f>
        <v>8.6526785901022654E-2</v>
      </c>
      <c r="AO258" s="391">
        <f>AO259*1.2</f>
        <v>4.3263392950511327E-2</v>
      </c>
      <c r="AP258" s="394">
        <f>AP259*1.2</f>
        <v>1.2979017885153397E-2</v>
      </c>
      <c r="AQ258" s="394">
        <f>AP258*0.5</f>
        <v>6.4895089425766987E-3</v>
      </c>
      <c r="AR258" s="394">
        <f t="shared" ref="AR258:BA258" si="366">AQ258*0.5</f>
        <v>3.2447544712883494E-3</v>
      </c>
      <c r="AS258" s="394">
        <f t="shared" si="366"/>
        <v>1.6223772356441747E-3</v>
      </c>
      <c r="AT258" s="394">
        <f t="shared" si="366"/>
        <v>8.1118861782208734E-4</v>
      </c>
      <c r="AU258" s="394">
        <f t="shared" si="366"/>
        <v>4.0559430891104367E-4</v>
      </c>
      <c r="AV258" s="394">
        <f t="shared" si="366"/>
        <v>2.0279715445552183E-4</v>
      </c>
      <c r="AW258" s="394">
        <f t="shared" si="366"/>
        <v>1.0139857722776092E-4</v>
      </c>
      <c r="AX258" s="394">
        <f t="shared" si="366"/>
        <v>5.0699288613880459E-5</v>
      </c>
      <c r="AY258" s="394">
        <f t="shared" si="366"/>
        <v>2.5349644306940229E-5</v>
      </c>
      <c r="AZ258" s="394">
        <f t="shared" si="366"/>
        <v>1.2674822153470115E-5</v>
      </c>
      <c r="BA258" s="394">
        <f t="shared" si="366"/>
        <v>6.3374110767350573E-6</v>
      </c>
    </row>
    <row r="259" spans="1:54" s="77" customFormat="1" ht="12.75" customHeight="1" outlineLevel="1">
      <c r="A259" s="379"/>
      <c r="B259" s="434" t="s">
        <v>424</v>
      </c>
      <c r="C259" s="394"/>
      <c r="D259" s="394"/>
      <c r="E259" s="394"/>
      <c r="F259" s="394"/>
      <c r="G259" s="394"/>
      <c r="H259" s="394"/>
      <c r="I259" s="394"/>
      <c r="J259" s="394"/>
      <c r="K259" s="394"/>
      <c r="L259" s="394"/>
      <c r="M259" s="394"/>
      <c r="N259" s="394"/>
      <c r="O259" s="394"/>
      <c r="P259" s="394"/>
      <c r="Q259" s="394"/>
      <c r="R259" s="394"/>
      <c r="S259" s="394"/>
      <c r="T259" s="394"/>
      <c r="U259" s="394"/>
      <c r="V259" s="394"/>
      <c r="W259" s="397"/>
      <c r="X259" s="394"/>
      <c r="Y259" s="394"/>
      <c r="Z259" s="394"/>
      <c r="AA259" s="394"/>
      <c r="AB259" s="397"/>
      <c r="AC259" s="716"/>
      <c r="AD259" s="716"/>
      <c r="AE259" s="716"/>
      <c r="AF259" s="716"/>
      <c r="AG259" s="718"/>
      <c r="AH259" s="716"/>
      <c r="AI259" s="716"/>
      <c r="AJ259" s="716"/>
      <c r="AK259" s="716"/>
      <c r="AL259" s="718"/>
      <c r="AM259" s="716">
        <f>AH261-2%</f>
        <v>0.16966036451180913</v>
      </c>
      <c r="AN259" s="394">
        <f>AM259*0.425</f>
        <v>7.2105654917518885E-2</v>
      </c>
      <c r="AO259" s="391">
        <f>AN259*0.5</f>
        <v>3.6052827458759443E-2</v>
      </c>
      <c r="AP259" s="394">
        <f>AO259*0.3</f>
        <v>1.0815848237627832E-2</v>
      </c>
      <c r="AQ259" s="394">
        <f>AP259*0.1</f>
        <v>1.0815848237627833E-3</v>
      </c>
      <c r="AR259" s="394">
        <f t="shared" ref="AR259:BA259" si="367">AQ259*0.1</f>
        <v>1.0815848237627833E-4</v>
      </c>
      <c r="AS259" s="394">
        <f t="shared" si="367"/>
        <v>1.0815848237627833E-5</v>
      </c>
      <c r="AT259" s="394">
        <f t="shared" si="367"/>
        <v>1.0815848237627833E-6</v>
      </c>
      <c r="AU259" s="394">
        <f t="shared" si="367"/>
        <v>1.0815848237627833E-7</v>
      </c>
      <c r="AV259" s="394">
        <f t="shared" si="367"/>
        <v>1.0815848237627834E-8</v>
      </c>
      <c r="AW259" s="394">
        <f t="shared" si="367"/>
        <v>1.0815848237627835E-9</v>
      </c>
      <c r="AX259" s="394">
        <f t="shared" si="367"/>
        <v>1.0815848237627835E-10</v>
      </c>
      <c r="AY259" s="394">
        <f t="shared" si="367"/>
        <v>1.0815848237627836E-11</v>
      </c>
      <c r="AZ259" s="394">
        <f t="shared" si="367"/>
        <v>1.0815848237627837E-12</v>
      </c>
      <c r="BA259" s="394">
        <f t="shared" si="367"/>
        <v>1.0815848237627837E-13</v>
      </c>
    </row>
    <row r="260" spans="1:54" s="77" customFormat="1" ht="12.75" customHeight="1" outlineLevel="1">
      <c r="A260" s="379"/>
      <c r="B260" s="434" t="s">
        <v>425</v>
      </c>
      <c r="C260" s="394"/>
      <c r="D260" s="394"/>
      <c r="E260" s="394"/>
      <c r="F260" s="394"/>
      <c r="G260" s="394"/>
      <c r="H260" s="394"/>
      <c r="I260" s="394"/>
      <c r="J260" s="394"/>
      <c r="K260" s="394"/>
      <c r="L260" s="394"/>
      <c r="M260" s="394"/>
      <c r="N260" s="394"/>
      <c r="O260" s="394"/>
      <c r="P260" s="394"/>
      <c r="Q260" s="394"/>
      <c r="R260" s="394"/>
      <c r="S260" s="394"/>
      <c r="T260" s="394"/>
      <c r="U260" s="394"/>
      <c r="V260" s="394"/>
      <c r="W260" s="397"/>
      <c r="X260" s="394"/>
      <c r="Y260" s="394"/>
      <c r="Z260" s="394"/>
      <c r="AA260" s="394"/>
      <c r="AB260" s="397"/>
      <c r="AC260" s="716"/>
      <c r="AD260" s="716"/>
      <c r="AE260" s="716"/>
      <c r="AF260" s="716"/>
      <c r="AG260" s="718"/>
      <c r="AH260" s="716"/>
      <c r="AI260" s="716"/>
      <c r="AJ260" s="716"/>
      <c r="AK260" s="716"/>
      <c r="AL260" s="718"/>
      <c r="AM260" s="394">
        <f>AH261</f>
        <v>0.18966036451180912</v>
      </c>
      <c r="AN260" s="394">
        <f>AM260</f>
        <v>0.18966036451180912</v>
      </c>
      <c r="AO260" s="391">
        <f>AN260*0.1</f>
        <v>1.8966036451180914E-2</v>
      </c>
      <c r="AP260" s="394">
        <f>AO260*0.1</f>
        <v>1.8966036451180915E-3</v>
      </c>
      <c r="AQ260" s="394">
        <f>AP260*0.1</f>
        <v>1.8966036451180916E-4</v>
      </c>
      <c r="AR260" s="394">
        <f t="shared" ref="AR260:BA260" si="368">AQ260*0.1</f>
        <v>1.8966036451180918E-5</v>
      </c>
      <c r="AS260" s="394">
        <f t="shared" si="368"/>
        <v>1.8966036451180918E-6</v>
      </c>
      <c r="AT260" s="394">
        <f t="shared" si="368"/>
        <v>1.8966036451180919E-7</v>
      </c>
      <c r="AU260" s="394">
        <f t="shared" si="368"/>
        <v>1.8966036451180921E-8</v>
      </c>
      <c r="AV260" s="394">
        <f t="shared" si="368"/>
        <v>1.8966036451180923E-9</v>
      </c>
      <c r="AW260" s="394">
        <f t="shared" si="368"/>
        <v>1.8966036451180924E-10</v>
      </c>
      <c r="AX260" s="394">
        <f t="shared" si="368"/>
        <v>1.8966036451180925E-11</v>
      </c>
      <c r="AY260" s="394">
        <f t="shared" si="368"/>
        <v>1.8966036451180926E-12</v>
      </c>
      <c r="AZ260" s="394">
        <f t="shared" si="368"/>
        <v>1.8966036451180928E-13</v>
      </c>
      <c r="BA260" s="394">
        <f t="shared" si="368"/>
        <v>1.896603645118093E-14</v>
      </c>
    </row>
    <row r="261" spans="1:54" ht="12.75" customHeight="1">
      <c r="A261" s="379" t="s">
        <v>578</v>
      </c>
      <c r="B261" s="717" t="s">
        <v>901</v>
      </c>
      <c r="C261" s="394"/>
      <c r="D261" s="394"/>
      <c r="E261" s="394"/>
      <c r="F261" s="394"/>
      <c r="G261" s="394">
        <v>0</v>
      </c>
      <c r="H261" s="394">
        <v>0</v>
      </c>
      <c r="I261" s="394">
        <v>0</v>
      </c>
      <c r="J261" s="394">
        <v>0</v>
      </c>
      <c r="K261" s="394">
        <v>7.0000000000000007E-2</v>
      </c>
      <c r="L261" s="394">
        <v>0.2</v>
      </c>
      <c r="M261" s="394">
        <v>0.25</v>
      </c>
      <c r="N261" s="394">
        <v>0.27400000000000002</v>
      </c>
      <c r="O261" s="394">
        <f>O292/O$249</f>
        <v>0.23416590292734804</v>
      </c>
      <c r="P261" s="394">
        <f>P292/P$249</f>
        <v>0.23700650831583581</v>
      </c>
      <c r="Q261" s="394">
        <f>Q292/Q$249</f>
        <v>0.23627769896362666</v>
      </c>
      <c r="R261" s="394">
        <f>R292/R$249</f>
        <v>0.23678144307404031</v>
      </c>
      <c r="S261" s="394">
        <f>AVERAGE(O261:R261)</f>
        <v>0.23605788832021268</v>
      </c>
      <c r="T261" s="394">
        <f>T292/T$249</f>
        <v>0.23955014663679541</v>
      </c>
      <c r="U261" s="394">
        <f>U292/U$249</f>
        <v>0.24406167134541515</v>
      </c>
      <c r="V261" s="394">
        <f>V292/V$249</f>
        <v>0.23963512927282551</v>
      </c>
      <c r="W261" s="394">
        <f>W292/W$249</f>
        <v>0.23301157484107665</v>
      </c>
      <c r="X261" s="394">
        <f>AVERAGE(T261:W261)</f>
        <v>0.23906463052402815</v>
      </c>
      <c r="Y261" s="394">
        <f>Y292/Y$249</f>
        <v>0.22641234985853978</v>
      </c>
      <c r="Z261" s="394">
        <f>Z292/Z$249</f>
        <v>0.22387543098197657</v>
      </c>
      <c r="AA261" s="394">
        <f>AA292/AA$249</f>
        <v>0.22095217104325368</v>
      </c>
      <c r="AB261" s="394">
        <f>AB292/AB$249</f>
        <v>0.21018231647323352</v>
      </c>
      <c r="AC261" s="716">
        <f>AVERAGE(Y261:AB261)</f>
        <v>0.22035556708925089</v>
      </c>
      <c r="AD261" s="716">
        <f>AD292/AD$249</f>
        <v>0.19756070461127467</v>
      </c>
      <c r="AE261" s="716">
        <f>AE292/AE$249</f>
        <v>0.19645722191434284</v>
      </c>
      <c r="AF261" s="716">
        <f>AF292/AF$249</f>
        <v>0.19333362597298898</v>
      </c>
      <c r="AG261" s="716">
        <f>AG292/AG$249</f>
        <v>0.17128990554863005</v>
      </c>
      <c r="AH261" s="716">
        <f>AVERAGE(AD261:AG261)</f>
        <v>0.18966036451180912</v>
      </c>
      <c r="AI261" s="716">
        <f>AI292/AI$249</f>
        <v>0.17767925377993821</v>
      </c>
      <c r="AJ261" s="716">
        <f>AJ292/AJ$249</f>
        <v>0.16768439941258556</v>
      </c>
      <c r="AK261" s="716">
        <f>AK292/AK$249</f>
        <v>0.15496735876468071</v>
      </c>
      <c r="AL261" s="716">
        <f>AL292/AL$249</f>
        <v>0.15098291918069018</v>
      </c>
      <c r="AM261" s="396">
        <f t="shared" ref="AM261:BA261" si="369">CHOOSE($U$1,AM258,AM259,AM260)</f>
        <v>0.16966036451180913</v>
      </c>
      <c r="AN261" s="396">
        <f t="shared" si="369"/>
        <v>7.2105654917518885E-2</v>
      </c>
      <c r="AO261" s="435">
        <f t="shared" si="369"/>
        <v>3.6052827458759443E-2</v>
      </c>
      <c r="AP261" s="396">
        <f t="shared" si="369"/>
        <v>1.0815848237627832E-2</v>
      </c>
      <c r="AQ261" s="396">
        <f t="shared" si="369"/>
        <v>1.0815848237627833E-3</v>
      </c>
      <c r="AR261" s="396">
        <f t="shared" si="369"/>
        <v>1.0815848237627833E-4</v>
      </c>
      <c r="AS261" s="396">
        <f t="shared" si="369"/>
        <v>1.0815848237627833E-5</v>
      </c>
      <c r="AT261" s="396">
        <f t="shared" si="369"/>
        <v>1.0815848237627833E-6</v>
      </c>
      <c r="AU261" s="396">
        <f t="shared" si="369"/>
        <v>1.0815848237627833E-7</v>
      </c>
      <c r="AV261" s="396">
        <f t="shared" si="369"/>
        <v>1.0815848237627834E-8</v>
      </c>
      <c r="AW261" s="396">
        <f t="shared" si="369"/>
        <v>1.0815848237627835E-9</v>
      </c>
      <c r="AX261" s="396">
        <f t="shared" si="369"/>
        <v>1.0815848237627835E-10</v>
      </c>
      <c r="AY261" s="396">
        <f t="shared" si="369"/>
        <v>1.0815848237627836E-11</v>
      </c>
      <c r="AZ261" s="396">
        <f t="shared" si="369"/>
        <v>1.0815848237627837E-12</v>
      </c>
      <c r="BA261" s="396">
        <f t="shared" si="369"/>
        <v>1.0815848237627837E-13</v>
      </c>
      <c r="BB261" s="77"/>
    </row>
    <row r="262" spans="1:54" ht="12.75" hidden="1" customHeight="1" outlineLevel="1">
      <c r="A262" s="379"/>
      <c r="B262" s="393" t="s">
        <v>423</v>
      </c>
      <c r="C262" s="394"/>
      <c r="D262" s="394"/>
      <c r="E262" s="394"/>
      <c r="F262" s="394"/>
      <c r="G262" s="394"/>
      <c r="H262" s="394"/>
      <c r="I262" s="394"/>
      <c r="J262" s="394"/>
      <c r="K262" s="394"/>
      <c r="L262" s="394"/>
      <c r="M262" s="394"/>
      <c r="N262" s="394"/>
      <c r="O262" s="394"/>
      <c r="P262" s="394"/>
      <c r="Q262" s="394"/>
      <c r="R262" s="394"/>
      <c r="S262" s="394"/>
      <c r="T262" s="394"/>
      <c r="U262" s="394"/>
      <c r="V262" s="394"/>
      <c r="W262" s="397"/>
      <c r="X262" s="394"/>
      <c r="Y262" s="394"/>
      <c r="Z262" s="394"/>
      <c r="AA262" s="394"/>
      <c r="AB262" s="397"/>
      <c r="AC262" s="716"/>
      <c r="AD262" s="716"/>
      <c r="AE262" s="716"/>
      <c r="AF262" s="716"/>
      <c r="AG262" s="718"/>
      <c r="AH262" s="716"/>
      <c r="AI262" s="716"/>
      <c r="AJ262" s="716"/>
      <c r="AK262" s="716"/>
      <c r="AL262" s="718"/>
      <c r="AM262" s="394">
        <f t="shared" ref="AM262:AS262" si="370">AM263*1.2</f>
        <v>0.14399999999999999</v>
      </c>
      <c r="AN262" s="394">
        <f t="shared" si="370"/>
        <v>9.6000000000000002E-2</v>
      </c>
      <c r="AO262" s="394">
        <f t="shared" si="370"/>
        <v>8.6400000000000005E-2</v>
      </c>
      <c r="AP262" s="394">
        <f t="shared" si="370"/>
        <v>8.6400000000000005E-2</v>
      </c>
      <c r="AQ262" s="716">
        <f t="shared" si="370"/>
        <v>8.6400000000000005E-2</v>
      </c>
      <c r="AR262" s="716">
        <f t="shared" si="370"/>
        <v>8.6400000000000005E-2</v>
      </c>
      <c r="AS262" s="716">
        <f t="shared" si="370"/>
        <v>8.6400000000000018E-3</v>
      </c>
      <c r="AT262" s="394">
        <f t="shared" ref="AT262:BA262" si="371">AS262*0.1</f>
        <v>8.6400000000000018E-4</v>
      </c>
      <c r="AU262" s="394">
        <f t="shared" si="371"/>
        <v>8.6400000000000027E-5</v>
      </c>
      <c r="AV262" s="394">
        <f t="shared" si="371"/>
        <v>8.6400000000000037E-6</v>
      </c>
      <c r="AW262" s="394">
        <f t="shared" si="371"/>
        <v>8.6400000000000043E-7</v>
      </c>
      <c r="AX262" s="394">
        <f t="shared" si="371"/>
        <v>8.6400000000000046E-8</v>
      </c>
      <c r="AY262" s="394">
        <f t="shared" si="371"/>
        <v>8.6400000000000049E-9</v>
      </c>
      <c r="AZ262" s="394">
        <f t="shared" si="371"/>
        <v>8.6400000000000053E-10</v>
      </c>
      <c r="BA262" s="394">
        <f t="shared" si="371"/>
        <v>8.6400000000000058E-11</v>
      </c>
      <c r="BB262" s="77"/>
    </row>
    <row r="263" spans="1:54" ht="12.75" hidden="1" customHeight="1" outlineLevel="1">
      <c r="A263" s="379"/>
      <c r="B263" s="393" t="s">
        <v>424</v>
      </c>
      <c r="C263" s="394"/>
      <c r="D263" s="394"/>
      <c r="E263" s="394"/>
      <c r="F263" s="394"/>
      <c r="G263" s="394"/>
      <c r="H263" s="394"/>
      <c r="I263" s="394"/>
      <c r="J263" s="394"/>
      <c r="K263" s="394"/>
      <c r="L263" s="394"/>
      <c r="M263" s="394"/>
      <c r="N263" s="394"/>
      <c r="O263" s="394"/>
      <c r="P263" s="394"/>
      <c r="Q263" s="394"/>
      <c r="R263" s="394"/>
      <c r="S263" s="394"/>
      <c r="T263" s="394"/>
      <c r="U263" s="394"/>
      <c r="V263" s="394"/>
      <c r="W263" s="397"/>
      <c r="X263" s="394"/>
      <c r="Y263" s="394"/>
      <c r="Z263" s="394"/>
      <c r="AA263" s="394"/>
      <c r="AB263" s="397"/>
      <c r="AC263" s="716"/>
      <c r="AD263" s="716"/>
      <c r="AE263" s="716"/>
      <c r="AF263" s="716"/>
      <c r="AG263" s="718"/>
      <c r="AH263" s="716"/>
      <c r="AI263" s="716"/>
      <c r="AJ263" s="716"/>
      <c r="AK263" s="716"/>
      <c r="AL263" s="718"/>
      <c r="AM263" s="394">
        <v>0.12</v>
      </c>
      <c r="AN263" s="394">
        <v>0.08</v>
      </c>
      <c r="AO263" s="394">
        <f>AN263*0.9</f>
        <v>7.2000000000000008E-2</v>
      </c>
      <c r="AP263" s="394">
        <f>AO263</f>
        <v>7.2000000000000008E-2</v>
      </c>
      <c r="AQ263" s="394">
        <f>AP263</f>
        <v>7.2000000000000008E-2</v>
      </c>
      <c r="AR263" s="394">
        <f>AQ263</f>
        <v>7.2000000000000008E-2</v>
      </c>
      <c r="AS263" s="394">
        <f>AR263*0.1</f>
        <v>7.2000000000000015E-3</v>
      </c>
      <c r="AT263" s="394">
        <f t="shared" ref="AT263:BA263" si="372">AS263*0.1</f>
        <v>7.2000000000000015E-4</v>
      </c>
      <c r="AU263" s="394">
        <f t="shared" si="372"/>
        <v>7.2000000000000015E-5</v>
      </c>
      <c r="AV263" s="394">
        <f t="shared" si="372"/>
        <v>7.2000000000000022E-6</v>
      </c>
      <c r="AW263" s="394">
        <f t="shared" si="372"/>
        <v>7.2000000000000031E-7</v>
      </c>
      <c r="AX263" s="394">
        <f t="shared" si="372"/>
        <v>7.2000000000000036E-8</v>
      </c>
      <c r="AY263" s="394">
        <f t="shared" si="372"/>
        <v>7.2000000000000041E-9</v>
      </c>
      <c r="AZ263" s="394">
        <f t="shared" si="372"/>
        <v>7.2000000000000041E-10</v>
      </c>
      <c r="BA263" s="394">
        <f t="shared" si="372"/>
        <v>7.2000000000000049E-11</v>
      </c>
      <c r="BB263" s="77"/>
    </row>
    <row r="264" spans="1:54" ht="12.75" hidden="1" customHeight="1" outlineLevel="1">
      <c r="A264" s="379"/>
      <c r="B264" s="393" t="s">
        <v>425</v>
      </c>
      <c r="C264" s="394"/>
      <c r="D264" s="394"/>
      <c r="E264" s="394"/>
      <c r="F264" s="394"/>
      <c r="G264" s="394"/>
      <c r="H264" s="394"/>
      <c r="I264" s="394"/>
      <c r="J264" s="394"/>
      <c r="K264" s="394"/>
      <c r="L264" s="394"/>
      <c r="M264" s="394"/>
      <c r="N264" s="394"/>
      <c r="O264" s="394"/>
      <c r="P264" s="394"/>
      <c r="Q264" s="394"/>
      <c r="R264" s="394"/>
      <c r="S264" s="394"/>
      <c r="T264" s="394"/>
      <c r="U264" s="394"/>
      <c r="V264" s="394"/>
      <c r="W264" s="397"/>
      <c r="X264" s="394"/>
      <c r="Y264" s="394"/>
      <c r="Z264" s="394"/>
      <c r="AA264" s="394"/>
      <c r="AB264" s="397"/>
      <c r="AC264" s="716"/>
      <c r="AD264" s="716"/>
      <c r="AE264" s="716"/>
      <c r="AF264" s="716"/>
      <c r="AG264" s="718"/>
      <c r="AH264" s="716"/>
      <c r="AI264" s="716"/>
      <c r="AJ264" s="716"/>
      <c r="AK264" s="716"/>
      <c r="AL264" s="718"/>
      <c r="AM264" s="394">
        <f>AM263*0.85</f>
        <v>0.10199999999999999</v>
      </c>
      <c r="AN264" s="394">
        <f>AN263*0.85</f>
        <v>6.8000000000000005E-2</v>
      </c>
      <c r="AO264" s="394">
        <f>AN264*0.9</f>
        <v>6.1200000000000004E-2</v>
      </c>
      <c r="AP264" s="394">
        <f>AO264*0.9</f>
        <v>5.5080000000000004E-2</v>
      </c>
      <c r="AQ264" s="394">
        <f>AP264*0.9</f>
        <v>4.9572000000000005E-2</v>
      </c>
      <c r="AR264" s="394">
        <f>AQ264*0.9</f>
        <v>4.4614800000000003E-2</v>
      </c>
      <c r="AS264" s="394">
        <f>AR264*0.1</f>
        <v>4.4614800000000003E-3</v>
      </c>
      <c r="AT264" s="394">
        <f t="shared" ref="AT264:BA264" si="373">AS264*0.1</f>
        <v>4.4614800000000005E-4</v>
      </c>
      <c r="AU264" s="394">
        <f t="shared" si="373"/>
        <v>4.4614800000000005E-5</v>
      </c>
      <c r="AV264" s="394">
        <f t="shared" si="373"/>
        <v>4.4614800000000007E-6</v>
      </c>
      <c r="AW264" s="394">
        <f t="shared" si="373"/>
        <v>4.4614800000000011E-7</v>
      </c>
      <c r="AX264" s="394">
        <f t="shared" si="373"/>
        <v>4.4614800000000015E-8</v>
      </c>
      <c r="AY264" s="394">
        <f t="shared" si="373"/>
        <v>4.4614800000000018E-9</v>
      </c>
      <c r="AZ264" s="394">
        <f t="shared" si="373"/>
        <v>4.4614800000000019E-10</v>
      </c>
      <c r="BA264" s="394">
        <f t="shared" si="373"/>
        <v>4.4614800000000019E-11</v>
      </c>
      <c r="BB264" s="77"/>
    </row>
    <row r="265" spans="1:54" s="12" customFormat="1" ht="12.75" customHeight="1" collapsed="1">
      <c r="A265" s="379" t="s">
        <v>578</v>
      </c>
      <c r="B265" s="717" t="s">
        <v>902</v>
      </c>
      <c r="C265" s="394"/>
      <c r="D265" s="394"/>
      <c r="E265" s="394"/>
      <c r="F265" s="394"/>
      <c r="G265" s="394"/>
      <c r="H265" s="394"/>
      <c r="I265" s="394"/>
      <c r="J265" s="394"/>
      <c r="K265" s="394"/>
      <c r="L265" s="394">
        <v>0</v>
      </c>
      <c r="M265" s="394">
        <v>0</v>
      </c>
      <c r="N265" s="394">
        <v>2.0000000000000001E-4</v>
      </c>
      <c r="O265" s="394">
        <f>O293/O$249</f>
        <v>1.7400090069825803E-4</v>
      </c>
      <c r="P265" s="394">
        <f>P293/P$249</f>
        <v>3.142504088338854E-3</v>
      </c>
      <c r="Q265" s="394">
        <f>Q293/Q$249</f>
        <v>1.1672894863541346E-2</v>
      </c>
      <c r="R265" s="394">
        <f>R293/R$249</f>
        <v>1.5523548462697124E-2</v>
      </c>
      <c r="S265" s="394">
        <f>AVERAGE(O265:R265)</f>
        <v>7.6282370788188954E-3</v>
      </c>
      <c r="T265" s="394">
        <f>T293/T$249</f>
        <v>8.1300655850883394E-3</v>
      </c>
      <c r="U265" s="394">
        <f>U293/U$249</f>
        <v>1.2790720387215395E-2</v>
      </c>
      <c r="V265" s="394">
        <f>V293/V$249</f>
        <v>2.8271911090403598E-2</v>
      </c>
      <c r="W265" s="394">
        <f>W293/W$249</f>
        <v>4.2617298846025296E-2</v>
      </c>
      <c r="X265" s="394">
        <f>AVERAGE(T265:W265)</f>
        <v>2.2952498977183156E-2</v>
      </c>
      <c r="Y265" s="394">
        <f>Y293/Y$249</f>
        <v>5.4365875853837432E-2</v>
      </c>
      <c r="Z265" s="394">
        <f>Z293/Z$249</f>
        <v>6.3952787269281192E-2</v>
      </c>
      <c r="AA265" s="394">
        <f>AA293/AA$249</f>
        <v>8.2332793106666732E-2</v>
      </c>
      <c r="AB265" s="394">
        <f>AB293/AB$249</f>
        <v>8.9880860974447585E-2</v>
      </c>
      <c r="AC265" s="716">
        <f>AVERAGE(Y265:AB265)</f>
        <v>7.2633079301058237E-2</v>
      </c>
      <c r="AD265" s="716">
        <f>AD293/AD$249</f>
        <v>9.4162625497353367E-2</v>
      </c>
      <c r="AE265" s="716">
        <f>AE293/AE$249</f>
        <v>0.10461423251367681</v>
      </c>
      <c r="AF265" s="716">
        <f>AF293/AF$249</f>
        <v>0.11581721918838106</v>
      </c>
      <c r="AG265" s="716">
        <f>AG293/AG$249</f>
        <v>0.12517412746380957</v>
      </c>
      <c r="AH265" s="716">
        <f>AVERAGE(AD265:AG265)</f>
        <v>0.1099420511658052</v>
      </c>
      <c r="AI265" s="716">
        <f>AI293/AI$249</f>
        <v>0.12757029694674238</v>
      </c>
      <c r="AJ265" s="716">
        <f>AJ293/AJ$249</f>
        <v>0.13159721204387256</v>
      </c>
      <c r="AK265" s="716">
        <f>AK293/AK$249</f>
        <v>0.14600563366392921</v>
      </c>
      <c r="AL265" s="716">
        <f>AL293/AL$249</f>
        <v>0.14243671620819828</v>
      </c>
      <c r="AM265" s="396">
        <f t="shared" ref="AM265:BA265" si="374">CHOOSE($U$1,AM262,AM263,AM264)</f>
        <v>0.12</v>
      </c>
      <c r="AN265" s="396">
        <f t="shared" si="374"/>
        <v>0.08</v>
      </c>
      <c r="AO265" s="396">
        <f t="shared" si="374"/>
        <v>7.2000000000000008E-2</v>
      </c>
      <c r="AP265" s="396">
        <f t="shared" si="374"/>
        <v>7.2000000000000008E-2</v>
      </c>
      <c r="AQ265" s="396">
        <f t="shared" si="374"/>
        <v>7.2000000000000008E-2</v>
      </c>
      <c r="AR265" s="396">
        <f t="shared" si="374"/>
        <v>7.2000000000000008E-2</v>
      </c>
      <c r="AS265" s="396">
        <f t="shared" si="374"/>
        <v>7.2000000000000015E-3</v>
      </c>
      <c r="AT265" s="396">
        <f t="shared" si="374"/>
        <v>7.2000000000000015E-4</v>
      </c>
      <c r="AU265" s="396">
        <f t="shared" si="374"/>
        <v>7.2000000000000015E-5</v>
      </c>
      <c r="AV265" s="396">
        <f t="shared" si="374"/>
        <v>7.2000000000000022E-6</v>
      </c>
      <c r="AW265" s="396">
        <f t="shared" si="374"/>
        <v>7.2000000000000031E-7</v>
      </c>
      <c r="AX265" s="396">
        <f t="shared" si="374"/>
        <v>7.2000000000000036E-8</v>
      </c>
      <c r="AY265" s="396">
        <f t="shared" si="374"/>
        <v>7.2000000000000041E-9</v>
      </c>
      <c r="AZ265" s="396">
        <f t="shared" si="374"/>
        <v>7.2000000000000041E-10</v>
      </c>
      <c r="BA265" s="396">
        <f t="shared" si="374"/>
        <v>7.2000000000000049E-11</v>
      </c>
      <c r="BB265" s="77"/>
    </row>
    <row r="266" spans="1:54" s="12" customFormat="1" ht="12.75" hidden="1" customHeight="1" outlineLevel="1">
      <c r="A266" s="379"/>
      <c r="B266" s="393" t="s">
        <v>423</v>
      </c>
      <c r="C266" s="394"/>
      <c r="D266" s="394"/>
      <c r="E266" s="394"/>
      <c r="F266" s="394"/>
      <c r="G266" s="394"/>
      <c r="H266" s="394"/>
      <c r="I266" s="394"/>
      <c r="J266" s="394"/>
      <c r="K266" s="394"/>
      <c r="L266" s="394"/>
      <c r="M266" s="394"/>
      <c r="N266" s="394"/>
      <c r="O266" s="394"/>
      <c r="P266" s="394"/>
      <c r="Q266" s="394"/>
      <c r="R266" s="394"/>
      <c r="S266" s="394"/>
      <c r="T266" s="394"/>
      <c r="U266" s="394"/>
      <c r="V266" s="394"/>
      <c r="W266" s="397"/>
      <c r="X266" s="394"/>
      <c r="Y266" s="394"/>
      <c r="Z266" s="394"/>
      <c r="AA266" s="394"/>
      <c r="AB266" s="397"/>
      <c r="AC266" s="716"/>
      <c r="AD266" s="716"/>
      <c r="AE266" s="716"/>
      <c r="AF266" s="716"/>
      <c r="AG266" s="718"/>
      <c r="AH266" s="716"/>
      <c r="AI266" s="716"/>
      <c r="AJ266" s="716"/>
      <c r="AK266" s="716"/>
      <c r="AL266" s="718"/>
      <c r="AM266" s="394">
        <f t="shared" ref="AM266:AU266" si="375">AM267*1.2</f>
        <v>2.1000000000000001E-2</v>
      </c>
      <c r="AN266" s="716">
        <f t="shared" si="375"/>
        <v>1.9800000000000002E-2</v>
      </c>
      <c r="AO266" s="716">
        <f t="shared" si="375"/>
        <v>1.6799999999999999E-2</v>
      </c>
      <c r="AP266" s="716">
        <f t="shared" si="375"/>
        <v>1.5599999999999999E-2</v>
      </c>
      <c r="AQ266" s="716">
        <f t="shared" si="375"/>
        <v>1.5209999999999998E-2</v>
      </c>
      <c r="AR266" s="716">
        <f t="shared" si="375"/>
        <v>1.4829749999999999E-2</v>
      </c>
      <c r="AS266" s="716">
        <f t="shared" si="375"/>
        <v>1.4459006249999998E-2</v>
      </c>
      <c r="AT266" s="716">
        <f t="shared" si="375"/>
        <v>1.4097531093749997E-2</v>
      </c>
      <c r="AU266" s="716">
        <f t="shared" si="375"/>
        <v>1.4097531093749997E-2</v>
      </c>
      <c r="AV266" s="716">
        <f t="shared" ref="AV266:AX266" si="376">AU266+(AU255-AV255)</f>
        <v>1.4097670948837689E-2</v>
      </c>
      <c r="AW266" s="716">
        <f t="shared" si="376"/>
        <v>1.4097684934346457E-2</v>
      </c>
      <c r="AX266" s="716">
        <f t="shared" si="376"/>
        <v>1.4097686332897335E-2</v>
      </c>
      <c r="AY266" s="716">
        <f>AX266+(AX255-AY255)</f>
        <v>1.4097686472752422E-2</v>
      </c>
      <c r="AZ266" s="394">
        <f t="shared" ref="AZ266:BA268" si="377">AY266*0.1</f>
        <v>1.4097686472752423E-3</v>
      </c>
      <c r="BA266" s="394">
        <f t="shared" si="377"/>
        <v>1.4097686472752425E-4</v>
      </c>
      <c r="BB266" s="77"/>
    </row>
    <row r="267" spans="1:54" s="12" customFormat="1" ht="12.75" hidden="1" customHeight="1" outlineLevel="1">
      <c r="A267" s="379"/>
      <c r="B267" s="393" t="s">
        <v>424</v>
      </c>
      <c r="C267" s="394"/>
      <c r="D267" s="394"/>
      <c r="E267" s="394"/>
      <c r="F267" s="394"/>
      <c r="G267" s="394"/>
      <c r="H267" s="394"/>
      <c r="I267" s="394"/>
      <c r="J267" s="394"/>
      <c r="K267" s="394"/>
      <c r="L267" s="394"/>
      <c r="M267" s="394"/>
      <c r="N267" s="394"/>
      <c r="O267" s="394"/>
      <c r="P267" s="394"/>
      <c r="Q267" s="394"/>
      <c r="R267" s="394"/>
      <c r="S267" s="394"/>
      <c r="T267" s="394"/>
      <c r="U267" s="394"/>
      <c r="V267" s="394"/>
      <c r="W267" s="397"/>
      <c r="X267" s="394"/>
      <c r="Y267" s="394"/>
      <c r="Z267" s="394"/>
      <c r="AA267" s="394"/>
      <c r="AB267" s="397"/>
      <c r="AC267" s="716"/>
      <c r="AD267" s="716"/>
      <c r="AE267" s="716"/>
      <c r="AF267" s="716"/>
      <c r="AG267" s="718"/>
      <c r="AH267" s="716"/>
      <c r="AI267" s="716"/>
      <c r="AJ267" s="716"/>
      <c r="AK267" s="716"/>
      <c r="AL267" s="718"/>
      <c r="AM267" s="394">
        <v>1.7500000000000002E-2</v>
      </c>
      <c r="AN267" s="394">
        <v>1.6500000000000001E-2</v>
      </c>
      <c r="AO267" s="394">
        <v>1.4E-2</v>
      </c>
      <c r="AP267" s="394">
        <v>1.2999999999999999E-2</v>
      </c>
      <c r="AQ267" s="716">
        <f>AP267*0.975</f>
        <v>1.2674999999999999E-2</v>
      </c>
      <c r="AR267" s="716">
        <f>AQ267*0.975</f>
        <v>1.2358124999999999E-2</v>
      </c>
      <c r="AS267" s="716">
        <f>AR267*0.975</f>
        <v>1.2049171874999999E-2</v>
      </c>
      <c r="AT267" s="716">
        <f>AS267*0.975</f>
        <v>1.1747942578124998E-2</v>
      </c>
      <c r="AU267" s="394">
        <f t="shared" ref="AU267" si="378">AT267</f>
        <v>1.1747942578124998E-2</v>
      </c>
      <c r="AV267" s="716">
        <f>AU267*0.975</f>
        <v>1.1454244013671873E-2</v>
      </c>
      <c r="AW267" s="716">
        <f>AV267*0.975</f>
        <v>1.1167887913330076E-2</v>
      </c>
      <c r="AX267" s="716">
        <f>AW267*0.975</f>
        <v>1.0888690715496824E-2</v>
      </c>
      <c r="AY267" s="716">
        <f>AX267*0.975</f>
        <v>1.0616473447609404E-2</v>
      </c>
      <c r="AZ267" s="737">
        <f>AY267*0.1</f>
        <v>1.0616473447609405E-3</v>
      </c>
      <c r="BA267" s="737">
        <f t="shared" si="377"/>
        <v>1.0616473447609405E-4</v>
      </c>
      <c r="BB267" s="694"/>
    </row>
    <row r="268" spans="1:54" s="12" customFormat="1" ht="12.75" hidden="1" customHeight="1" outlineLevel="1">
      <c r="A268" s="379"/>
      <c r="B268" s="393" t="s">
        <v>425</v>
      </c>
      <c r="C268" s="394"/>
      <c r="D268" s="394"/>
      <c r="E268" s="394"/>
      <c r="F268" s="394"/>
      <c r="G268" s="394"/>
      <c r="H268" s="394"/>
      <c r="I268" s="394"/>
      <c r="J268" s="394"/>
      <c r="K268" s="394"/>
      <c r="L268" s="394"/>
      <c r="M268" s="394"/>
      <c r="N268" s="394"/>
      <c r="O268" s="394"/>
      <c r="P268" s="394"/>
      <c r="Q268" s="394"/>
      <c r="R268" s="394"/>
      <c r="S268" s="394"/>
      <c r="T268" s="394"/>
      <c r="U268" s="394"/>
      <c r="V268" s="394"/>
      <c r="W268" s="397"/>
      <c r="X268" s="394"/>
      <c r="Y268" s="394"/>
      <c r="Z268" s="394"/>
      <c r="AA268" s="394"/>
      <c r="AB268" s="397"/>
      <c r="AC268" s="716"/>
      <c r="AD268" s="716"/>
      <c r="AE268" s="716"/>
      <c r="AF268" s="716"/>
      <c r="AG268" s="718"/>
      <c r="AH268" s="716"/>
      <c r="AI268" s="716"/>
      <c r="AJ268" s="716"/>
      <c r="AK268" s="716"/>
      <c r="AL268" s="718"/>
      <c r="AM268" s="394">
        <f>AM267*0.85</f>
        <v>1.4875000000000001E-2</v>
      </c>
      <c r="AN268" s="394">
        <f>AN267*0.85</f>
        <v>1.4025000000000001E-2</v>
      </c>
      <c r="AO268" s="394">
        <f>AN268*0.9</f>
        <v>1.2622500000000002E-2</v>
      </c>
      <c r="AP268" s="394">
        <f>AO268*0.9</f>
        <v>1.1360250000000002E-2</v>
      </c>
      <c r="AQ268" s="394">
        <f>AP268*0.9</f>
        <v>1.0224225000000002E-2</v>
      </c>
      <c r="AR268" s="394">
        <f t="shared" ref="AR268:AY268" si="379">AQ268*0.9</f>
        <v>9.2018025000000017E-3</v>
      </c>
      <c r="AS268" s="394">
        <f t="shared" si="379"/>
        <v>8.2816222500000022E-3</v>
      </c>
      <c r="AT268" s="394">
        <f t="shared" si="379"/>
        <v>7.4534600250000024E-3</v>
      </c>
      <c r="AU268" s="394">
        <f t="shared" si="379"/>
        <v>6.7081140225000021E-3</v>
      </c>
      <c r="AV268" s="394">
        <f t="shared" si="379"/>
        <v>6.037302620250002E-3</v>
      </c>
      <c r="AW268" s="394">
        <f t="shared" si="379"/>
        <v>5.433572358225002E-3</v>
      </c>
      <c r="AX268" s="716">
        <f t="shared" si="379"/>
        <v>4.890215122402502E-3</v>
      </c>
      <c r="AY268" s="716">
        <f t="shared" si="379"/>
        <v>4.4011936101622517E-3</v>
      </c>
      <c r="AZ268" s="394">
        <f t="shared" si="377"/>
        <v>4.4011936101622521E-4</v>
      </c>
      <c r="BA268" s="394">
        <f t="shared" si="377"/>
        <v>4.4011936101622523E-5</v>
      </c>
      <c r="BB268" s="694"/>
    </row>
    <row r="269" spans="1:54" s="2" customFormat="1" ht="12.75" customHeight="1" collapsed="1">
      <c r="A269" s="379" t="s">
        <v>578</v>
      </c>
      <c r="B269" s="717" t="s">
        <v>903</v>
      </c>
      <c r="C269" s="394"/>
      <c r="D269" s="394"/>
      <c r="E269" s="394"/>
      <c r="F269" s="394"/>
      <c r="G269" s="394"/>
      <c r="H269" s="394"/>
      <c r="I269" s="394"/>
      <c r="J269" s="394"/>
      <c r="K269" s="394"/>
      <c r="L269" s="394">
        <v>0</v>
      </c>
      <c r="M269" s="394">
        <v>0</v>
      </c>
      <c r="N269" s="394">
        <v>0</v>
      </c>
      <c r="O269" s="394">
        <f>O294/O$249</f>
        <v>0</v>
      </c>
      <c r="P269" s="394">
        <f>P294/P$249</f>
        <v>0</v>
      </c>
      <c r="Q269" s="394">
        <f>Q294/Q$249</f>
        <v>0</v>
      </c>
      <c r="R269" s="394">
        <f>R294/R$249</f>
        <v>0</v>
      </c>
      <c r="S269" s="394">
        <f>AVERAGE(O269:R269)</f>
        <v>0</v>
      </c>
      <c r="T269" s="394">
        <f>T294/T$249</f>
        <v>3.2138390758276411E-4</v>
      </c>
      <c r="U269" s="394">
        <f>U294/U$249</f>
        <v>3.7150340695445584E-4</v>
      </c>
      <c r="V269" s="394">
        <f>V294/V$249</f>
        <v>1.0961284972441279E-3</v>
      </c>
      <c r="W269" s="394">
        <f>W294/W$249</f>
        <v>1.6037204965468038E-3</v>
      </c>
      <c r="X269" s="394">
        <f>AVERAGE(T269:W269)</f>
        <v>8.4818407708203789E-4</v>
      </c>
      <c r="Y269" s="394">
        <f>Y294/Y$249</f>
        <v>6.0776994131706156E-3</v>
      </c>
      <c r="Z269" s="394">
        <f>Z294/Z$249</f>
        <v>5.6688433026316383E-3</v>
      </c>
      <c r="AA269" s="394">
        <f>AA294/AA$249</f>
        <v>8.2987764706916375E-3</v>
      </c>
      <c r="AB269" s="394">
        <f>AB294/AB$249</f>
        <v>8.3321763717654086E-3</v>
      </c>
      <c r="AC269" s="716">
        <f>AVERAGE(Y269:AB269)</f>
        <v>7.0943738895648239E-3</v>
      </c>
      <c r="AD269" s="716">
        <f>AD294/AD$249</f>
        <v>1.2860826706147268E-2</v>
      </c>
      <c r="AE269" s="716">
        <f>AE294/AE$249</f>
        <v>2.2685846791130747E-2</v>
      </c>
      <c r="AF269" s="716">
        <f>AF294/AF$249</f>
        <v>3.105313932392393E-2</v>
      </c>
      <c r="AG269" s="716">
        <f>AG294/AG$249</f>
        <v>4.4422300974462106E-2</v>
      </c>
      <c r="AH269" s="716">
        <f>AVERAGE(AD269:AG269)</f>
        <v>2.7755528448916014E-2</v>
      </c>
      <c r="AI269" s="716">
        <f>AI294/AI$249</f>
        <v>4.2352653530721956E-2</v>
      </c>
      <c r="AJ269" s="716">
        <f>AJ294/AJ$249</f>
        <v>4.6987689818880449E-2</v>
      </c>
      <c r="AK269" s="716">
        <f>AK294/AK$249</f>
        <v>6.0416124274729324E-2</v>
      </c>
      <c r="AL269" s="716">
        <f>AL294/AL$249</f>
        <v>6.2472243950964165E-2</v>
      </c>
      <c r="AM269" s="396">
        <f t="shared" ref="AM269:BA269" si="380">CHOOSE($U$1,AM266,AM267,AM268)</f>
        <v>1.7500000000000002E-2</v>
      </c>
      <c r="AN269" s="396">
        <f t="shared" si="380"/>
        <v>1.6500000000000001E-2</v>
      </c>
      <c r="AO269" s="396">
        <f t="shared" si="380"/>
        <v>1.4E-2</v>
      </c>
      <c r="AP269" s="396">
        <f t="shared" si="380"/>
        <v>1.2999999999999999E-2</v>
      </c>
      <c r="AQ269" s="396">
        <f t="shared" si="380"/>
        <v>1.2674999999999999E-2</v>
      </c>
      <c r="AR269" s="396">
        <f t="shared" si="380"/>
        <v>1.2358124999999999E-2</v>
      </c>
      <c r="AS269" s="396">
        <f t="shared" si="380"/>
        <v>1.2049171874999999E-2</v>
      </c>
      <c r="AT269" s="396">
        <f t="shared" si="380"/>
        <v>1.1747942578124998E-2</v>
      </c>
      <c r="AU269" s="396">
        <f t="shared" si="380"/>
        <v>1.1747942578124998E-2</v>
      </c>
      <c r="AV269" s="396">
        <f t="shared" si="380"/>
        <v>1.1454244013671873E-2</v>
      </c>
      <c r="AW269" s="396">
        <f t="shared" si="380"/>
        <v>1.1167887913330076E-2</v>
      </c>
      <c r="AX269" s="396">
        <f t="shared" si="380"/>
        <v>1.0888690715496824E-2</v>
      </c>
      <c r="AY269" s="396">
        <f t="shared" si="380"/>
        <v>1.0616473447609404E-2</v>
      </c>
      <c r="AZ269" s="396">
        <f t="shared" si="380"/>
        <v>1.0616473447609405E-3</v>
      </c>
      <c r="BA269" s="396">
        <f t="shared" si="380"/>
        <v>1.0616473447609405E-4</v>
      </c>
      <c r="BB269" s="77"/>
    </row>
    <row r="270" spans="1:54" s="77" customFormat="1" ht="12.75" customHeight="1" outlineLevel="1">
      <c r="A270" s="379"/>
      <c r="B270" s="393" t="s">
        <v>423</v>
      </c>
      <c r="C270" s="716"/>
      <c r="D270" s="716"/>
      <c r="E270" s="716"/>
      <c r="F270" s="716"/>
      <c r="G270" s="716"/>
      <c r="H270" s="716"/>
      <c r="I270" s="716"/>
      <c r="J270" s="716"/>
      <c r="K270" s="716"/>
      <c r="L270" s="716"/>
      <c r="M270" s="716"/>
      <c r="N270" s="716"/>
      <c r="O270" s="716"/>
      <c r="P270" s="716"/>
      <c r="Q270" s="716"/>
      <c r="R270" s="716"/>
      <c r="S270" s="716"/>
      <c r="T270" s="716"/>
      <c r="U270" s="716"/>
      <c r="V270" s="716"/>
      <c r="W270" s="716"/>
      <c r="X270" s="716"/>
      <c r="Y270" s="716"/>
      <c r="Z270" s="716"/>
      <c r="AA270" s="716"/>
      <c r="AB270" s="716"/>
      <c r="AC270" s="396"/>
      <c r="AD270" s="396"/>
      <c r="AE270" s="396"/>
      <c r="AF270" s="396"/>
      <c r="AG270" s="396"/>
      <c r="AH270" s="396"/>
      <c r="AI270" s="396"/>
      <c r="AJ270" s="396"/>
      <c r="AK270" s="396"/>
      <c r="AL270" s="396"/>
      <c r="AM270" s="716">
        <f>AM271*1.02</f>
        <v>1.2750000000000001E-2</v>
      </c>
      <c r="AN270" s="716">
        <f t="shared" ref="AN270:AY270" si="381">AN271*1.02</f>
        <v>7.1400000000000005E-2</v>
      </c>
      <c r="AO270" s="716">
        <f t="shared" si="381"/>
        <v>0.1173</v>
      </c>
      <c r="AP270" s="716">
        <f t="shared" si="381"/>
        <v>0.15835500000000002</v>
      </c>
      <c r="AQ270" s="716">
        <f t="shared" si="381"/>
        <v>0.21377925000000003</v>
      </c>
      <c r="AR270" s="716">
        <f>AR271*1.02</f>
        <v>0.17102340000000005</v>
      </c>
      <c r="AS270" s="716">
        <f t="shared" si="381"/>
        <v>0.13681872000000003</v>
      </c>
      <c r="AT270" s="716">
        <f t="shared" si="381"/>
        <v>0.10945497600000004</v>
      </c>
      <c r="AU270" s="716">
        <f t="shared" si="381"/>
        <v>0.10398222720000003</v>
      </c>
      <c r="AV270" s="716">
        <f t="shared" si="381"/>
        <v>9.8783115840000033E-2</v>
      </c>
      <c r="AW270" s="716">
        <f t="shared" si="381"/>
        <v>9.3843960048000011E-2</v>
      </c>
      <c r="AX270" s="716">
        <f t="shared" si="381"/>
        <v>8.9151762045600019E-2</v>
      </c>
      <c r="AY270" s="716">
        <f t="shared" si="381"/>
        <v>8.4694173943320017E-2</v>
      </c>
      <c r="AZ270" s="718">
        <f>AY270*0.1</f>
        <v>8.4694173943320027E-3</v>
      </c>
      <c r="BA270" s="718">
        <f>AZ270*0.2</f>
        <v>1.6938834788664007E-3</v>
      </c>
    </row>
    <row r="271" spans="1:54" s="77" customFormat="1" ht="12.75" customHeight="1" outlineLevel="1">
      <c r="A271" s="379"/>
      <c r="B271" s="393" t="s">
        <v>424</v>
      </c>
      <c r="C271" s="716"/>
      <c r="D271" s="716"/>
      <c r="E271" s="716"/>
      <c r="F271" s="716"/>
      <c r="G271" s="716"/>
      <c r="H271" s="716"/>
      <c r="I271" s="716"/>
      <c r="J271" s="716"/>
      <c r="K271" s="716"/>
      <c r="L271" s="716"/>
      <c r="M271" s="716"/>
      <c r="N271" s="716"/>
      <c r="O271" s="716"/>
      <c r="P271" s="716"/>
      <c r="Q271" s="716"/>
      <c r="R271" s="716"/>
      <c r="S271" s="716"/>
      <c r="T271" s="716"/>
      <c r="U271" s="716"/>
      <c r="V271" s="716"/>
      <c r="W271" s="716"/>
      <c r="X271" s="716"/>
      <c r="Y271" s="716"/>
      <c r="Z271" s="716"/>
      <c r="AA271" s="716"/>
      <c r="AB271" s="716"/>
      <c r="AC271" s="396"/>
      <c r="AD271" s="396"/>
      <c r="AE271" s="396"/>
      <c r="AF271" s="396"/>
      <c r="AG271" s="396"/>
      <c r="AH271" s="396"/>
      <c r="AI271" s="396"/>
      <c r="AJ271" s="396"/>
      <c r="AK271" s="396"/>
      <c r="AL271" s="396"/>
      <c r="AM271" s="718">
        <v>1.2500000000000001E-2</v>
      </c>
      <c r="AN271" s="718">
        <v>7.0000000000000007E-2</v>
      </c>
      <c r="AO271" s="716">
        <v>0.115</v>
      </c>
      <c r="AP271" s="716">
        <f>AO271*1.35</f>
        <v>0.15525000000000003</v>
      </c>
      <c r="AQ271" s="716">
        <f>AP271*1.35</f>
        <v>0.20958750000000004</v>
      </c>
      <c r="AR271" s="716">
        <f>AQ271*0.8</f>
        <v>0.16767000000000004</v>
      </c>
      <c r="AS271" s="716">
        <f t="shared" ref="AS271:AT271" si="382">AR271*0.8</f>
        <v>0.13413600000000003</v>
      </c>
      <c r="AT271" s="716">
        <f t="shared" si="382"/>
        <v>0.10730880000000004</v>
      </c>
      <c r="AU271" s="716">
        <f t="shared" ref="AU271:AY271" si="383">AT271*0.95</f>
        <v>0.10194336000000002</v>
      </c>
      <c r="AV271" s="716">
        <f t="shared" si="383"/>
        <v>9.6846192000000025E-2</v>
      </c>
      <c r="AW271" s="716">
        <f t="shared" si="383"/>
        <v>9.2003882400000014E-2</v>
      </c>
      <c r="AX271" s="716">
        <f t="shared" si="383"/>
        <v>8.7403688280000016E-2</v>
      </c>
      <c r="AY271" s="716">
        <f t="shared" si="383"/>
        <v>8.3033503866000016E-2</v>
      </c>
      <c r="AZ271" s="718">
        <f>AY271*0.1</f>
        <v>8.3033503866000013E-3</v>
      </c>
      <c r="BA271" s="718">
        <f>AZ271*0.2</f>
        <v>1.6606700773200004E-3</v>
      </c>
    </row>
    <row r="272" spans="1:54" s="77" customFormat="1" ht="12.75" customHeight="1" outlineLevel="1">
      <c r="A272" s="379"/>
      <c r="B272" s="393" t="s">
        <v>425</v>
      </c>
      <c r="C272" s="716"/>
      <c r="D272" s="716"/>
      <c r="E272" s="716"/>
      <c r="F272" s="716"/>
      <c r="G272" s="716"/>
      <c r="H272" s="716"/>
      <c r="I272" s="716"/>
      <c r="J272" s="716"/>
      <c r="K272" s="716"/>
      <c r="L272" s="716"/>
      <c r="M272" s="716"/>
      <c r="N272" s="716"/>
      <c r="O272" s="716"/>
      <c r="P272" s="716"/>
      <c r="Q272" s="716"/>
      <c r="R272" s="716"/>
      <c r="S272" s="716"/>
      <c r="T272" s="716"/>
      <c r="U272" s="716"/>
      <c r="V272" s="716"/>
      <c r="W272" s="716"/>
      <c r="X272" s="716"/>
      <c r="Y272" s="716"/>
      <c r="Z272" s="716"/>
      <c r="AA272" s="716"/>
      <c r="AB272" s="716"/>
      <c r="AC272" s="396"/>
      <c r="AD272" s="396"/>
      <c r="AE272" s="396"/>
      <c r="AF272" s="396"/>
      <c r="AG272" s="396"/>
      <c r="AH272" s="396"/>
      <c r="AI272" s="396"/>
      <c r="AJ272" s="396"/>
      <c r="AK272" s="396"/>
      <c r="AL272" s="396"/>
      <c r="AM272" s="716">
        <f>AM271*0.8</f>
        <v>1.0000000000000002E-2</v>
      </c>
      <c r="AN272" s="716">
        <f t="shared" ref="AN272:AY272" si="384">AN271*0.8</f>
        <v>5.6000000000000008E-2</v>
      </c>
      <c r="AO272" s="716">
        <f t="shared" si="384"/>
        <v>9.2000000000000012E-2</v>
      </c>
      <c r="AP272" s="716">
        <f t="shared" si="384"/>
        <v>0.12420000000000003</v>
      </c>
      <c r="AQ272" s="716">
        <f t="shared" si="384"/>
        <v>0.16767000000000004</v>
      </c>
      <c r="AR272" s="716">
        <f t="shared" si="384"/>
        <v>0.13413600000000003</v>
      </c>
      <c r="AS272" s="716">
        <f t="shared" si="384"/>
        <v>0.10730880000000004</v>
      </c>
      <c r="AT272" s="716">
        <f t="shared" si="384"/>
        <v>8.5847040000000041E-2</v>
      </c>
      <c r="AU272" s="716">
        <f t="shared" si="384"/>
        <v>8.1554688000000028E-2</v>
      </c>
      <c r="AV272" s="716">
        <f t="shared" si="384"/>
        <v>7.7476953600000023E-2</v>
      </c>
      <c r="AW272" s="716">
        <f t="shared" si="384"/>
        <v>7.3603105920000009E-2</v>
      </c>
      <c r="AX272" s="716">
        <f t="shared" si="384"/>
        <v>6.9922950624000016E-2</v>
      </c>
      <c r="AY272" s="716">
        <f t="shared" si="384"/>
        <v>6.642680309280001E-2</v>
      </c>
      <c r="AZ272" s="718">
        <f>AY272*0.1</f>
        <v>6.6426803092800015E-3</v>
      </c>
      <c r="BA272" s="718">
        <f>AZ272*0.2</f>
        <v>1.3285360618560003E-3</v>
      </c>
    </row>
    <row r="273" spans="1:53" s="694" customFormat="1" ht="12.75" customHeight="1">
      <c r="A273" s="379" t="s">
        <v>578</v>
      </c>
      <c r="B273" s="717" t="s">
        <v>900</v>
      </c>
      <c r="C273" s="716"/>
      <c r="D273" s="716"/>
      <c r="E273" s="716"/>
      <c r="F273" s="716"/>
      <c r="G273" s="716"/>
      <c r="H273" s="716"/>
      <c r="I273" s="716"/>
      <c r="J273" s="716"/>
      <c r="K273" s="716"/>
      <c r="L273" s="716"/>
      <c r="M273" s="716"/>
      <c r="N273" s="716"/>
      <c r="O273" s="716"/>
      <c r="P273" s="716"/>
      <c r="Q273" s="716"/>
      <c r="R273" s="716"/>
      <c r="S273" s="716"/>
      <c r="T273" s="716"/>
      <c r="U273" s="716"/>
      <c r="V273" s="716"/>
      <c r="W273" s="716"/>
      <c r="X273" s="716"/>
      <c r="Y273" s="716"/>
      <c r="Z273" s="716"/>
      <c r="AA273" s="716"/>
      <c r="AB273" s="716"/>
      <c r="AC273" s="396"/>
      <c r="AD273" s="396"/>
      <c r="AE273" s="396"/>
      <c r="AF273" s="396"/>
      <c r="AG273" s="396"/>
      <c r="AH273" s="396"/>
      <c r="AI273" s="396"/>
      <c r="AJ273" s="396"/>
      <c r="AK273" s="396"/>
      <c r="AL273" s="396"/>
      <c r="AM273" s="396">
        <f t="shared" ref="AM273:BA273" si="385">CHOOSE($U$1,AM270,AM271,AM272)</f>
        <v>1.2500000000000001E-2</v>
      </c>
      <c r="AN273" s="396">
        <f t="shared" si="385"/>
        <v>7.0000000000000007E-2</v>
      </c>
      <c r="AO273" s="396">
        <f t="shared" si="385"/>
        <v>0.115</v>
      </c>
      <c r="AP273" s="396">
        <f t="shared" si="385"/>
        <v>0.15525000000000003</v>
      </c>
      <c r="AQ273" s="396">
        <f t="shared" si="385"/>
        <v>0.20958750000000004</v>
      </c>
      <c r="AR273" s="396">
        <f t="shared" si="385"/>
        <v>0.16767000000000004</v>
      </c>
      <c r="AS273" s="396">
        <f t="shared" si="385"/>
        <v>0.13413600000000003</v>
      </c>
      <c r="AT273" s="396">
        <f t="shared" si="385"/>
        <v>0.10730880000000004</v>
      </c>
      <c r="AU273" s="396">
        <f t="shared" si="385"/>
        <v>0.10194336000000002</v>
      </c>
      <c r="AV273" s="396">
        <f t="shared" si="385"/>
        <v>9.6846192000000025E-2</v>
      </c>
      <c r="AW273" s="396">
        <f t="shared" si="385"/>
        <v>9.2003882400000014E-2</v>
      </c>
      <c r="AX273" s="396">
        <f t="shared" si="385"/>
        <v>8.7403688280000016E-2</v>
      </c>
      <c r="AY273" s="396">
        <f t="shared" si="385"/>
        <v>8.3033503866000016E-2</v>
      </c>
      <c r="AZ273" s="396">
        <f t="shared" si="385"/>
        <v>8.3033503866000013E-3</v>
      </c>
      <c r="BA273" s="396">
        <f t="shared" si="385"/>
        <v>1.6606700773200004E-3</v>
      </c>
    </row>
    <row r="274" spans="1:53" s="694" customFormat="1" ht="12.75" hidden="1" customHeight="1" outlineLevel="1">
      <c r="A274" s="379"/>
      <c r="B274" s="393" t="s">
        <v>423</v>
      </c>
      <c r="C274" s="716"/>
      <c r="D274" s="716"/>
      <c r="E274" s="716"/>
      <c r="F274" s="716"/>
      <c r="G274" s="716"/>
      <c r="H274" s="716"/>
      <c r="I274" s="716"/>
      <c r="J274" s="716"/>
      <c r="K274" s="716"/>
      <c r="L274" s="716"/>
      <c r="M274" s="716"/>
      <c r="N274" s="716"/>
      <c r="O274" s="716"/>
      <c r="P274" s="716"/>
      <c r="Q274" s="716"/>
      <c r="R274" s="716"/>
      <c r="S274" s="716"/>
      <c r="T274" s="716"/>
      <c r="U274" s="716"/>
      <c r="V274" s="716"/>
      <c r="W274" s="716"/>
      <c r="X274" s="716"/>
      <c r="Y274" s="716"/>
      <c r="Z274" s="716"/>
      <c r="AA274" s="716"/>
      <c r="AB274" s="716"/>
      <c r="AC274" s="396"/>
      <c r="AD274" s="396"/>
      <c r="AE274" s="396"/>
      <c r="AF274" s="396"/>
      <c r="AG274" s="396"/>
      <c r="AH274" s="396"/>
      <c r="AI274" s="396"/>
      <c r="AJ274" s="396"/>
      <c r="AK274" s="396"/>
      <c r="AL274" s="396"/>
      <c r="AM274" s="716">
        <f>AM275*1.02</f>
        <v>0</v>
      </c>
      <c r="AN274" s="716">
        <f t="shared" ref="AN274:BA274" si="386">AN275*1.02</f>
        <v>4.0800000000000003E-2</v>
      </c>
      <c r="AO274" s="716">
        <f t="shared" si="386"/>
        <v>6.1199999999999997E-2</v>
      </c>
      <c r="AP274" s="716">
        <f t="shared" si="386"/>
        <v>8.1600000000000006E-2</v>
      </c>
      <c r="AQ274" s="716">
        <f t="shared" si="386"/>
        <v>9.1799999999999993E-2</v>
      </c>
      <c r="AR274" s="716">
        <f t="shared" si="386"/>
        <v>0.10200000000000001</v>
      </c>
      <c r="AS274" s="716">
        <f t="shared" si="386"/>
        <v>0.11220000000000001</v>
      </c>
      <c r="AT274" s="716">
        <f t="shared" si="386"/>
        <v>0.11220000000000001</v>
      </c>
      <c r="AU274" s="716">
        <f t="shared" si="386"/>
        <v>0.11220000000000001</v>
      </c>
      <c r="AV274" s="716">
        <f t="shared" si="386"/>
        <v>5.6100000000000004E-2</v>
      </c>
      <c r="AW274" s="716">
        <f t="shared" si="386"/>
        <v>5.6100000000000004E-3</v>
      </c>
      <c r="AX274" s="716">
        <f t="shared" si="386"/>
        <v>1.1220000000000002E-3</v>
      </c>
      <c r="AY274" s="716">
        <f t="shared" si="386"/>
        <v>2.2440000000000003E-4</v>
      </c>
      <c r="AZ274" s="716">
        <f t="shared" si="386"/>
        <v>4.4880000000000011E-5</v>
      </c>
      <c r="BA274" s="716">
        <f t="shared" si="386"/>
        <v>8.9760000000000018E-6</v>
      </c>
    </row>
    <row r="275" spans="1:53" s="694" customFormat="1" ht="12.75" hidden="1" customHeight="1" outlineLevel="1">
      <c r="A275" s="379"/>
      <c r="B275" s="393" t="s">
        <v>424</v>
      </c>
      <c r="C275" s="716"/>
      <c r="D275" s="716"/>
      <c r="E275" s="716"/>
      <c r="F275" s="716"/>
      <c r="G275" s="716"/>
      <c r="H275" s="716"/>
      <c r="I275" s="716"/>
      <c r="J275" s="716"/>
      <c r="K275" s="716"/>
      <c r="L275" s="716"/>
      <c r="M275" s="716"/>
      <c r="N275" s="716"/>
      <c r="O275" s="716"/>
      <c r="P275" s="716"/>
      <c r="Q275" s="716"/>
      <c r="R275" s="716"/>
      <c r="S275" s="716"/>
      <c r="T275" s="716"/>
      <c r="U275" s="716"/>
      <c r="V275" s="716"/>
      <c r="W275" s="716"/>
      <c r="X275" s="716"/>
      <c r="Y275" s="716"/>
      <c r="Z275" s="716"/>
      <c r="AA275" s="716"/>
      <c r="AB275" s="716"/>
      <c r="AC275" s="396"/>
      <c r="AD275" s="396"/>
      <c r="AE275" s="396"/>
      <c r="AF275" s="396"/>
      <c r="AG275" s="396"/>
      <c r="AH275" s="396"/>
      <c r="AI275" s="396"/>
      <c r="AJ275" s="396"/>
      <c r="AK275" s="396"/>
      <c r="AL275" s="396"/>
      <c r="AM275" s="718">
        <v>0</v>
      </c>
      <c r="AN275" s="718">
        <v>0.04</v>
      </c>
      <c r="AO275" s="716">
        <v>0.06</v>
      </c>
      <c r="AP275" s="716">
        <v>0.08</v>
      </c>
      <c r="AQ275" s="716">
        <v>0.09</v>
      </c>
      <c r="AR275" s="716">
        <v>0.1</v>
      </c>
      <c r="AS275" s="716">
        <v>0.11</v>
      </c>
      <c r="AT275" s="716">
        <f>AS275</f>
        <v>0.11</v>
      </c>
      <c r="AU275" s="716">
        <f>AT275</f>
        <v>0.11</v>
      </c>
      <c r="AV275" s="716">
        <f>AU275*0.5</f>
        <v>5.5E-2</v>
      </c>
      <c r="AW275" s="718">
        <f>AV275*0.1</f>
        <v>5.5000000000000005E-3</v>
      </c>
      <c r="AX275" s="718">
        <f>AW275*0.2</f>
        <v>1.1000000000000001E-3</v>
      </c>
      <c r="AY275" s="718">
        <f>AX275*0.2</f>
        <v>2.2000000000000003E-4</v>
      </c>
      <c r="AZ275" s="718">
        <f>AY275*0.2</f>
        <v>4.4000000000000012E-5</v>
      </c>
      <c r="BA275" s="718">
        <f>AZ275*0.2</f>
        <v>8.8000000000000021E-6</v>
      </c>
    </row>
    <row r="276" spans="1:53" s="694" customFormat="1" ht="12.75" hidden="1" customHeight="1" outlineLevel="1">
      <c r="A276" s="379"/>
      <c r="B276" s="393" t="s">
        <v>425</v>
      </c>
      <c r="C276" s="716"/>
      <c r="D276" s="716"/>
      <c r="E276" s="716"/>
      <c r="F276" s="716"/>
      <c r="G276" s="716"/>
      <c r="H276" s="716"/>
      <c r="I276" s="716"/>
      <c r="J276" s="716"/>
      <c r="K276" s="716"/>
      <c r="L276" s="716"/>
      <c r="M276" s="716"/>
      <c r="N276" s="716"/>
      <c r="O276" s="716"/>
      <c r="P276" s="716"/>
      <c r="Q276" s="716"/>
      <c r="R276" s="716"/>
      <c r="S276" s="716"/>
      <c r="T276" s="716"/>
      <c r="U276" s="716"/>
      <c r="V276" s="716"/>
      <c r="W276" s="716"/>
      <c r="X276" s="716"/>
      <c r="Y276" s="716"/>
      <c r="Z276" s="716"/>
      <c r="AA276" s="716"/>
      <c r="AB276" s="716"/>
      <c r="AC276" s="396"/>
      <c r="AD276" s="396"/>
      <c r="AE276" s="396"/>
      <c r="AF276" s="396"/>
      <c r="AG276" s="396"/>
      <c r="AH276" s="396"/>
      <c r="AI276" s="396"/>
      <c r="AJ276" s="396"/>
      <c r="AK276" s="396"/>
      <c r="AL276" s="396"/>
      <c r="AM276" s="716">
        <f>AM275*0.8</f>
        <v>0</v>
      </c>
      <c r="AN276" s="716">
        <f t="shared" ref="AN276:BA276" si="387">AN275*0.8</f>
        <v>3.2000000000000001E-2</v>
      </c>
      <c r="AO276" s="716">
        <f t="shared" si="387"/>
        <v>4.8000000000000001E-2</v>
      </c>
      <c r="AP276" s="716">
        <f t="shared" si="387"/>
        <v>6.4000000000000001E-2</v>
      </c>
      <c r="AQ276" s="716">
        <f t="shared" si="387"/>
        <v>7.1999999999999995E-2</v>
      </c>
      <c r="AR276" s="716">
        <f t="shared" si="387"/>
        <v>8.0000000000000016E-2</v>
      </c>
      <c r="AS276" s="716">
        <f t="shared" si="387"/>
        <v>8.8000000000000009E-2</v>
      </c>
      <c r="AT276" s="716">
        <f t="shared" si="387"/>
        <v>8.8000000000000009E-2</v>
      </c>
      <c r="AU276" s="716">
        <f t="shared" si="387"/>
        <v>8.8000000000000009E-2</v>
      </c>
      <c r="AV276" s="716">
        <f t="shared" si="387"/>
        <v>4.4000000000000004E-2</v>
      </c>
      <c r="AW276" s="716">
        <f t="shared" si="387"/>
        <v>4.4000000000000003E-3</v>
      </c>
      <c r="AX276" s="716">
        <f t="shared" si="387"/>
        <v>8.8000000000000014E-4</v>
      </c>
      <c r="AY276" s="716">
        <f t="shared" si="387"/>
        <v>1.7600000000000005E-4</v>
      </c>
      <c r="AZ276" s="716">
        <f t="shared" si="387"/>
        <v>3.5200000000000009E-5</v>
      </c>
      <c r="BA276" s="716">
        <f t="shared" si="387"/>
        <v>7.0400000000000021E-6</v>
      </c>
    </row>
    <row r="277" spans="1:53" s="694" customFormat="1" ht="12.75" customHeight="1" collapsed="1">
      <c r="A277" s="379" t="s">
        <v>578</v>
      </c>
      <c r="B277" s="717" t="s">
        <v>883</v>
      </c>
      <c r="C277" s="716"/>
      <c r="D277" s="716"/>
      <c r="E277" s="716"/>
      <c r="F277" s="716"/>
      <c r="G277" s="716"/>
      <c r="H277" s="716"/>
      <c r="I277" s="716"/>
      <c r="J277" s="716"/>
      <c r="K277" s="716"/>
      <c r="L277" s="716"/>
      <c r="M277" s="716"/>
      <c r="N277" s="716"/>
      <c r="O277" s="716"/>
      <c r="P277" s="716"/>
      <c r="Q277" s="716"/>
      <c r="R277" s="716"/>
      <c r="S277" s="716"/>
      <c r="T277" s="716"/>
      <c r="U277" s="716"/>
      <c r="V277" s="716"/>
      <c r="W277" s="716"/>
      <c r="X277" s="716"/>
      <c r="Y277" s="716"/>
      <c r="Z277" s="716"/>
      <c r="AA277" s="716"/>
      <c r="AB277" s="716"/>
      <c r="AC277" s="396"/>
      <c r="AD277" s="396"/>
      <c r="AE277" s="396"/>
      <c r="AF277" s="396"/>
      <c r="AG277" s="396"/>
      <c r="AH277" s="396"/>
      <c r="AI277" s="396"/>
      <c r="AJ277" s="396"/>
      <c r="AK277" s="396"/>
      <c r="AL277" s="396"/>
      <c r="AM277" s="396">
        <f t="shared" ref="AM277:BA277" si="388">CHOOSE($U$1,AM274,AM275,AM276)</f>
        <v>0</v>
      </c>
      <c r="AN277" s="396">
        <f t="shared" si="388"/>
        <v>0.04</v>
      </c>
      <c r="AO277" s="396">
        <f t="shared" si="388"/>
        <v>0.06</v>
      </c>
      <c r="AP277" s="396">
        <f t="shared" si="388"/>
        <v>0.08</v>
      </c>
      <c r="AQ277" s="396">
        <f t="shared" si="388"/>
        <v>0.09</v>
      </c>
      <c r="AR277" s="396">
        <f t="shared" si="388"/>
        <v>0.1</v>
      </c>
      <c r="AS277" s="396">
        <f t="shared" si="388"/>
        <v>0.11</v>
      </c>
      <c r="AT277" s="396">
        <f t="shared" si="388"/>
        <v>0.11</v>
      </c>
      <c r="AU277" s="396">
        <f t="shared" si="388"/>
        <v>0.11</v>
      </c>
      <c r="AV277" s="396">
        <f t="shared" si="388"/>
        <v>5.5E-2</v>
      </c>
      <c r="AW277" s="396">
        <f t="shared" si="388"/>
        <v>5.5000000000000005E-3</v>
      </c>
      <c r="AX277" s="396">
        <f t="shared" si="388"/>
        <v>1.1000000000000001E-3</v>
      </c>
      <c r="AY277" s="396">
        <f t="shared" si="388"/>
        <v>2.2000000000000003E-4</v>
      </c>
      <c r="AZ277" s="396">
        <f t="shared" si="388"/>
        <v>4.4000000000000012E-5</v>
      </c>
      <c r="BA277" s="396">
        <f t="shared" si="388"/>
        <v>8.8000000000000021E-6</v>
      </c>
    </row>
    <row r="278" spans="1:53" s="694" customFormat="1" ht="12.75" customHeight="1" outlineLevel="1">
      <c r="A278" s="379"/>
      <c r="B278" s="393" t="s">
        <v>423</v>
      </c>
      <c r="C278" s="716"/>
      <c r="D278" s="716"/>
      <c r="E278" s="716"/>
      <c r="F278" s="716"/>
      <c r="G278" s="716"/>
      <c r="H278" s="716"/>
      <c r="I278" s="716"/>
      <c r="J278" s="716"/>
      <c r="K278" s="716"/>
      <c r="L278" s="716"/>
      <c r="M278" s="716"/>
      <c r="N278" s="716"/>
      <c r="O278" s="716"/>
      <c r="P278" s="716"/>
      <c r="Q278" s="716"/>
      <c r="R278" s="716"/>
      <c r="S278" s="716"/>
      <c r="T278" s="716"/>
      <c r="U278" s="716"/>
      <c r="V278" s="716"/>
      <c r="W278" s="716"/>
      <c r="X278" s="716"/>
      <c r="Y278" s="716"/>
      <c r="Z278" s="716"/>
      <c r="AA278" s="716"/>
      <c r="AB278" s="716"/>
      <c r="AC278" s="396"/>
      <c r="AD278" s="396"/>
      <c r="AE278" s="396"/>
      <c r="AF278" s="396"/>
      <c r="AG278" s="396"/>
      <c r="AH278" s="396"/>
      <c r="AI278" s="396"/>
      <c r="AJ278" s="396"/>
      <c r="AK278" s="396"/>
      <c r="AL278" s="396"/>
      <c r="AM278" s="716">
        <f>AM279*1.02</f>
        <v>1.5299999999999999E-2</v>
      </c>
      <c r="AN278" s="716">
        <f t="shared" ref="AN278:BA278" si="389">AN279*1.02</f>
        <v>5.1000000000000004E-2</v>
      </c>
      <c r="AO278" s="716">
        <f t="shared" si="389"/>
        <v>8.1600000000000006E-2</v>
      </c>
      <c r="AP278" s="716">
        <f t="shared" si="389"/>
        <v>8.6700000000000013E-2</v>
      </c>
      <c r="AQ278" s="716">
        <f t="shared" si="389"/>
        <v>9.1799999999999993E-2</v>
      </c>
      <c r="AR278" s="716">
        <f t="shared" si="389"/>
        <v>9.69E-2</v>
      </c>
      <c r="AS278" s="716">
        <f t="shared" si="389"/>
        <v>0.10200000000000001</v>
      </c>
      <c r="AT278" s="716">
        <f t="shared" si="389"/>
        <v>0.10200000000000001</v>
      </c>
      <c r="AU278" s="716">
        <f t="shared" si="389"/>
        <v>0.10200000000000001</v>
      </c>
      <c r="AV278" s="716">
        <f t="shared" si="389"/>
        <v>5.1000000000000004E-2</v>
      </c>
      <c r="AW278" s="716">
        <f t="shared" si="389"/>
        <v>5.1000000000000012E-3</v>
      </c>
      <c r="AX278" s="716">
        <f t="shared" si="389"/>
        <v>1.0200000000000003E-3</v>
      </c>
      <c r="AY278" s="716">
        <f t="shared" si="389"/>
        <v>2.0400000000000008E-4</v>
      </c>
      <c r="AZ278" s="716">
        <f t="shared" si="389"/>
        <v>4.0800000000000016E-5</v>
      </c>
      <c r="BA278" s="716">
        <f t="shared" si="389"/>
        <v>8.1600000000000032E-6</v>
      </c>
    </row>
    <row r="279" spans="1:53" s="694" customFormat="1" ht="12.75" customHeight="1" outlineLevel="1">
      <c r="A279" s="379"/>
      <c r="B279" s="393" t="s">
        <v>424</v>
      </c>
      <c r="C279" s="716"/>
      <c r="D279" s="716"/>
      <c r="E279" s="716"/>
      <c r="F279" s="716"/>
      <c r="G279" s="716"/>
      <c r="H279" s="716"/>
      <c r="I279" s="716"/>
      <c r="J279" s="716"/>
      <c r="K279" s="716"/>
      <c r="L279" s="716"/>
      <c r="M279" s="716"/>
      <c r="N279" s="716"/>
      <c r="O279" s="716"/>
      <c r="P279" s="716"/>
      <c r="Q279" s="716"/>
      <c r="R279" s="716"/>
      <c r="S279" s="716"/>
      <c r="T279" s="716"/>
      <c r="U279" s="716"/>
      <c r="V279" s="716"/>
      <c r="W279" s="716"/>
      <c r="X279" s="716"/>
      <c r="Y279" s="716"/>
      <c r="Z279" s="716"/>
      <c r="AA279" s="716"/>
      <c r="AB279" s="716"/>
      <c r="AC279" s="396"/>
      <c r="AD279" s="396"/>
      <c r="AE279" s="396"/>
      <c r="AF279" s="396"/>
      <c r="AG279" s="396"/>
      <c r="AH279" s="396"/>
      <c r="AI279" s="396"/>
      <c r="AJ279" s="396"/>
      <c r="AK279" s="396"/>
      <c r="AL279" s="396"/>
      <c r="AM279" s="718">
        <v>1.4999999999999999E-2</v>
      </c>
      <c r="AN279" s="718">
        <v>0.05</v>
      </c>
      <c r="AO279" s="716">
        <v>0.08</v>
      </c>
      <c r="AP279" s="716">
        <v>8.5000000000000006E-2</v>
      </c>
      <c r="AQ279" s="716">
        <v>0.09</v>
      </c>
      <c r="AR279" s="716">
        <v>9.5000000000000001E-2</v>
      </c>
      <c r="AS279" s="716">
        <v>0.1</v>
      </c>
      <c r="AT279" s="716">
        <v>0.1</v>
      </c>
      <c r="AU279" s="716">
        <v>0.1</v>
      </c>
      <c r="AV279" s="716">
        <f>AU279*0.5</f>
        <v>0.05</v>
      </c>
      <c r="AW279" s="718">
        <f>AV279*0.1</f>
        <v>5.000000000000001E-3</v>
      </c>
      <c r="AX279" s="718">
        <f>AW279*0.2</f>
        <v>1.0000000000000002E-3</v>
      </c>
      <c r="AY279" s="718">
        <f>AX279*0.2</f>
        <v>2.0000000000000006E-4</v>
      </c>
      <c r="AZ279" s="718">
        <f>AY279*0.2</f>
        <v>4.0000000000000017E-5</v>
      </c>
      <c r="BA279" s="718">
        <f>AZ279*0.2</f>
        <v>8.000000000000003E-6</v>
      </c>
    </row>
    <row r="280" spans="1:53" s="694" customFormat="1" ht="12.75" customHeight="1" outlineLevel="1">
      <c r="A280" s="379"/>
      <c r="B280" s="393" t="s">
        <v>425</v>
      </c>
      <c r="C280" s="716"/>
      <c r="D280" s="716"/>
      <c r="E280" s="716"/>
      <c r="F280" s="716"/>
      <c r="G280" s="716"/>
      <c r="H280" s="716"/>
      <c r="I280" s="716"/>
      <c r="J280" s="716"/>
      <c r="K280" s="716"/>
      <c r="L280" s="716"/>
      <c r="M280" s="716"/>
      <c r="N280" s="716"/>
      <c r="O280" s="716"/>
      <c r="P280" s="716"/>
      <c r="Q280" s="716"/>
      <c r="R280" s="716"/>
      <c r="S280" s="716"/>
      <c r="T280" s="716"/>
      <c r="U280" s="716"/>
      <c r="V280" s="716"/>
      <c r="W280" s="716"/>
      <c r="X280" s="716"/>
      <c r="Y280" s="716"/>
      <c r="Z280" s="716"/>
      <c r="AA280" s="716"/>
      <c r="AB280" s="716"/>
      <c r="AC280" s="396"/>
      <c r="AD280" s="396"/>
      <c r="AE280" s="396"/>
      <c r="AF280" s="396"/>
      <c r="AG280" s="396"/>
      <c r="AH280" s="396"/>
      <c r="AI280" s="396"/>
      <c r="AJ280" s="396"/>
      <c r="AK280" s="396"/>
      <c r="AL280" s="396"/>
      <c r="AM280" s="716">
        <f>AM279*0.8</f>
        <v>1.2E-2</v>
      </c>
      <c r="AN280" s="716">
        <f t="shared" ref="AN280:BA280" si="390">AN279*0.8</f>
        <v>4.0000000000000008E-2</v>
      </c>
      <c r="AO280" s="716">
        <f t="shared" si="390"/>
        <v>6.4000000000000001E-2</v>
      </c>
      <c r="AP280" s="716">
        <f t="shared" si="390"/>
        <v>6.8000000000000005E-2</v>
      </c>
      <c r="AQ280" s="716">
        <f t="shared" si="390"/>
        <v>7.1999999999999995E-2</v>
      </c>
      <c r="AR280" s="716">
        <f t="shared" si="390"/>
        <v>7.6000000000000012E-2</v>
      </c>
      <c r="AS280" s="716">
        <f t="shared" si="390"/>
        <v>8.0000000000000016E-2</v>
      </c>
      <c r="AT280" s="716">
        <f t="shared" si="390"/>
        <v>8.0000000000000016E-2</v>
      </c>
      <c r="AU280" s="716">
        <f t="shared" si="390"/>
        <v>8.0000000000000016E-2</v>
      </c>
      <c r="AV280" s="716">
        <f t="shared" si="390"/>
        <v>4.0000000000000008E-2</v>
      </c>
      <c r="AW280" s="716">
        <f t="shared" si="390"/>
        <v>4.000000000000001E-3</v>
      </c>
      <c r="AX280" s="716">
        <f t="shared" si="390"/>
        <v>8.0000000000000026E-4</v>
      </c>
      <c r="AY280" s="716">
        <f t="shared" si="390"/>
        <v>1.6000000000000007E-4</v>
      </c>
      <c r="AZ280" s="716">
        <f t="shared" si="390"/>
        <v>3.2000000000000012E-5</v>
      </c>
      <c r="BA280" s="716">
        <f t="shared" si="390"/>
        <v>6.4000000000000031E-6</v>
      </c>
    </row>
    <row r="281" spans="1:53" s="694" customFormat="1" ht="12.75" customHeight="1">
      <c r="A281" s="379" t="s">
        <v>578</v>
      </c>
      <c r="B281" s="717" t="s">
        <v>884</v>
      </c>
      <c r="C281" s="716"/>
      <c r="D281" s="716"/>
      <c r="E281" s="716"/>
      <c r="F281" s="716"/>
      <c r="G281" s="716"/>
      <c r="H281" s="716"/>
      <c r="I281" s="716"/>
      <c r="J281" s="716"/>
      <c r="K281" s="716"/>
      <c r="L281" s="716"/>
      <c r="M281" s="716"/>
      <c r="N281" s="716"/>
      <c r="O281" s="716"/>
      <c r="P281" s="716"/>
      <c r="Q281" s="716"/>
      <c r="R281" s="716"/>
      <c r="S281" s="716"/>
      <c r="T281" s="716"/>
      <c r="U281" s="716"/>
      <c r="V281" s="716"/>
      <c r="W281" s="716"/>
      <c r="X281" s="716"/>
      <c r="Y281" s="716"/>
      <c r="Z281" s="716"/>
      <c r="AA281" s="716"/>
      <c r="AB281" s="716"/>
      <c r="AC281" s="396"/>
      <c r="AD281" s="396"/>
      <c r="AE281" s="396"/>
      <c r="AF281" s="396"/>
      <c r="AG281" s="396"/>
      <c r="AH281" s="396"/>
      <c r="AI281" s="396"/>
      <c r="AJ281" s="396"/>
      <c r="AK281" s="396"/>
      <c r="AL281" s="396"/>
      <c r="AM281" s="396">
        <f t="shared" ref="AM281:BA281" si="391">CHOOSE($U$1,AM278,AM279,AM280)</f>
        <v>1.4999999999999999E-2</v>
      </c>
      <c r="AN281" s="396">
        <f t="shared" si="391"/>
        <v>0.05</v>
      </c>
      <c r="AO281" s="396">
        <f t="shared" si="391"/>
        <v>0.08</v>
      </c>
      <c r="AP281" s="396">
        <f t="shared" si="391"/>
        <v>8.5000000000000006E-2</v>
      </c>
      <c r="AQ281" s="396">
        <f t="shared" si="391"/>
        <v>0.09</v>
      </c>
      <c r="AR281" s="396">
        <f t="shared" si="391"/>
        <v>9.5000000000000001E-2</v>
      </c>
      <c r="AS281" s="396">
        <f t="shared" si="391"/>
        <v>0.1</v>
      </c>
      <c r="AT281" s="396">
        <f t="shared" si="391"/>
        <v>0.1</v>
      </c>
      <c r="AU281" s="396">
        <f t="shared" si="391"/>
        <v>0.1</v>
      </c>
      <c r="AV281" s="396">
        <f t="shared" si="391"/>
        <v>0.05</v>
      </c>
      <c r="AW281" s="396">
        <f t="shared" si="391"/>
        <v>5.000000000000001E-3</v>
      </c>
      <c r="AX281" s="396">
        <f t="shared" si="391"/>
        <v>1.0000000000000002E-3</v>
      </c>
      <c r="AY281" s="396">
        <f t="shared" si="391"/>
        <v>2.0000000000000006E-4</v>
      </c>
      <c r="AZ281" s="396">
        <f t="shared" si="391"/>
        <v>4.0000000000000017E-5</v>
      </c>
      <c r="BA281" s="396">
        <f t="shared" si="391"/>
        <v>8.000000000000003E-6</v>
      </c>
    </row>
    <row r="282" spans="1:53" s="694" customFormat="1" ht="12.75" hidden="1" customHeight="1" outlineLevel="1">
      <c r="A282" s="379"/>
      <c r="B282" s="393" t="s">
        <v>423</v>
      </c>
      <c r="C282" s="716"/>
      <c r="D282" s="716"/>
      <c r="E282" s="716"/>
      <c r="F282" s="716"/>
      <c r="G282" s="716"/>
      <c r="H282" s="716"/>
      <c r="I282" s="716"/>
      <c r="J282" s="716"/>
      <c r="K282" s="716"/>
      <c r="L282" s="716"/>
      <c r="M282" s="716"/>
      <c r="N282" s="716"/>
      <c r="O282" s="716"/>
      <c r="P282" s="716"/>
      <c r="Q282" s="716"/>
      <c r="R282" s="716"/>
      <c r="S282" s="716"/>
      <c r="T282" s="716"/>
      <c r="U282" s="716"/>
      <c r="V282" s="716"/>
      <c r="W282" s="716"/>
      <c r="X282" s="716"/>
      <c r="Y282" s="716"/>
      <c r="Z282" s="716"/>
      <c r="AA282" s="716"/>
      <c r="AB282" s="716"/>
      <c r="AC282" s="396"/>
      <c r="AD282" s="396"/>
      <c r="AE282" s="396"/>
      <c r="AF282" s="396"/>
      <c r="AG282" s="396"/>
      <c r="AH282" s="396"/>
      <c r="AI282" s="396"/>
      <c r="AJ282" s="396"/>
      <c r="AK282" s="396"/>
      <c r="AL282" s="396"/>
      <c r="AM282" s="716">
        <f>AM283*1.02</f>
        <v>0</v>
      </c>
      <c r="AN282" s="716">
        <f t="shared" ref="AN282:BA282" si="392">AN283*1.02</f>
        <v>0</v>
      </c>
      <c r="AO282" s="716">
        <f t="shared" si="392"/>
        <v>0</v>
      </c>
      <c r="AP282" s="716">
        <f t="shared" si="392"/>
        <v>2.5500000000000002E-2</v>
      </c>
      <c r="AQ282" s="716">
        <f t="shared" si="392"/>
        <v>5.1000000000000004E-2</v>
      </c>
      <c r="AR282" s="716">
        <f t="shared" si="392"/>
        <v>7.6500000000000012E-2</v>
      </c>
      <c r="AS282" s="716">
        <f t="shared" si="392"/>
        <v>9.9450000000000024E-2</v>
      </c>
      <c r="AT282" s="716">
        <f t="shared" si="392"/>
        <v>0.11934000000000003</v>
      </c>
      <c r="AU282" s="716">
        <f t="shared" si="392"/>
        <v>0.13127400000000003</v>
      </c>
      <c r="AV282" s="716">
        <f t="shared" si="392"/>
        <v>0.13783770000000004</v>
      </c>
      <c r="AW282" s="716">
        <f t="shared" si="392"/>
        <v>0.13921607700000005</v>
      </c>
      <c r="AX282" s="716">
        <f t="shared" si="392"/>
        <v>0.14060823777000003</v>
      </c>
      <c r="AY282" s="716">
        <f t="shared" si="392"/>
        <v>0.14201432014770005</v>
      </c>
      <c r="AZ282" s="716">
        <f t="shared" si="392"/>
        <v>0.14343446334917706</v>
      </c>
      <c r="BA282" s="716">
        <f t="shared" si="392"/>
        <v>0.14486880798266885</v>
      </c>
    </row>
    <row r="283" spans="1:53" s="694" customFormat="1" ht="12.75" hidden="1" customHeight="1" outlineLevel="1">
      <c r="A283" s="379"/>
      <c r="B283" s="393" t="s">
        <v>424</v>
      </c>
      <c r="C283" s="716"/>
      <c r="D283" s="716"/>
      <c r="E283" s="716"/>
      <c r="F283" s="716"/>
      <c r="G283" s="716"/>
      <c r="H283" s="716"/>
      <c r="I283" s="716"/>
      <c r="J283" s="716"/>
      <c r="K283" s="716"/>
      <c r="L283" s="716"/>
      <c r="M283" s="716"/>
      <c r="N283" s="716"/>
      <c r="O283" s="716"/>
      <c r="P283" s="716"/>
      <c r="Q283" s="716"/>
      <c r="R283" s="716"/>
      <c r="S283" s="716"/>
      <c r="T283" s="716"/>
      <c r="U283" s="716"/>
      <c r="V283" s="716"/>
      <c r="W283" s="716"/>
      <c r="X283" s="716"/>
      <c r="Y283" s="716"/>
      <c r="Z283" s="716"/>
      <c r="AA283" s="716"/>
      <c r="AB283" s="716"/>
      <c r="AC283" s="396"/>
      <c r="AD283" s="396"/>
      <c r="AE283" s="396"/>
      <c r="AF283" s="396"/>
      <c r="AG283" s="396"/>
      <c r="AH283" s="396"/>
      <c r="AI283" s="396"/>
      <c r="AJ283" s="396"/>
      <c r="AK283" s="396"/>
      <c r="AL283" s="396"/>
      <c r="AM283" s="718">
        <v>0</v>
      </c>
      <c r="AN283" s="716">
        <v>0</v>
      </c>
      <c r="AO283" s="716">
        <v>0</v>
      </c>
      <c r="AP283" s="716">
        <v>2.5000000000000001E-2</v>
      </c>
      <c r="AQ283" s="716">
        <f>AP283*2</f>
        <v>0.05</v>
      </c>
      <c r="AR283" s="716">
        <f>AQ283*1.5</f>
        <v>7.5000000000000011E-2</v>
      </c>
      <c r="AS283" s="716">
        <f>AR283*1.3</f>
        <v>9.7500000000000017E-2</v>
      </c>
      <c r="AT283" s="716">
        <f>AS283*1.2</f>
        <v>0.11700000000000002</v>
      </c>
      <c r="AU283" s="716">
        <f>AT283*1.1</f>
        <v>0.12870000000000004</v>
      </c>
      <c r="AV283" s="716">
        <f>AU283*1.05</f>
        <v>0.13513500000000003</v>
      </c>
      <c r="AW283" s="716">
        <f>AV283*1.01</f>
        <v>0.13648635000000003</v>
      </c>
      <c r="AX283" s="716">
        <f>AW283*1.01</f>
        <v>0.13785121350000004</v>
      </c>
      <c r="AY283" s="716">
        <f>AX283*1.01</f>
        <v>0.13922972563500005</v>
      </c>
      <c r="AZ283" s="716">
        <f>AY283*1.01</f>
        <v>0.14062202289135006</v>
      </c>
      <c r="BA283" s="716">
        <f>AZ283*1.01</f>
        <v>0.14202824312026358</v>
      </c>
    </row>
    <row r="284" spans="1:53" s="694" customFormat="1" ht="12.75" hidden="1" customHeight="1" outlineLevel="1">
      <c r="A284" s="379"/>
      <c r="B284" s="393" t="s">
        <v>425</v>
      </c>
      <c r="C284" s="716"/>
      <c r="D284" s="716"/>
      <c r="E284" s="716"/>
      <c r="F284" s="716"/>
      <c r="G284" s="716"/>
      <c r="H284" s="716"/>
      <c r="I284" s="716"/>
      <c r="J284" s="716"/>
      <c r="K284" s="716"/>
      <c r="L284" s="716"/>
      <c r="M284" s="716"/>
      <c r="N284" s="716"/>
      <c r="O284" s="716"/>
      <c r="P284" s="716"/>
      <c r="Q284" s="716"/>
      <c r="R284" s="716"/>
      <c r="S284" s="716"/>
      <c r="T284" s="716"/>
      <c r="U284" s="716"/>
      <c r="V284" s="716"/>
      <c r="W284" s="716"/>
      <c r="X284" s="716"/>
      <c r="Y284" s="716"/>
      <c r="Z284" s="716"/>
      <c r="AA284" s="716"/>
      <c r="AB284" s="716"/>
      <c r="AC284" s="396"/>
      <c r="AD284" s="396"/>
      <c r="AE284" s="396"/>
      <c r="AF284" s="396"/>
      <c r="AG284" s="396"/>
      <c r="AH284" s="396"/>
      <c r="AI284" s="396"/>
      <c r="AJ284" s="396"/>
      <c r="AK284" s="396"/>
      <c r="AL284" s="396"/>
      <c r="AM284" s="716">
        <f>AM283*0.8</f>
        <v>0</v>
      </c>
      <c r="AN284" s="716">
        <f t="shared" ref="AN284:BA284" si="393">AN283*0.8</f>
        <v>0</v>
      </c>
      <c r="AO284" s="716">
        <f t="shared" si="393"/>
        <v>0</v>
      </c>
      <c r="AP284" s="716">
        <f t="shared" si="393"/>
        <v>2.0000000000000004E-2</v>
      </c>
      <c r="AQ284" s="716">
        <f t="shared" si="393"/>
        <v>4.0000000000000008E-2</v>
      </c>
      <c r="AR284" s="716">
        <f t="shared" si="393"/>
        <v>6.0000000000000012E-2</v>
      </c>
      <c r="AS284" s="716">
        <f t="shared" si="393"/>
        <v>7.8000000000000014E-2</v>
      </c>
      <c r="AT284" s="716">
        <f t="shared" si="393"/>
        <v>9.3600000000000017E-2</v>
      </c>
      <c r="AU284" s="716">
        <f t="shared" si="393"/>
        <v>0.10296000000000004</v>
      </c>
      <c r="AV284" s="716">
        <f t="shared" si="393"/>
        <v>0.10810800000000004</v>
      </c>
      <c r="AW284" s="716">
        <f t="shared" si="393"/>
        <v>0.10918908000000004</v>
      </c>
      <c r="AX284" s="716">
        <f t="shared" si="393"/>
        <v>0.11028097080000004</v>
      </c>
      <c r="AY284" s="716">
        <f t="shared" si="393"/>
        <v>0.11138378050800005</v>
      </c>
      <c r="AZ284" s="716">
        <f t="shared" si="393"/>
        <v>0.11249761831308006</v>
      </c>
      <c r="BA284" s="716">
        <f t="shared" si="393"/>
        <v>0.11362259449621087</v>
      </c>
    </row>
    <row r="285" spans="1:53" s="694" customFormat="1" ht="12.75" customHeight="1" collapsed="1">
      <c r="A285" s="379"/>
      <c r="B285" s="717" t="s">
        <v>885</v>
      </c>
      <c r="C285" s="716"/>
      <c r="D285" s="716"/>
      <c r="E285" s="716"/>
      <c r="F285" s="716"/>
      <c r="G285" s="716"/>
      <c r="H285" s="716"/>
      <c r="I285" s="716"/>
      <c r="J285" s="716"/>
      <c r="K285" s="716"/>
      <c r="L285" s="716"/>
      <c r="M285" s="716"/>
      <c r="N285" s="716"/>
      <c r="O285" s="716"/>
      <c r="P285" s="716"/>
      <c r="Q285" s="716"/>
      <c r="R285" s="716"/>
      <c r="S285" s="716"/>
      <c r="T285" s="716"/>
      <c r="U285" s="716"/>
      <c r="V285" s="716"/>
      <c r="W285" s="716"/>
      <c r="X285" s="716"/>
      <c r="Y285" s="716"/>
      <c r="Z285" s="716"/>
      <c r="AA285" s="716"/>
      <c r="AB285" s="716"/>
      <c r="AC285" s="396"/>
      <c r="AD285" s="396"/>
      <c r="AE285" s="396"/>
      <c r="AF285" s="396"/>
      <c r="AG285" s="396"/>
      <c r="AH285" s="396"/>
      <c r="AI285" s="396"/>
      <c r="AJ285" s="396"/>
      <c r="AK285" s="396"/>
      <c r="AL285" s="396"/>
      <c r="AM285" s="396">
        <f t="shared" ref="AM285:BA285" si="394">CHOOSE($U$1,AM282,AM283,AM284)</f>
        <v>0</v>
      </c>
      <c r="AN285" s="396">
        <f t="shared" si="394"/>
        <v>0</v>
      </c>
      <c r="AO285" s="396">
        <f t="shared" si="394"/>
        <v>0</v>
      </c>
      <c r="AP285" s="396">
        <f t="shared" si="394"/>
        <v>2.5000000000000001E-2</v>
      </c>
      <c r="AQ285" s="396">
        <f t="shared" si="394"/>
        <v>0.05</v>
      </c>
      <c r="AR285" s="396">
        <f t="shared" si="394"/>
        <v>7.5000000000000011E-2</v>
      </c>
      <c r="AS285" s="396">
        <f t="shared" si="394"/>
        <v>9.7500000000000017E-2</v>
      </c>
      <c r="AT285" s="396">
        <f t="shared" si="394"/>
        <v>0.11700000000000002</v>
      </c>
      <c r="AU285" s="396">
        <f t="shared" si="394"/>
        <v>0.12870000000000004</v>
      </c>
      <c r="AV285" s="396">
        <f t="shared" si="394"/>
        <v>0.13513500000000003</v>
      </c>
      <c r="AW285" s="396">
        <f t="shared" si="394"/>
        <v>0.13648635000000003</v>
      </c>
      <c r="AX285" s="396">
        <f t="shared" si="394"/>
        <v>0.13785121350000004</v>
      </c>
      <c r="AY285" s="396">
        <f t="shared" si="394"/>
        <v>0.13922972563500005</v>
      </c>
      <c r="AZ285" s="396">
        <f t="shared" si="394"/>
        <v>0.14062202289135006</v>
      </c>
      <c r="BA285" s="396">
        <f t="shared" si="394"/>
        <v>0.14202824312026358</v>
      </c>
    </row>
    <row r="286" spans="1:53" s="694" customFormat="1" ht="12.75" customHeight="1">
      <c r="A286" s="379"/>
      <c r="B286" s="697" t="s">
        <v>68</v>
      </c>
      <c r="F286" s="694">
        <v>1.7999999999999999E-2</v>
      </c>
      <c r="G286" s="694">
        <v>6.6000000000000003E-2</v>
      </c>
      <c r="H286" s="694">
        <v>2.1000000000000001E-2</v>
      </c>
      <c r="I286" s="694">
        <v>1.6E-2</v>
      </c>
      <c r="J286" s="694">
        <v>0.01</v>
      </c>
      <c r="K286" s="694">
        <v>0.01</v>
      </c>
      <c r="L286" s="694">
        <f t="shared" ref="L286:AG286" si="395">K286</f>
        <v>0.01</v>
      </c>
      <c r="M286" s="694">
        <f t="shared" si="395"/>
        <v>0.01</v>
      </c>
      <c r="N286" s="694">
        <f t="shared" si="395"/>
        <v>0.01</v>
      </c>
      <c r="O286" s="694">
        <f t="shared" si="395"/>
        <v>0.01</v>
      </c>
      <c r="P286" s="694">
        <f t="shared" si="395"/>
        <v>0.01</v>
      </c>
      <c r="Q286" s="694">
        <f t="shared" si="395"/>
        <v>0.01</v>
      </c>
      <c r="R286" s="694">
        <f t="shared" si="395"/>
        <v>0.01</v>
      </c>
      <c r="S286" s="694">
        <f t="shared" si="395"/>
        <v>0.01</v>
      </c>
      <c r="T286" s="694">
        <f t="shared" si="395"/>
        <v>0.01</v>
      </c>
      <c r="U286" s="694">
        <f t="shared" si="395"/>
        <v>0.01</v>
      </c>
      <c r="V286" s="694">
        <f t="shared" si="395"/>
        <v>0.01</v>
      </c>
      <c r="W286" s="694">
        <f t="shared" si="395"/>
        <v>0.01</v>
      </c>
      <c r="X286" s="694">
        <f t="shared" si="395"/>
        <v>0.01</v>
      </c>
      <c r="Y286" s="694">
        <f t="shared" si="395"/>
        <v>0.01</v>
      </c>
      <c r="Z286" s="694">
        <f t="shared" si="395"/>
        <v>0.01</v>
      </c>
      <c r="AA286" s="694">
        <f t="shared" si="395"/>
        <v>0.01</v>
      </c>
      <c r="AB286" s="694">
        <f t="shared" si="395"/>
        <v>0.01</v>
      </c>
      <c r="AC286" s="694">
        <f t="shared" si="395"/>
        <v>0.01</v>
      </c>
      <c r="AD286" s="694">
        <f t="shared" si="395"/>
        <v>0.01</v>
      </c>
      <c r="AE286" s="694">
        <f t="shared" si="395"/>
        <v>0.01</v>
      </c>
      <c r="AF286" s="694">
        <f t="shared" si="395"/>
        <v>0.01</v>
      </c>
      <c r="AG286" s="694">
        <f t="shared" si="395"/>
        <v>0.01</v>
      </c>
      <c r="AH286" s="694">
        <v>0.01</v>
      </c>
      <c r="AI286" s="694">
        <f t="shared" ref="AI286" si="396">AH286</f>
        <v>0.01</v>
      </c>
      <c r="AJ286" s="694">
        <f t="shared" ref="AJ286" si="397">AI286</f>
        <v>0.01</v>
      </c>
      <c r="AK286" s="694">
        <f t="shared" ref="AK286" si="398">AJ286</f>
        <v>0.01</v>
      </c>
      <c r="AL286" s="694">
        <f t="shared" ref="AL286" si="399">AK286</f>
        <v>0.01</v>
      </c>
      <c r="AM286" s="694">
        <f>AH286*1.2</f>
        <v>1.2E-2</v>
      </c>
      <c r="AN286" s="694">
        <f>AM286*1.2</f>
        <v>1.44E-2</v>
      </c>
      <c r="AO286" s="694">
        <v>1.4999999999999999E-2</v>
      </c>
      <c r="AP286" s="694">
        <f t="shared" ref="AP286:BA286" si="400">AO286</f>
        <v>1.4999999999999999E-2</v>
      </c>
      <c r="AQ286" s="694">
        <f t="shared" si="400"/>
        <v>1.4999999999999999E-2</v>
      </c>
      <c r="AR286" s="694">
        <f t="shared" si="400"/>
        <v>1.4999999999999999E-2</v>
      </c>
      <c r="AS286" s="694">
        <f t="shared" si="400"/>
        <v>1.4999999999999999E-2</v>
      </c>
      <c r="AT286" s="694">
        <f t="shared" si="400"/>
        <v>1.4999999999999999E-2</v>
      </c>
      <c r="AU286" s="694">
        <f t="shared" si="400"/>
        <v>1.4999999999999999E-2</v>
      </c>
      <c r="AV286" s="694">
        <f t="shared" si="400"/>
        <v>1.4999999999999999E-2</v>
      </c>
      <c r="AW286" s="694">
        <f t="shared" si="400"/>
        <v>1.4999999999999999E-2</v>
      </c>
      <c r="AX286" s="694">
        <f t="shared" si="400"/>
        <v>1.4999999999999999E-2</v>
      </c>
      <c r="AY286" s="694">
        <f t="shared" si="400"/>
        <v>1.4999999999999999E-2</v>
      </c>
      <c r="AZ286" s="694">
        <f t="shared" si="400"/>
        <v>1.4999999999999999E-2</v>
      </c>
      <c r="BA286" s="694">
        <f t="shared" si="400"/>
        <v>1.4999999999999999E-2</v>
      </c>
    </row>
    <row r="287" spans="1:53" s="77" customFormat="1" ht="12.75" customHeight="1">
      <c r="A287" s="384"/>
      <c r="B287" s="735" t="s">
        <v>650</v>
      </c>
      <c r="C287" s="265"/>
      <c r="D287" s="265"/>
      <c r="E287" s="265">
        <f t="shared" ref="E287:AC287" si="401">E269+E265+E261+E257+E253+E273+E277+E281+E285+E286</f>
        <v>6.6629352399999994E-2</v>
      </c>
      <c r="F287" s="265">
        <f t="shared" si="401"/>
        <v>0.22069999999999998</v>
      </c>
      <c r="G287" s="265">
        <f t="shared" si="401"/>
        <v>0.35849999999999999</v>
      </c>
      <c r="H287" s="265">
        <f t="shared" si="401"/>
        <v>0.58100000000000007</v>
      </c>
      <c r="I287" s="265">
        <f t="shared" si="401"/>
        <v>0.60599999999999998</v>
      </c>
      <c r="J287" s="265">
        <f t="shared" si="401"/>
        <v>0.71500000000000008</v>
      </c>
      <c r="K287" s="265">
        <f t="shared" si="401"/>
        <v>0.74</v>
      </c>
      <c r="L287" s="265">
        <f t="shared" si="401"/>
        <v>0.8610000000000001</v>
      </c>
      <c r="M287" s="265">
        <f t="shared" si="401"/>
        <v>0.89</v>
      </c>
      <c r="N287" s="265">
        <f t="shared" si="401"/>
        <v>0.91920000000000002</v>
      </c>
      <c r="O287" s="265">
        <f t="shared" si="401"/>
        <v>0.68471013947215764</v>
      </c>
      <c r="P287" s="265">
        <f t="shared" si="401"/>
        <v>0.68810193335645564</v>
      </c>
      <c r="Q287" s="265">
        <f t="shared" si="401"/>
        <v>0.70435153000147843</v>
      </c>
      <c r="R287" s="265">
        <f t="shared" si="401"/>
        <v>0.70400584317056702</v>
      </c>
      <c r="S287" s="265">
        <f t="shared" si="401"/>
        <v>0.69529236150016471</v>
      </c>
      <c r="T287" s="265">
        <f t="shared" si="401"/>
        <v>0.70401023395298212</v>
      </c>
      <c r="U287" s="265">
        <f t="shared" si="401"/>
        <v>0.7183935713867402</v>
      </c>
      <c r="V287" s="265">
        <f t="shared" si="401"/>
        <v>0.73091836798301202</v>
      </c>
      <c r="W287" s="265">
        <f t="shared" si="401"/>
        <v>0.73364194850877795</v>
      </c>
      <c r="X287" s="265">
        <f t="shared" si="401"/>
        <v>0.72174103045787796</v>
      </c>
      <c r="Y287" s="265">
        <f t="shared" si="401"/>
        <v>0.73415658703446085</v>
      </c>
      <c r="Z287" s="265">
        <f t="shared" si="401"/>
        <v>0.73935250517819029</v>
      </c>
      <c r="AA287" s="265">
        <f t="shared" si="401"/>
        <v>0.76436378492650048</v>
      </c>
      <c r="AB287" s="265">
        <f t="shared" si="401"/>
        <v>0.73919202873467404</v>
      </c>
      <c r="AC287" s="265">
        <f t="shared" si="401"/>
        <v>0.74291037768526236</v>
      </c>
      <c r="AD287" s="265"/>
      <c r="AE287" s="265"/>
      <c r="AF287" s="265"/>
      <c r="AG287" s="265"/>
      <c r="AH287" s="265">
        <f>AH269+AH265+AH261+AH257+AH253+AH273+AH277+AH281+AH285+AH286</f>
        <v>0.72441883445951527</v>
      </c>
      <c r="AI287" s="265"/>
      <c r="AJ287" s="265"/>
      <c r="AK287" s="265"/>
      <c r="AL287" s="265"/>
      <c r="AM287" s="265">
        <f t="shared" ref="AM287:BA287" si="402">AM269+AM265+AM261+AM257+AM253+AM273+AM277+AM281+AM285+AM286</f>
        <v>0.65872125484479416</v>
      </c>
      <c r="AN287" s="265">
        <f t="shared" si="402"/>
        <v>0.56144827815060838</v>
      </c>
      <c r="AO287" s="265">
        <f t="shared" si="402"/>
        <v>0.44497599815800509</v>
      </c>
      <c r="AP287" s="265">
        <f t="shared" si="402"/>
        <v>0.47239279547647545</v>
      </c>
      <c r="AQ287" s="265">
        <f t="shared" si="402"/>
        <v>0.54244927537817511</v>
      </c>
      <c r="AR287" s="265">
        <f t="shared" si="402"/>
        <v>0.53767754961918668</v>
      </c>
      <c r="AS287" s="265">
        <f t="shared" si="402"/>
        <v>0.47618163729387719</v>
      </c>
      <c r="AT287" s="265">
        <f t="shared" si="402"/>
        <v>0.46196845518988372</v>
      </c>
      <c r="AU287" s="265">
        <f t="shared" si="402"/>
        <v>0.4675959200882106</v>
      </c>
      <c r="AV287" s="265">
        <f t="shared" si="402"/>
        <v>0.36353531013891727</v>
      </c>
      <c r="AW287" s="265">
        <f t="shared" si="402"/>
        <v>0.2652236963878204</v>
      </c>
      <c r="AX287" s="265">
        <f t="shared" si="402"/>
        <v>0.25328906216632191</v>
      </c>
      <c r="AY287" s="265">
        <f t="shared" si="402"/>
        <v>0.2483314883600552</v>
      </c>
      <c r="AZ287" s="265">
        <f t="shared" si="402"/>
        <v>0.16509326607490982</v>
      </c>
      <c r="BA287" s="265">
        <f t="shared" si="402"/>
        <v>0.15882744931501752</v>
      </c>
    </row>
    <row r="288" spans="1:53" s="77" customFormat="1" ht="12.75" customHeight="1">
      <c r="A288" s="384"/>
      <c r="B288" s="218"/>
      <c r="AI288" s="694"/>
      <c r="AJ288" s="694"/>
      <c r="AK288" s="694"/>
      <c r="AL288" s="694"/>
    </row>
    <row r="289" spans="1:54" s="119" customFormat="1" ht="12.75" customHeight="1">
      <c r="A289" s="399"/>
      <c r="B289" s="400" t="s">
        <v>630</v>
      </c>
      <c r="C289" s="401"/>
      <c r="D289" s="401"/>
      <c r="E289" s="401"/>
      <c r="F289" s="401"/>
      <c r="G289" s="401"/>
      <c r="H289" s="401"/>
      <c r="I289" s="401"/>
      <c r="J289" s="401"/>
      <c r="K289" s="401"/>
      <c r="L289" s="401"/>
      <c r="M289" s="401"/>
      <c r="N289" s="401"/>
      <c r="O289" s="401"/>
      <c r="P289" s="401"/>
      <c r="Q289" s="401"/>
      <c r="R289" s="401"/>
      <c r="S289" s="401"/>
      <c r="T289" s="401"/>
      <c r="U289" s="401"/>
      <c r="V289" s="401"/>
      <c r="W289" s="401"/>
      <c r="X289" s="401"/>
      <c r="Y289" s="401"/>
      <c r="Z289" s="401"/>
      <c r="AA289" s="401"/>
      <c r="AB289" s="401"/>
      <c r="AC289" s="401"/>
      <c r="AD289" s="401"/>
      <c r="AE289" s="401"/>
      <c r="AF289" s="401"/>
      <c r="AG289" s="401"/>
      <c r="AH289" s="401"/>
      <c r="AI289" s="401"/>
      <c r="AJ289" s="401"/>
      <c r="AK289" s="401"/>
      <c r="AL289" s="401"/>
      <c r="AM289" s="401"/>
      <c r="AN289" s="401"/>
      <c r="AO289" s="401"/>
      <c r="AP289" s="401"/>
      <c r="AQ289" s="401"/>
      <c r="AR289" s="401"/>
      <c r="AS289" s="401"/>
      <c r="AT289" s="401"/>
      <c r="AU289" s="401"/>
      <c r="AV289" s="401"/>
      <c r="AW289" s="401"/>
      <c r="AX289" s="401"/>
      <c r="AY289" s="401"/>
      <c r="AZ289" s="401"/>
      <c r="BA289" s="401"/>
    </row>
    <row r="290" spans="1:54" s="116" customFormat="1" ht="12.75" customHeight="1">
      <c r="A290" s="372"/>
      <c r="B290" s="247" t="s">
        <v>63</v>
      </c>
      <c r="E290" s="116">
        <f t="shared" ref="E290:N290" si="403">E249*E253</f>
        <v>14191.947322364696</v>
      </c>
      <c r="F290" s="116">
        <f t="shared" si="403"/>
        <v>44685.048349714678</v>
      </c>
      <c r="G290" s="116">
        <f t="shared" si="403"/>
        <v>67775.61374999999</v>
      </c>
      <c r="H290" s="116">
        <f t="shared" si="403"/>
        <v>134045.52046875001</v>
      </c>
      <c r="I290" s="116">
        <f t="shared" si="403"/>
        <v>114625.14525</v>
      </c>
      <c r="J290" s="116">
        <f t="shared" si="403"/>
        <v>96364.173750000002</v>
      </c>
      <c r="K290" s="116">
        <f t="shared" si="403"/>
        <v>60592.805</v>
      </c>
      <c r="L290" s="116">
        <f t="shared" si="403"/>
        <v>38164.389900000002</v>
      </c>
      <c r="M290" s="116">
        <f t="shared" si="403"/>
        <v>36860.090421000001</v>
      </c>
      <c r="N290" s="116">
        <f t="shared" si="403"/>
        <v>36811.540350083596</v>
      </c>
      <c r="O290" s="402">
        <v>11288.454267846633</v>
      </c>
      <c r="P290" s="402">
        <v>11282.227672164279</v>
      </c>
      <c r="Q290" s="402">
        <v>10136.001076481922</v>
      </c>
      <c r="R290" s="402">
        <v>10129.774480799566</v>
      </c>
      <c r="S290" s="116">
        <f>S249*S253</f>
        <v>10791.644538403078</v>
      </c>
      <c r="T290" s="402">
        <v>11271.253272679631</v>
      </c>
      <c r="U290" s="402">
        <v>11264.941099906893</v>
      </c>
      <c r="V290" s="402">
        <v>11258.628927134154</v>
      </c>
      <c r="W290" s="402">
        <v>11252.316754361416</v>
      </c>
      <c r="X290" s="116">
        <f>X249*X253</f>
        <v>11345.590752851629</v>
      </c>
      <c r="Y290" s="402">
        <v>10435.398641999105</v>
      </c>
      <c r="Z290" s="402">
        <v>10430.599630267756</v>
      </c>
      <c r="AA290" s="402">
        <v>10425.800618536408</v>
      </c>
      <c r="AB290" s="402">
        <v>9281.0016068050627</v>
      </c>
      <c r="AC290" s="116">
        <f>AC249*AC253</f>
        <v>9816.7389332079292</v>
      </c>
      <c r="AD290" s="402">
        <v>9269.4467377731344</v>
      </c>
      <c r="AE290" s="402">
        <v>16101.947153017167</v>
      </c>
      <c r="AF290" s="402">
        <v>9254.4475682612065</v>
      </c>
      <c r="AG290" s="402">
        <v>6966.9479835052425</v>
      </c>
      <c r="AH290" s="116">
        <f>AH249*AH253</f>
        <v>8180.624232849299</v>
      </c>
      <c r="AI290" s="402">
        <v>6965.6772931563446</v>
      </c>
      <c r="AJ290" s="402">
        <v>6958.0765423879766</v>
      </c>
      <c r="AK290" s="402">
        <v>5810.4757916196086</v>
      </c>
      <c r="AL290" s="402">
        <v>6942.8750408512396</v>
      </c>
      <c r="AM290" s="116">
        <f t="shared" ref="AM290:BA290" si="404">AM249*AM253</f>
        <v>6431.3708521700964</v>
      </c>
      <c r="AN290" s="116">
        <f t="shared" si="404"/>
        <v>4640.4380676042319</v>
      </c>
      <c r="AO290" s="116">
        <f t="shared" si="404"/>
        <v>478.31746711125305</v>
      </c>
      <c r="AP290" s="116">
        <f t="shared" si="404"/>
        <v>345.12102102362877</v>
      </c>
      <c r="AQ290" s="116">
        <f t="shared" si="404"/>
        <v>249.01554367609555</v>
      </c>
      <c r="AR290" s="116">
        <f t="shared" si="404"/>
        <v>179.67240184711864</v>
      </c>
      <c r="AS290" s="116">
        <f t="shared" si="404"/>
        <v>129.63914635727511</v>
      </c>
      <c r="AT290" s="116">
        <f t="shared" si="404"/>
        <v>93.538591173498759</v>
      </c>
      <c r="AU290" s="116">
        <f t="shared" si="404"/>
        <v>67.490921704407654</v>
      </c>
      <c r="AV290" s="116">
        <f t="shared" si="404"/>
        <v>48.696726377467833</v>
      </c>
      <c r="AW290" s="116">
        <f t="shared" si="404"/>
        <v>35.136139899857568</v>
      </c>
      <c r="AX290" s="116">
        <f t="shared" si="404"/>
        <v>25.3517650684004</v>
      </c>
      <c r="AY290" s="116">
        <f t="shared" si="404"/>
        <v>18.292043648579341</v>
      </c>
      <c r="AZ290" s="116">
        <f t="shared" si="404"/>
        <v>13.19824329732408</v>
      </c>
      <c r="BA290" s="116">
        <f t="shared" si="404"/>
        <v>9.5229149242476065</v>
      </c>
    </row>
    <row r="291" spans="1:54" s="116" customFormat="1" ht="12.75" customHeight="1">
      <c r="B291" s="247" t="s">
        <v>62</v>
      </c>
      <c r="E291" s="116">
        <f t="shared" ref="E291:N291" si="405">E249*E257</f>
        <v>0</v>
      </c>
      <c r="F291" s="116">
        <f t="shared" si="405"/>
        <v>0</v>
      </c>
      <c r="G291" s="116">
        <f t="shared" si="405"/>
        <v>0</v>
      </c>
      <c r="H291" s="116">
        <f t="shared" si="405"/>
        <v>16085.462456250001</v>
      </c>
      <c r="I291" s="116">
        <f t="shared" si="405"/>
        <v>50323.234500000006</v>
      </c>
      <c r="J291" s="116">
        <f t="shared" si="405"/>
        <v>106432.07249999999</v>
      </c>
      <c r="K291" s="116">
        <f t="shared" si="405"/>
        <v>125413.015</v>
      </c>
      <c r="L291" s="116">
        <f t="shared" si="405"/>
        <v>168877.42530750003</v>
      </c>
      <c r="M291" s="116">
        <f t="shared" si="405"/>
        <v>174247.70017199998</v>
      </c>
      <c r="N291" s="116">
        <f t="shared" si="405"/>
        <v>185810.63224327911</v>
      </c>
      <c r="O291" s="402">
        <v>143955.67834808293</v>
      </c>
      <c r="P291" s="402">
        <v>143877.84590205349</v>
      </c>
      <c r="Q291" s="402">
        <v>148800.01211042161</v>
      </c>
      <c r="R291" s="402">
        <v>147907.51928879524</v>
      </c>
      <c r="S291" s="116">
        <f>S249*S257</f>
        <v>147211.79649425313</v>
      </c>
      <c r="T291" s="402">
        <v>149192.53272679631</v>
      </c>
      <c r="U291" s="402">
        <v>151863.23462418528</v>
      </c>
      <c r="V291" s="402">
        <v>152948.00311242384</v>
      </c>
      <c r="W291" s="402">
        <v>151752.77160066235</v>
      </c>
      <c r="X291" s="116">
        <f>X249*X257</f>
        <v>152560.08277631647</v>
      </c>
      <c r="Y291" s="402">
        <v>150129.38506199015</v>
      </c>
      <c r="Z291" s="402">
        <v>150399.72938952272</v>
      </c>
      <c r="AA291" s="402">
        <v>153768.53993105504</v>
      </c>
      <c r="AB291" s="402">
        <v>147530.01606805064</v>
      </c>
      <c r="AC291" s="116">
        <f>AC249*AC257</f>
        <v>153157.69386380166</v>
      </c>
      <c r="AD291" s="402">
        <v>141863.91411550448</v>
      </c>
      <c r="AE291" s="402">
        <v>142637.52437715451</v>
      </c>
      <c r="AF291" s="402">
        <v>142234.84397043788</v>
      </c>
      <c r="AG291" s="402">
        <v>135197.89986254368</v>
      </c>
      <c r="AH291" s="116">
        <f>AH249*AH257</f>
        <v>142090.20337335678</v>
      </c>
      <c r="AI291" s="402">
        <v>133709.20320735499</v>
      </c>
      <c r="AJ291" s="402">
        <v>131363.33003402915</v>
      </c>
      <c r="AK291" s="402">
        <v>134519.99999999997</v>
      </c>
      <c r="AL291" s="402">
        <v>129959.99999999999</v>
      </c>
      <c r="AM291" s="116">
        <f t="shared" ref="AM291:BA291" si="406">AM249*AM257</f>
        <v>118448.44400526019</v>
      </c>
      <c r="AN291" s="116">
        <f t="shared" si="406"/>
        <v>85464.309436460477</v>
      </c>
      <c r="AO291" s="116">
        <f t="shared" si="406"/>
        <v>22023.282835862308</v>
      </c>
      <c r="AP291" s="116">
        <f t="shared" si="406"/>
        <v>6810.2090418631269</v>
      </c>
      <c r="AQ291" s="116">
        <f t="shared" si="406"/>
        <v>701.96821396469841</v>
      </c>
      <c r="AR291" s="116">
        <f t="shared" si="406"/>
        <v>72.355962294824451</v>
      </c>
      <c r="AS291" s="116">
        <f t="shared" si="406"/>
        <v>7.4581492994453251</v>
      </c>
      <c r="AT291" s="116">
        <f t="shared" si="406"/>
        <v>0.76875454216488237</v>
      </c>
      <c r="AU291" s="116">
        <f t="shared" si="406"/>
        <v>7.9239949391463477E-2</v>
      </c>
      <c r="AV291" s="116">
        <f t="shared" si="406"/>
        <v>8.167714658574363E-3</v>
      </c>
      <c r="AW291" s="116">
        <f t="shared" si="406"/>
        <v>8.4189280487115313E-4</v>
      </c>
      <c r="AX291" s="116">
        <f t="shared" si="406"/>
        <v>8.67786544513578E-5</v>
      </c>
      <c r="AY291" s="116">
        <f t="shared" si="406"/>
        <v>8.9447642611665031E-6</v>
      </c>
      <c r="AZ291" s="116">
        <f t="shared" si="406"/>
        <v>9.2198692052849044E-7</v>
      </c>
      <c r="BA291" s="116">
        <f t="shared" si="406"/>
        <v>9.5034325052312983E-8</v>
      </c>
    </row>
    <row r="292" spans="1:54" s="116" customFormat="1" ht="12.75" customHeight="1">
      <c r="B292" s="247" t="s">
        <v>61</v>
      </c>
      <c r="G292" s="116">
        <f t="shared" ref="G292:N292" si="407">+G261*G249</f>
        <v>0</v>
      </c>
      <c r="H292" s="116">
        <f t="shared" si="407"/>
        <v>0</v>
      </c>
      <c r="I292" s="116">
        <f t="shared" si="407"/>
        <v>0</v>
      </c>
      <c r="J292" s="116">
        <f t="shared" si="407"/>
        <v>0</v>
      </c>
      <c r="K292" s="116">
        <f t="shared" si="407"/>
        <v>19727.890000000003</v>
      </c>
      <c r="L292" s="116">
        <f t="shared" si="407"/>
        <v>63607.316500000008</v>
      </c>
      <c r="M292" s="116">
        <f t="shared" si="407"/>
        <v>83772.932774999994</v>
      </c>
      <c r="N292" s="116">
        <f t="shared" si="407"/>
        <v>96060.59100878959</v>
      </c>
      <c r="O292" s="402">
        <v>82550.725607079788</v>
      </c>
      <c r="P292" s="402">
        <v>83967.809114944583</v>
      </c>
      <c r="Q292" s="402">
        <v>84124.006997132485</v>
      </c>
      <c r="R292" s="402">
        <v>84718.646884797403</v>
      </c>
      <c r="S292" s="116">
        <f>+S261*S249</f>
        <v>84459.764352046855</v>
      </c>
      <c r="T292" s="402">
        <v>86184.706317907854</v>
      </c>
      <c r="U292" s="402">
        <v>88244.705499534452</v>
      </c>
      <c r="V292" s="402">
        <v>87073.14463567076</v>
      </c>
      <c r="W292" s="402">
        <v>85083.504583216709</v>
      </c>
      <c r="X292" s="116">
        <f>+X261*X249</f>
        <v>87293.76040975294</v>
      </c>
      <c r="Y292" s="402">
        <v>83132.391851994616</v>
      </c>
      <c r="Z292" s="402">
        <v>82609.86469476136</v>
      </c>
      <c r="AA292" s="402">
        <v>81934.803711218454</v>
      </c>
      <c r="AB292" s="402">
        <v>78325.008034025319</v>
      </c>
      <c r="AC292" s="116">
        <f>+AC261*AC249</f>
        <v>82971.473372923545</v>
      </c>
      <c r="AD292" s="402">
        <v>74996.680426638806</v>
      </c>
      <c r="AE292" s="402">
        <v>75142.420047413456</v>
      </c>
      <c r="AF292" s="402">
        <v>74503.342704783616</v>
      </c>
      <c r="AG292" s="402">
        <v>66500.843950515715</v>
      </c>
      <c r="AH292" s="116">
        <f>+AH261*AH249</f>
        <v>73632.910611985673</v>
      </c>
      <c r="AI292" s="402">
        <v>69539.999999999985</v>
      </c>
      <c r="AJ292" s="402">
        <v>66119.999999999985</v>
      </c>
      <c r="AK292" s="402">
        <v>61559.999999999993</v>
      </c>
      <c r="AL292" s="402">
        <v>60419.999999999993</v>
      </c>
      <c r="AM292" s="116">
        <f t="shared" ref="AM292:BA292" si="408">+AM261*AM249</f>
        <v>67894.297443909352</v>
      </c>
      <c r="AN292" s="116">
        <f t="shared" si="408"/>
        <v>29742.646988017364</v>
      </c>
      <c r="AO292" s="116">
        <f t="shared" si="408"/>
        <v>15328.754920586014</v>
      </c>
      <c r="AP292" s="116">
        <f t="shared" si="408"/>
        <v>4740.0755890347427</v>
      </c>
      <c r="AQ292" s="116">
        <f t="shared" si="408"/>
        <v>488.58740970190297</v>
      </c>
      <c r="AR292" s="116">
        <f t="shared" si="408"/>
        <v>50.361556963453452</v>
      </c>
      <c r="AS292" s="116">
        <f t="shared" si="408"/>
        <v>5.1910581916595246</v>
      </c>
      <c r="AT292" s="116">
        <f t="shared" si="408"/>
        <v>0.53507236222493848</v>
      </c>
      <c r="AU292" s="116">
        <f t="shared" si="408"/>
        <v>5.5152983921337509E-2</v>
      </c>
      <c r="AV292" s="116">
        <f t="shared" si="408"/>
        <v>5.6849334041466984E-3</v>
      </c>
      <c r="AW292" s="116">
        <f t="shared" si="408"/>
        <v>5.859784198139666E-4</v>
      </c>
      <c r="AX292" s="116">
        <f t="shared" si="408"/>
        <v>6.0400110934278918E-5</v>
      </c>
      <c r="AY292" s="116">
        <f t="shared" si="408"/>
        <v>6.2257793356114526E-6</v>
      </c>
      <c r="AZ292" s="116">
        <f t="shared" si="408"/>
        <v>6.4172592479052542E-7</v>
      </c>
      <c r="BA292" s="116">
        <f t="shared" si="408"/>
        <v>6.6146263871163477E-8</v>
      </c>
    </row>
    <row r="293" spans="1:54" s="116" customFormat="1" ht="12.75" customHeight="1">
      <c r="B293" s="247" t="s">
        <v>455</v>
      </c>
      <c r="L293" s="116">
        <f>L265*L249</f>
        <v>0</v>
      </c>
      <c r="M293" s="116">
        <f>M265*M249</f>
        <v>0</v>
      </c>
      <c r="N293" s="116">
        <f>N265*N249</f>
        <v>70.117219714444943</v>
      </c>
      <c r="O293" s="402">
        <v>61.340700884975377</v>
      </c>
      <c r="P293" s="402">
        <v>1113.341508246418</v>
      </c>
      <c r="Q293" s="402">
        <v>4156.0024220843279</v>
      </c>
      <c r="R293" s="402">
        <v>5554.2106827984899</v>
      </c>
      <c r="S293" s="116">
        <f>S265*S249</f>
        <v>2729.3267371121487</v>
      </c>
      <c r="T293" s="402">
        <v>2925.0130907185221</v>
      </c>
      <c r="U293" s="402">
        <v>4624.7054995344615</v>
      </c>
      <c r="V293" s="402">
        <v>10272.801867454309</v>
      </c>
      <c r="W293" s="402">
        <v>15561.58377180708</v>
      </c>
      <c r="X293" s="116">
        <f>X265*X249</f>
        <v>8381.038809996382</v>
      </c>
      <c r="Y293" s="402">
        <v>19961.65534999255</v>
      </c>
      <c r="Z293" s="402">
        <v>23598.530128987237</v>
      </c>
      <c r="AA293" s="402">
        <v>30531.138075445815</v>
      </c>
      <c r="AB293" s="402">
        <v>33494.345652172153</v>
      </c>
      <c r="AC293" s="116">
        <f>AC265*AC249</f>
        <v>27348.860229976799</v>
      </c>
      <c r="AD293" s="402">
        <v>35745.389481442777</v>
      </c>
      <c r="AE293" s="402">
        <v>40013.630071120191</v>
      </c>
      <c r="AF293" s="402">
        <v>44631.501265654311</v>
      </c>
      <c r="AG293" s="402">
        <v>48597.055912027965</v>
      </c>
      <c r="AH293" s="116">
        <f>AH265*AH249</f>
        <v>42683.421213640213</v>
      </c>
      <c r="AI293" s="402">
        <v>49928.386465781732</v>
      </c>
      <c r="AJ293" s="402">
        <v>51890.382711939885</v>
      </c>
      <c r="AK293" s="402">
        <v>58000</v>
      </c>
      <c r="AL293" s="402">
        <v>57000</v>
      </c>
      <c r="AM293" s="116">
        <f t="shared" ref="AM293:BA293" si="409">AM265*AM249</f>
        <v>48021.326116519289</v>
      </c>
      <c r="AN293" s="116">
        <f t="shared" si="409"/>
        <v>32998.96189505775</v>
      </c>
      <c r="AO293" s="116">
        <f t="shared" si="409"/>
        <v>30612.588029182269</v>
      </c>
      <c r="AP293" s="116">
        <f t="shared" si="409"/>
        <v>31554.200365273744</v>
      </c>
      <c r="AQ293" s="116">
        <f t="shared" si="409"/>
        <v>32524.766181679006</v>
      </c>
      <c r="AR293" s="116">
        <f t="shared" si="409"/>
        <v>33525.175480494006</v>
      </c>
      <c r="AS293" s="116">
        <f t="shared" si="409"/>
        <v>3455.6345613209091</v>
      </c>
      <c r="AT293" s="116">
        <f t="shared" si="409"/>
        <v>356.19222120894932</v>
      </c>
      <c r="AU293" s="116">
        <f t="shared" si="409"/>
        <v>36.714779600191925</v>
      </c>
      <c r="AV293" s="116">
        <f t="shared" si="409"/>
        <v>3.784402259589533</v>
      </c>
      <c r="AW293" s="116">
        <f t="shared" si="409"/>
        <v>0.39007986520952659</v>
      </c>
      <c r="AX293" s="116">
        <f t="shared" si="409"/>
        <v>4.0207738604715097E-2</v>
      </c>
      <c r="AY293" s="116">
        <f t="shared" si="409"/>
        <v>4.1444378870310198E-3</v>
      </c>
      <c r="AZ293" s="116">
        <f t="shared" si="409"/>
        <v>4.2719041142030216E-4</v>
      </c>
      <c r="BA293" s="116">
        <f t="shared" si="409"/>
        <v>4.4032894083657236E-5</v>
      </c>
    </row>
    <row r="294" spans="1:54" s="116" customFormat="1" ht="12.75" customHeight="1">
      <c r="B294" s="247" t="s">
        <v>66</v>
      </c>
      <c r="L294" s="116">
        <v>0</v>
      </c>
      <c r="M294" s="116">
        <v>0</v>
      </c>
      <c r="N294" s="116">
        <f>N269*N249</f>
        <v>0</v>
      </c>
      <c r="O294" s="385">
        <v>0</v>
      </c>
      <c r="P294" s="385">
        <v>0</v>
      </c>
      <c r="Q294" s="385">
        <v>0</v>
      </c>
      <c r="R294" s="385">
        <v>0</v>
      </c>
      <c r="S294" s="116">
        <f>S269*S249</f>
        <v>0</v>
      </c>
      <c r="T294" s="402">
        <f>750-T348</f>
        <v>115.62663633981526</v>
      </c>
      <c r="U294" s="402">
        <f>1250-U348</f>
        <v>134.32346241853065</v>
      </c>
      <c r="V294" s="402">
        <f>2000-V348</f>
        <v>398.28615891769255</v>
      </c>
      <c r="W294" s="402">
        <f>3000-W348</f>
        <v>585.59391442765491</v>
      </c>
      <c r="X294" s="116">
        <f>X269*X249</f>
        <v>309.71196971241227</v>
      </c>
      <c r="Y294" s="402">
        <f>4000-Y348</f>
        <v>2231.5641769983613</v>
      </c>
      <c r="Z294" s="402">
        <f>5000-Z348</f>
        <v>2091.7988908032753</v>
      </c>
      <c r="AA294" s="402">
        <f>6000-AA348</f>
        <v>3077.4018556092328</v>
      </c>
      <c r="AB294" s="402">
        <f>8000-AB348</f>
        <v>3105.0080340253162</v>
      </c>
      <c r="AC294" s="116">
        <f>AC269*AC249</f>
        <v>2671.2765284354173</v>
      </c>
      <c r="AD294" s="402">
        <f>10000-AD348</f>
        <v>4882.1414784945237</v>
      </c>
      <c r="AE294" s="402">
        <f>14000-AE348</f>
        <v>8677.051482758241</v>
      </c>
      <c r="AF294" s="402">
        <v>11966.685409567239</v>
      </c>
      <c r="AG294" s="402">
        <v>17246.319890034953</v>
      </c>
      <c r="AH294" s="116">
        <f>AH269*AH249</f>
        <v>10775.68500159772</v>
      </c>
      <c r="AI294" s="402">
        <v>16575.956189990189</v>
      </c>
      <c r="AJ294" s="402">
        <v>18527.818101790523</v>
      </c>
      <c r="AK294" s="402">
        <v>24000</v>
      </c>
      <c r="AL294" s="402">
        <v>25000</v>
      </c>
      <c r="AM294" s="116">
        <f t="shared" ref="AM294:BA294" si="410">AM269*AM249</f>
        <v>7003.1100586590637</v>
      </c>
      <c r="AN294" s="116">
        <f t="shared" si="410"/>
        <v>6806.0358908556609</v>
      </c>
      <c r="AO294" s="116">
        <f t="shared" si="410"/>
        <v>5952.4476723409962</v>
      </c>
      <c r="AP294" s="116">
        <f t="shared" si="410"/>
        <v>5697.2861770633144</v>
      </c>
      <c r="AQ294" s="116">
        <f t="shared" si="410"/>
        <v>5725.714046566407</v>
      </c>
      <c r="AR294" s="116">
        <f t="shared" si="410"/>
        <v>5754.2820727066646</v>
      </c>
      <c r="AS294" s="116">
        <f t="shared" si="410"/>
        <v>5782.9909397980337</v>
      </c>
      <c r="AT294" s="116">
        <f t="shared" si="410"/>
        <v>5811.8413354687955</v>
      </c>
      <c r="AU294" s="116">
        <f t="shared" si="410"/>
        <v>5990.5989237718022</v>
      </c>
      <c r="AV294" s="116">
        <f t="shared" si="410"/>
        <v>6020.4815176707925</v>
      </c>
      <c r="AW294" s="116">
        <f t="shared" si="410"/>
        <v>6050.511405426244</v>
      </c>
      <c r="AX294" s="116">
        <f t="shared" si="410"/>
        <v>6080.6893060595039</v>
      </c>
      <c r="AY294" s="116">
        <f t="shared" si="410"/>
        <v>6111.01594207378</v>
      </c>
      <c r="AZ294" s="116">
        <f t="shared" si="410"/>
        <v>629.89661943291287</v>
      </c>
      <c r="BA294" s="116">
        <f t="shared" si="410"/>
        <v>64.926951508408877</v>
      </c>
    </row>
    <row r="295" spans="1:54" s="696" customFormat="1" ht="12.75" customHeight="1">
      <c r="B295" s="247" t="s">
        <v>842</v>
      </c>
      <c r="Q295" s="385"/>
      <c r="AM295" s="696">
        <f t="shared" ref="AM295:BA295" si="411">AM249*AM273</f>
        <v>5002.2214704707594</v>
      </c>
      <c r="AN295" s="696">
        <f t="shared" si="411"/>
        <v>28874.091658175534</v>
      </c>
      <c r="AO295" s="696">
        <f t="shared" si="411"/>
        <v>48895.105879943898</v>
      </c>
      <c r="AP295" s="696">
        <f t="shared" si="411"/>
        <v>68038.744537621518</v>
      </c>
      <c r="AQ295" s="696">
        <f t="shared" si="411"/>
        <v>94677.561556981236</v>
      </c>
      <c r="AR295" s="696">
        <f t="shared" si="411"/>
        <v>78071.752400200421</v>
      </c>
      <c r="AS295" s="696">
        <f t="shared" si="411"/>
        <v>64378.471877408534</v>
      </c>
      <c r="AT295" s="696">
        <f t="shared" si="411"/>
        <v>53086.888648981811</v>
      </c>
      <c r="AU295" s="696">
        <f t="shared" si="411"/>
        <v>51983.722140319747</v>
      </c>
      <c r="AV295" s="696">
        <f t="shared" si="411"/>
        <v>50903.46497742246</v>
      </c>
      <c r="AW295" s="696">
        <f t="shared" si="411"/>
        <v>49845.641729646013</v>
      </c>
      <c r="AX295" s="696">
        <f t="shared" si="411"/>
        <v>48809.786825697767</v>
      </c>
      <c r="AY295" s="696">
        <f t="shared" si="411"/>
        <v>47795.444349331519</v>
      </c>
      <c r="AZ295" s="696">
        <f t="shared" si="411"/>
        <v>4926.5439830813575</v>
      </c>
      <c r="BA295" s="696">
        <f t="shared" si="411"/>
        <v>1015.6126336462555</v>
      </c>
    </row>
    <row r="296" spans="1:54" s="696" customFormat="1" ht="12.75" customHeight="1">
      <c r="B296" s="247" t="str">
        <f>B277</f>
        <v>Odefsey (2025 Expiry)</v>
      </c>
      <c r="Q296" s="385"/>
      <c r="AM296" s="696">
        <f t="shared" ref="AM296:BA296" si="412">AM249*AM277</f>
        <v>0</v>
      </c>
      <c r="AN296" s="696">
        <f t="shared" si="412"/>
        <v>16499.480947528875</v>
      </c>
      <c r="AO296" s="696">
        <f t="shared" si="412"/>
        <v>25510.490024318555</v>
      </c>
      <c r="AP296" s="696">
        <f t="shared" si="412"/>
        <v>35060.222628081938</v>
      </c>
      <c r="AQ296" s="696">
        <f t="shared" si="412"/>
        <v>40655.95772709875</v>
      </c>
      <c r="AR296" s="696">
        <f t="shared" si="412"/>
        <v>46562.743722908337</v>
      </c>
      <c r="AS296" s="696">
        <f t="shared" si="412"/>
        <v>52794.416909069434</v>
      </c>
      <c r="AT296" s="696">
        <f t="shared" si="412"/>
        <v>54418.256018033913</v>
      </c>
      <c r="AU296" s="696">
        <f t="shared" si="412"/>
        <v>56092.024389182101</v>
      </c>
      <c r="AV296" s="696">
        <f t="shared" si="412"/>
        <v>28908.628371864481</v>
      </c>
      <c r="AW296" s="696">
        <f t="shared" si="412"/>
        <v>2979.7767481283272</v>
      </c>
      <c r="AX296" s="696">
        <f t="shared" si="412"/>
        <v>614.28489534981372</v>
      </c>
      <c r="AY296" s="696">
        <f t="shared" si="412"/>
        <v>126.63560210372555</v>
      </c>
      <c r="AZ296" s="696">
        <f t="shared" si="412"/>
        <v>26.106080697907348</v>
      </c>
      <c r="BA296" s="696">
        <f t="shared" si="412"/>
        <v>5.3817981657803262</v>
      </c>
    </row>
    <row r="297" spans="1:54" s="696" customFormat="1" ht="12.75" customHeight="1">
      <c r="B297" s="247" t="str">
        <f>B281</f>
        <v>Descovy (2025 Expiry)</v>
      </c>
      <c r="Q297" s="385"/>
      <c r="AM297" s="696">
        <f t="shared" ref="AM297:BA297" si="413">AM249*AM281</f>
        <v>6002.6657645649111</v>
      </c>
      <c r="AN297" s="696">
        <f t="shared" si="413"/>
        <v>20624.351184411094</v>
      </c>
      <c r="AO297" s="696">
        <f t="shared" si="413"/>
        <v>34013.986699091409</v>
      </c>
      <c r="AP297" s="696">
        <f t="shared" si="413"/>
        <v>37251.486542337057</v>
      </c>
      <c r="AQ297" s="696">
        <f t="shared" si="413"/>
        <v>40655.95772709875</v>
      </c>
      <c r="AR297" s="696">
        <f t="shared" si="413"/>
        <v>44234.60653676292</v>
      </c>
      <c r="AS297" s="696">
        <f t="shared" si="413"/>
        <v>47994.924462790397</v>
      </c>
      <c r="AT297" s="696">
        <f t="shared" si="413"/>
        <v>49471.141834576287</v>
      </c>
      <c r="AU297" s="696">
        <f t="shared" si="413"/>
        <v>50992.749444711</v>
      </c>
      <c r="AV297" s="696">
        <f t="shared" si="413"/>
        <v>26280.571247149528</v>
      </c>
      <c r="AW297" s="696">
        <f t="shared" si="413"/>
        <v>2708.8879528439343</v>
      </c>
      <c r="AX297" s="696">
        <f t="shared" si="413"/>
        <v>558.44081395437615</v>
      </c>
      <c r="AY297" s="696">
        <f t="shared" si="413"/>
        <v>115.12327463975052</v>
      </c>
      <c r="AZ297" s="696">
        <f t="shared" si="413"/>
        <v>23.732800634461228</v>
      </c>
      <c r="BA297" s="696">
        <f t="shared" si="413"/>
        <v>4.8925437870730244</v>
      </c>
    </row>
    <row r="298" spans="1:54" s="696" customFormat="1" ht="12.75" customHeight="1">
      <c r="B298" s="247" t="s">
        <v>865</v>
      </c>
      <c r="Q298" s="385"/>
      <c r="AM298" s="696">
        <f t="shared" ref="AM298:BA298" si="414">AM249*AM285</f>
        <v>0</v>
      </c>
      <c r="AN298" s="696">
        <f t="shared" si="414"/>
        <v>0</v>
      </c>
      <c r="AO298" s="696">
        <f t="shared" si="414"/>
        <v>0</v>
      </c>
      <c r="AP298" s="696">
        <f t="shared" si="414"/>
        <v>10956.319571275606</v>
      </c>
      <c r="AQ298" s="696">
        <f t="shared" si="414"/>
        <v>22586.643181721531</v>
      </c>
      <c r="AR298" s="696">
        <f t="shared" si="414"/>
        <v>34922.057792181258</v>
      </c>
      <c r="AS298" s="696">
        <f t="shared" si="414"/>
        <v>46795.051351220638</v>
      </c>
      <c r="AT298" s="696">
        <f t="shared" si="414"/>
        <v>57881.235946454261</v>
      </c>
      <c r="AU298" s="696">
        <f t="shared" si="414"/>
        <v>65627.66853534308</v>
      </c>
      <c r="AV298" s="696">
        <f t="shared" si="414"/>
        <v>71028.499909671038</v>
      </c>
      <c r="AW298" s="696">
        <f t="shared" si="414"/>
        <v>73945.245848528139</v>
      </c>
      <c r="AX298" s="696">
        <f t="shared" si="414"/>
        <v>76981.743871538492</v>
      </c>
      <c r="AY298" s="696">
        <f t="shared" si="414"/>
        <v>80142.909711476095</v>
      </c>
      <c r="AZ298" s="696">
        <f t="shared" si="414"/>
        <v>83433.860852376311</v>
      </c>
      <c r="BA298" s="696">
        <f t="shared" si="414"/>
        <v>86859.924808367796</v>
      </c>
    </row>
    <row r="299" spans="1:54" s="696" customFormat="1" ht="12.75" customHeight="1">
      <c r="B299" s="247" t="s">
        <v>68</v>
      </c>
      <c r="F299" s="696">
        <f t="shared" ref="F299:K299" si="415">+F251*F284</f>
        <v>0</v>
      </c>
      <c r="G299" s="696">
        <f t="shared" si="415"/>
        <v>0</v>
      </c>
      <c r="H299" s="696">
        <f t="shared" si="415"/>
        <v>0</v>
      </c>
      <c r="I299" s="696">
        <f t="shared" si="415"/>
        <v>0</v>
      </c>
      <c r="J299" s="696">
        <f t="shared" si="415"/>
        <v>0</v>
      </c>
      <c r="K299" s="696">
        <f t="shared" si="415"/>
        <v>0</v>
      </c>
      <c r="L299" s="696">
        <f t="shared" ref="L299:AC299" si="416">+L249*L286</f>
        <v>3180.3658250000003</v>
      </c>
      <c r="M299" s="696">
        <f t="shared" si="416"/>
        <v>3350.9173109999997</v>
      </c>
      <c r="N299" s="696">
        <f t="shared" si="416"/>
        <v>3505.8609857222473</v>
      </c>
      <c r="O299" s="696">
        <f t="shared" si="416"/>
        <v>3525.3093885616581</v>
      </c>
      <c r="P299" s="696">
        <f t="shared" si="416"/>
        <v>3542.8482412410699</v>
      </c>
      <c r="Q299" s="696">
        <f t="shared" si="416"/>
        <v>3560.3870939204808</v>
      </c>
      <c r="R299" s="696">
        <f t="shared" si="416"/>
        <v>3577.9259465998916</v>
      </c>
      <c r="S299" s="696">
        <f t="shared" si="416"/>
        <v>3577.9259465998916</v>
      </c>
      <c r="T299" s="696">
        <f t="shared" si="416"/>
        <v>3597.7730562019074</v>
      </c>
      <c r="U299" s="696">
        <f t="shared" si="416"/>
        <v>3615.672424640723</v>
      </c>
      <c r="V299" s="696">
        <f t="shared" si="416"/>
        <v>3633.5717930795386</v>
      </c>
      <c r="W299" s="696">
        <f t="shared" si="416"/>
        <v>3651.4711615183542</v>
      </c>
      <c r="X299" s="696">
        <f t="shared" si="416"/>
        <v>3651.4711615183551</v>
      </c>
      <c r="Y299" s="696">
        <f t="shared" si="416"/>
        <v>3671.7251467923425</v>
      </c>
      <c r="Z299" s="696">
        <f t="shared" si="416"/>
        <v>3689.9924360798659</v>
      </c>
      <c r="AA299" s="696">
        <f t="shared" si="416"/>
        <v>3708.2597253673903</v>
      </c>
      <c r="AB299" s="696">
        <f t="shared" si="416"/>
        <v>3726.5270146549137</v>
      </c>
      <c r="AC299" s="696">
        <f t="shared" si="416"/>
        <v>3765.3450043909038</v>
      </c>
      <c r="AH299" s="696">
        <f>+AH249*AH286</f>
        <v>3882.3562741492542</v>
      </c>
      <c r="AM299" s="696">
        <f t="shared" ref="AM299:BA299" si="417">+AM249*AM286</f>
        <v>4802.1326116519285</v>
      </c>
      <c r="AN299" s="696">
        <f t="shared" si="417"/>
        <v>5939.813141110395</v>
      </c>
      <c r="AO299" s="696">
        <f t="shared" si="417"/>
        <v>6377.6225060796387</v>
      </c>
      <c r="AP299" s="696">
        <f t="shared" si="417"/>
        <v>6573.7917427653629</v>
      </c>
      <c r="AQ299" s="696">
        <f t="shared" si="417"/>
        <v>6775.9929545164587</v>
      </c>
      <c r="AR299" s="696">
        <f t="shared" si="417"/>
        <v>6984.4115584362498</v>
      </c>
      <c r="AS299" s="696">
        <f t="shared" si="417"/>
        <v>7199.2386694185589</v>
      </c>
      <c r="AT299" s="696">
        <f t="shared" si="417"/>
        <v>7420.6712751864425</v>
      </c>
      <c r="AU299" s="696">
        <f t="shared" si="417"/>
        <v>7648.9124167066493</v>
      </c>
      <c r="AV299" s="696">
        <f t="shared" si="417"/>
        <v>7884.1713741448575</v>
      </c>
      <c r="AW299" s="696">
        <f t="shared" si="417"/>
        <v>8126.6638585318005</v>
      </c>
      <c r="AX299" s="696">
        <f t="shared" si="417"/>
        <v>8376.6122093156409</v>
      </c>
      <c r="AY299" s="696">
        <f t="shared" si="417"/>
        <v>8634.2455979812858</v>
      </c>
      <c r="AZ299" s="696">
        <f t="shared" si="417"/>
        <v>8899.8002379229565</v>
      </c>
      <c r="BA299" s="696">
        <f t="shared" si="417"/>
        <v>9173.5196007619179</v>
      </c>
    </row>
    <row r="300" spans="1:54" s="116" customFormat="1" ht="12.75" customHeight="1">
      <c r="A300" s="372"/>
      <c r="B300" s="266" t="s">
        <v>651</v>
      </c>
      <c r="C300" s="275"/>
      <c r="D300" s="275"/>
      <c r="E300" s="275">
        <f t="shared" ref="E300:AH300" si="418">SUM(E290:E299)</f>
        <v>14191.947322364696</v>
      </c>
      <c r="F300" s="275">
        <f t="shared" si="418"/>
        <v>44685.048349714678</v>
      </c>
      <c r="G300" s="275">
        <f t="shared" si="418"/>
        <v>67775.61374999999</v>
      </c>
      <c r="H300" s="275">
        <f t="shared" si="418"/>
        <v>150130.98292500002</v>
      </c>
      <c r="I300" s="275">
        <f t="shared" si="418"/>
        <v>164948.37975000002</v>
      </c>
      <c r="J300" s="275">
        <f t="shared" si="418"/>
        <v>202796.24625</v>
      </c>
      <c r="K300" s="275">
        <f t="shared" si="418"/>
        <v>205733.71000000002</v>
      </c>
      <c r="L300" s="275">
        <f t="shared" si="418"/>
        <v>273829.49753250001</v>
      </c>
      <c r="M300" s="275">
        <f t="shared" si="418"/>
        <v>298231.640679</v>
      </c>
      <c r="N300" s="275">
        <f t="shared" si="418"/>
        <v>322258.74180758896</v>
      </c>
      <c r="O300" s="275">
        <f t="shared" si="418"/>
        <v>241381.50831245599</v>
      </c>
      <c r="P300" s="275">
        <f t="shared" si="418"/>
        <v>243784.0724386498</v>
      </c>
      <c r="Q300" s="275">
        <f t="shared" si="418"/>
        <v>250776.40970004082</v>
      </c>
      <c r="R300" s="275">
        <f t="shared" si="418"/>
        <v>251888.0772837906</v>
      </c>
      <c r="S300" s="275">
        <f t="shared" si="418"/>
        <v>248770.45806841512</v>
      </c>
      <c r="T300" s="275">
        <f t="shared" si="418"/>
        <v>253286.90510064404</v>
      </c>
      <c r="U300" s="275">
        <f t="shared" si="418"/>
        <v>259747.58261022033</v>
      </c>
      <c r="V300" s="275">
        <f t="shared" si="418"/>
        <v>265584.4364946803</v>
      </c>
      <c r="W300" s="275">
        <f t="shared" si="418"/>
        <v>267887.24178599357</v>
      </c>
      <c r="X300" s="275">
        <f t="shared" si="418"/>
        <v>263541.65588014817</v>
      </c>
      <c r="Y300" s="275">
        <f t="shared" si="418"/>
        <v>269562.12022976711</v>
      </c>
      <c r="Z300" s="275">
        <f t="shared" si="418"/>
        <v>272820.51517042227</v>
      </c>
      <c r="AA300" s="275">
        <f t="shared" si="418"/>
        <v>283445.94391723239</v>
      </c>
      <c r="AB300" s="275">
        <f t="shared" si="418"/>
        <v>275461.9064097334</v>
      </c>
      <c r="AC300" s="275">
        <f t="shared" si="418"/>
        <v>279731.38793273631</v>
      </c>
      <c r="AD300" s="275">
        <f t="shared" si="418"/>
        <v>266757.57223985373</v>
      </c>
      <c r="AE300" s="275">
        <f t="shared" si="418"/>
        <v>282572.57313146361</v>
      </c>
      <c r="AF300" s="275">
        <f t="shared" si="418"/>
        <v>282590.82091870432</v>
      </c>
      <c r="AG300" s="275">
        <f t="shared" si="418"/>
        <v>274509.06759862753</v>
      </c>
      <c r="AH300" s="275">
        <f t="shared" si="418"/>
        <v>281245.20070757897</v>
      </c>
      <c r="AI300" s="275">
        <f t="shared" ref="AI300:AL300" si="419">SUM(AI290:AI299)</f>
        <v>276719.22315628326</v>
      </c>
      <c r="AJ300" s="275">
        <f t="shared" si="419"/>
        <v>274859.60739014752</v>
      </c>
      <c r="AK300" s="275">
        <f t="shared" si="419"/>
        <v>283890.47579161957</v>
      </c>
      <c r="AL300" s="275">
        <f t="shared" si="419"/>
        <v>279322.87504085118</v>
      </c>
      <c r="AM300" s="275">
        <f t="shared" ref="AM300:BA300" si="420">SUM(AM290:AM299)</f>
        <v>263605.56832320557</v>
      </c>
      <c r="AN300" s="275">
        <f t="shared" si="420"/>
        <v>231590.12920922137</v>
      </c>
      <c r="AO300" s="275">
        <f t="shared" si="420"/>
        <v>189192.59603451635</v>
      </c>
      <c r="AP300" s="275">
        <f t="shared" si="420"/>
        <v>207027.45721634006</v>
      </c>
      <c r="AQ300" s="275">
        <f t="shared" si="420"/>
        <v>245042.16454300485</v>
      </c>
      <c r="AR300" s="275">
        <f t="shared" si="420"/>
        <v>250357.41948479527</v>
      </c>
      <c r="AS300" s="275">
        <f t="shared" si="420"/>
        <v>228543.01712487487</v>
      </c>
      <c r="AT300" s="275">
        <f t="shared" si="420"/>
        <v>228541.06969798834</v>
      </c>
      <c r="AU300" s="275">
        <f t="shared" si="420"/>
        <v>238440.01594427228</v>
      </c>
      <c r="AV300" s="275">
        <f t="shared" si="420"/>
        <v>191078.31237920828</v>
      </c>
      <c r="AW300" s="275">
        <f t="shared" si="420"/>
        <v>143692.25519074075</v>
      </c>
      <c r="AX300" s="275">
        <f t="shared" si="420"/>
        <v>141446.95004190138</v>
      </c>
      <c r="AY300" s="275">
        <f t="shared" si="420"/>
        <v>142943.67068086317</v>
      </c>
      <c r="AZ300" s="275">
        <f t="shared" si="420"/>
        <v>97953.139246197359</v>
      </c>
      <c r="BA300" s="275">
        <f t="shared" si="420"/>
        <v>97133.781295355555</v>
      </c>
    </row>
    <row r="301" spans="1:54" s="12" customFormat="1" ht="12.75" customHeight="1">
      <c r="A301" s="374"/>
      <c r="B301" s="112"/>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689"/>
      <c r="AJ301" s="689"/>
      <c r="AK301" s="689"/>
      <c r="AL301" s="689"/>
      <c r="AM301" s="1"/>
      <c r="AN301" s="1"/>
      <c r="AO301" s="1"/>
      <c r="AP301" s="1"/>
      <c r="AQ301" s="1"/>
      <c r="AR301" s="1"/>
      <c r="AS301" s="1"/>
      <c r="AT301" s="1"/>
      <c r="AU301" s="1"/>
      <c r="AV301" s="1"/>
      <c r="AW301" s="1"/>
      <c r="AX301" s="1"/>
      <c r="AY301" s="1"/>
      <c r="AZ301" s="1"/>
      <c r="BA301" s="1"/>
      <c r="BB301" s="1"/>
    </row>
    <row r="302" spans="1:54" s="12" customFormat="1" ht="12.75" customHeight="1">
      <c r="A302" s="374"/>
      <c r="B302" s="370" t="s">
        <v>657</v>
      </c>
      <c r="C302" s="387"/>
      <c r="D302" s="387"/>
      <c r="E302" s="387"/>
      <c r="F302" s="387"/>
      <c r="G302" s="387"/>
      <c r="H302" s="387"/>
      <c r="I302" s="387"/>
      <c r="J302" s="387"/>
      <c r="K302" s="387"/>
      <c r="L302" s="387"/>
      <c r="M302" s="387"/>
      <c r="N302" s="387"/>
      <c r="O302" s="387"/>
      <c r="P302" s="387"/>
      <c r="Q302" s="387"/>
      <c r="R302" s="387"/>
      <c r="S302" s="387"/>
      <c r="T302" s="387"/>
      <c r="U302" s="387"/>
      <c r="V302" s="387"/>
      <c r="W302" s="387"/>
      <c r="X302" s="387"/>
      <c r="Y302" s="387"/>
      <c r="Z302" s="387"/>
      <c r="AA302" s="387"/>
      <c r="AB302" s="387"/>
      <c r="AC302" s="387"/>
      <c r="AD302" s="387"/>
      <c r="AE302" s="387"/>
      <c r="AF302" s="387"/>
      <c r="AG302" s="387"/>
      <c r="AH302" s="387"/>
      <c r="AI302" s="387"/>
      <c r="AJ302" s="387"/>
      <c r="AK302" s="387"/>
      <c r="AL302" s="387"/>
      <c r="AM302" s="387"/>
      <c r="AN302" s="387"/>
      <c r="AO302" s="387"/>
      <c r="AP302" s="387"/>
      <c r="AQ302" s="387"/>
      <c r="AR302" s="387"/>
      <c r="AS302" s="387"/>
      <c r="AT302" s="387"/>
      <c r="AU302" s="387"/>
      <c r="AV302" s="387"/>
      <c r="AW302" s="387"/>
      <c r="AX302" s="387"/>
      <c r="AY302" s="387"/>
      <c r="AZ302" s="387"/>
      <c r="BA302" s="387"/>
      <c r="BB302" s="187"/>
    </row>
    <row r="303" spans="1:54" s="12" customFormat="1" ht="12.75" customHeight="1">
      <c r="A303" s="374"/>
      <c r="B303" s="194" t="s">
        <v>442</v>
      </c>
      <c r="C303" s="12">
        <f t="shared" ref="C303:AC303" si="421">C304*C244</f>
        <v>28590.457029123583</v>
      </c>
      <c r="D303" s="12">
        <f t="shared" si="421"/>
        <v>29033.54268228721</v>
      </c>
      <c r="E303" s="12">
        <f t="shared" si="421"/>
        <v>29045.240186948333</v>
      </c>
      <c r="F303" s="12">
        <f t="shared" si="421"/>
        <v>28645.938364381345</v>
      </c>
      <c r="G303" s="12">
        <f t="shared" si="421"/>
        <v>28638.499999999993</v>
      </c>
      <c r="H303" s="12">
        <f t="shared" si="421"/>
        <v>38341.512000000002</v>
      </c>
      <c r="I303" s="12">
        <f t="shared" si="421"/>
        <v>31063.724999999995</v>
      </c>
      <c r="J303" s="12">
        <f t="shared" si="421"/>
        <v>30195.749999999993</v>
      </c>
      <c r="K303" s="12">
        <f t="shared" si="421"/>
        <v>27872.999999999989</v>
      </c>
      <c r="L303" s="12">
        <f t="shared" si="421"/>
        <v>29924.667499999996</v>
      </c>
      <c r="M303" s="12">
        <f t="shared" si="421"/>
        <v>31529.418899999993</v>
      </c>
      <c r="N303" s="12">
        <f t="shared" si="421"/>
        <v>31323.933427775279</v>
      </c>
      <c r="O303" s="12">
        <f t="shared" si="421"/>
        <v>31288.643303834157</v>
      </c>
      <c r="P303" s="12">
        <f t="shared" si="421"/>
        <v>31444.308195893034</v>
      </c>
      <c r="Q303" s="12">
        <f t="shared" si="421"/>
        <v>31599.973087951908</v>
      </c>
      <c r="R303" s="12">
        <f t="shared" si="421"/>
        <v>31755.637980010786</v>
      </c>
      <c r="S303" s="12">
        <f t="shared" si="421"/>
        <v>31755.637980010786</v>
      </c>
      <c r="T303" s="12">
        <f t="shared" si="421"/>
        <v>31718.668183009238</v>
      </c>
      <c r="U303" s="12">
        <f t="shared" si="421"/>
        <v>31876.472502327691</v>
      </c>
      <c r="V303" s="12">
        <f t="shared" si="421"/>
        <v>32034.276821646148</v>
      </c>
      <c r="W303" s="12">
        <f t="shared" si="421"/>
        <v>32192.081140964601</v>
      </c>
      <c r="X303" s="12">
        <f t="shared" si="421"/>
        <v>32192.081140964605</v>
      </c>
      <c r="Y303" s="12">
        <f t="shared" si="421"/>
        <v>32153.378600029795</v>
      </c>
      <c r="Z303" s="12">
        <f t="shared" si="421"/>
        <v>32313.345657741385</v>
      </c>
      <c r="AA303" s="12">
        <f t="shared" si="421"/>
        <v>32473.312715452972</v>
      </c>
      <c r="AB303" s="12">
        <f t="shared" si="421"/>
        <v>32633.279773164562</v>
      </c>
      <c r="AC303" s="12">
        <f t="shared" si="421"/>
        <v>32973.209770801703</v>
      </c>
      <c r="AD303" s="692">
        <f t="shared" ref="AD303:AG303" si="422">AD304*AD244</f>
        <v>33018.442074228878</v>
      </c>
      <c r="AE303" s="692">
        <f t="shared" si="422"/>
        <v>33268.428232760998</v>
      </c>
      <c r="AF303" s="692">
        <f t="shared" si="422"/>
        <v>33518.414391293118</v>
      </c>
      <c r="AG303" s="692">
        <f t="shared" si="422"/>
        <v>33768.400549825237</v>
      </c>
      <c r="AH303" s="12">
        <f>AH304*AH244</f>
        <v>33768.400549825237</v>
      </c>
      <c r="AI303" s="692">
        <f t="shared" ref="AI303:AL303" si="423">AI304*AI244</f>
        <v>33810.756894788472</v>
      </c>
      <c r="AJ303" s="692">
        <f t="shared" si="423"/>
        <v>34064.115253734089</v>
      </c>
      <c r="AK303" s="692">
        <f t="shared" si="423"/>
        <v>34317.4736126797</v>
      </c>
      <c r="AL303" s="692">
        <f t="shared" si="423"/>
        <v>34570.831971625317</v>
      </c>
      <c r="AM303" s="12">
        <f t="shared" ref="AM303:BA303" si="424">AM304*AM244</f>
        <v>34570.83197162531</v>
      </c>
      <c r="AN303" s="12">
        <f t="shared" si="424"/>
        <v>35390.932119264653</v>
      </c>
      <c r="AO303" s="12">
        <f t="shared" si="424"/>
        <v>36229.036334230004</v>
      </c>
      <c r="AP303" s="12">
        <f t="shared" si="424"/>
        <v>37085.484098049223</v>
      </c>
      <c r="AQ303" s="12">
        <f t="shared" si="424"/>
        <v>37960.618976504833</v>
      </c>
      <c r="AR303" s="12">
        <f t="shared" si="424"/>
        <v>38854.788556702391</v>
      </c>
      <c r="AS303" s="12">
        <f t="shared" si="424"/>
        <v>39768.344376612549</v>
      </c>
      <c r="AT303" s="12">
        <f t="shared" si="424"/>
        <v>40701.641846690021</v>
      </c>
      <c r="AU303" s="12">
        <f t="shared" si="424"/>
        <v>41655.040163154925</v>
      </c>
      <c r="AV303" s="12">
        <f t="shared" si="424"/>
        <v>42628.902212504458</v>
      </c>
      <c r="AW303" s="12">
        <f t="shared" si="424"/>
        <v>43623.594466804308</v>
      </c>
      <c r="AX303" s="12">
        <f t="shared" si="424"/>
        <v>44639.486869289976</v>
      </c>
      <c r="AY303" s="12">
        <f t="shared" si="424"/>
        <v>45676.95270978826</v>
      </c>
      <c r="AZ303" s="12">
        <f t="shared" si="424"/>
        <v>46736.368489448389</v>
      </c>
      <c r="BA303" s="12">
        <f t="shared" si="424"/>
        <v>47818.113774250545</v>
      </c>
    </row>
    <row r="304" spans="1:54" s="12" customFormat="1" ht="12.75" customHeight="1">
      <c r="A304" s="374"/>
      <c r="B304" s="200" t="s">
        <v>443</v>
      </c>
      <c r="C304" s="2">
        <f>1</f>
        <v>1</v>
      </c>
      <c r="D304" s="2">
        <f t="shared" ref="D304:N304" si="425">C304</f>
        <v>1</v>
      </c>
      <c r="E304" s="2">
        <f t="shared" si="425"/>
        <v>1</v>
      </c>
      <c r="F304" s="2">
        <f t="shared" si="425"/>
        <v>1</v>
      </c>
      <c r="G304" s="2">
        <f t="shared" si="425"/>
        <v>1</v>
      </c>
      <c r="H304" s="2">
        <f t="shared" si="425"/>
        <v>1</v>
      </c>
      <c r="I304" s="2">
        <f t="shared" si="425"/>
        <v>1</v>
      </c>
      <c r="J304" s="2">
        <f t="shared" si="425"/>
        <v>1</v>
      </c>
      <c r="K304" s="2">
        <f t="shared" si="425"/>
        <v>1</v>
      </c>
      <c r="L304" s="2">
        <f t="shared" si="425"/>
        <v>1</v>
      </c>
      <c r="M304" s="2">
        <f t="shared" si="425"/>
        <v>1</v>
      </c>
      <c r="N304" s="2">
        <f t="shared" si="425"/>
        <v>1</v>
      </c>
      <c r="O304" s="2">
        <f t="shared" ref="O304:W304" si="426">N304</f>
        <v>1</v>
      </c>
      <c r="P304" s="2">
        <f t="shared" si="426"/>
        <v>1</v>
      </c>
      <c r="Q304" s="2">
        <f t="shared" si="426"/>
        <v>1</v>
      </c>
      <c r="R304" s="2">
        <f t="shared" si="426"/>
        <v>1</v>
      </c>
      <c r="S304" s="2">
        <f t="shared" si="426"/>
        <v>1</v>
      </c>
      <c r="T304" s="2">
        <f t="shared" si="426"/>
        <v>1</v>
      </c>
      <c r="U304" s="2">
        <f t="shared" si="426"/>
        <v>1</v>
      </c>
      <c r="V304" s="2">
        <f t="shared" si="426"/>
        <v>1</v>
      </c>
      <c r="W304" s="2">
        <f t="shared" si="426"/>
        <v>1</v>
      </c>
      <c r="X304" s="2">
        <f>S304</f>
        <v>1</v>
      </c>
      <c r="Y304" s="2">
        <f>X304</f>
        <v>1</v>
      </c>
      <c r="Z304" s="2">
        <f>Y304</f>
        <v>1</v>
      </c>
      <c r="AA304" s="2">
        <f>Z304</f>
        <v>1</v>
      </c>
      <c r="AB304" s="2">
        <f>AA304</f>
        <v>1</v>
      </c>
      <c r="AC304" s="2">
        <f>X304</f>
        <v>1</v>
      </c>
      <c r="AD304" s="690">
        <f>AC304</f>
        <v>1</v>
      </c>
      <c r="AE304" s="690">
        <f>AD304</f>
        <v>1</v>
      </c>
      <c r="AF304" s="690">
        <f>AE304</f>
        <v>1</v>
      </c>
      <c r="AG304" s="690">
        <f>AF304</f>
        <v>1</v>
      </c>
      <c r="AH304" s="2">
        <f>AC304</f>
        <v>1</v>
      </c>
      <c r="AI304" s="690">
        <f>AH304</f>
        <v>1</v>
      </c>
      <c r="AJ304" s="690">
        <f>AI304</f>
        <v>1</v>
      </c>
      <c r="AK304" s="690">
        <f>AJ304</f>
        <v>1</v>
      </c>
      <c r="AL304" s="690">
        <f>AK304</f>
        <v>1</v>
      </c>
      <c r="AM304" s="2">
        <f>AH304</f>
        <v>1</v>
      </c>
      <c r="AN304" s="2">
        <f t="shared" ref="AN304:BA304" si="427">AM304</f>
        <v>1</v>
      </c>
      <c r="AO304" s="2">
        <f t="shared" si="427"/>
        <v>1</v>
      </c>
      <c r="AP304" s="2">
        <f t="shared" si="427"/>
        <v>1</v>
      </c>
      <c r="AQ304" s="2">
        <f t="shared" si="427"/>
        <v>1</v>
      </c>
      <c r="AR304" s="2">
        <f t="shared" si="427"/>
        <v>1</v>
      </c>
      <c r="AS304" s="2">
        <f t="shared" si="427"/>
        <v>1</v>
      </c>
      <c r="AT304" s="2">
        <f t="shared" si="427"/>
        <v>1</v>
      </c>
      <c r="AU304" s="2">
        <f t="shared" si="427"/>
        <v>1</v>
      </c>
      <c r="AV304" s="2">
        <f t="shared" si="427"/>
        <v>1</v>
      </c>
      <c r="AW304" s="2">
        <f t="shared" si="427"/>
        <v>1</v>
      </c>
      <c r="AX304" s="2">
        <f t="shared" si="427"/>
        <v>1</v>
      </c>
      <c r="AY304" s="2">
        <f t="shared" si="427"/>
        <v>1</v>
      </c>
      <c r="AZ304" s="2">
        <f t="shared" si="427"/>
        <v>1</v>
      </c>
      <c r="BA304" s="2">
        <f t="shared" si="427"/>
        <v>1</v>
      </c>
      <c r="BB304" s="2"/>
    </row>
    <row r="305" spans="1:54" s="12" customFormat="1" ht="12.75" customHeight="1">
      <c r="A305" s="374"/>
      <c r="B305" s="200"/>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690"/>
      <c r="AJ305" s="690"/>
      <c r="AK305" s="690"/>
      <c r="AL305" s="690"/>
      <c r="AM305" s="2"/>
      <c r="AN305" s="2"/>
      <c r="AO305" s="2"/>
      <c r="AP305" s="2"/>
      <c r="AQ305" s="2"/>
      <c r="AR305" s="2"/>
      <c r="AS305" s="2"/>
      <c r="AT305" s="2"/>
      <c r="AU305" s="2"/>
      <c r="AV305" s="2"/>
      <c r="AW305" s="2"/>
      <c r="AX305" s="2"/>
      <c r="AY305" s="2"/>
      <c r="AZ305" s="2"/>
      <c r="BA305" s="2"/>
      <c r="BB305" s="2"/>
    </row>
    <row r="306" spans="1:54" s="2" customFormat="1" ht="12.75" customHeight="1">
      <c r="A306" s="386"/>
      <c r="B306" s="389" t="s">
        <v>628</v>
      </c>
      <c r="C306" s="390"/>
      <c r="D306" s="390"/>
      <c r="E306" s="390"/>
      <c r="F306" s="390"/>
      <c r="G306" s="390"/>
      <c r="H306" s="390"/>
      <c r="I306" s="390"/>
      <c r="J306" s="390"/>
      <c r="K306" s="390"/>
      <c r="L306" s="390"/>
      <c r="M306" s="390"/>
      <c r="N306" s="390"/>
      <c r="O306" s="390"/>
      <c r="P306" s="390"/>
      <c r="Q306" s="390"/>
      <c r="R306" s="390"/>
      <c r="S306" s="390"/>
      <c r="T306" s="390"/>
      <c r="U306" s="390"/>
      <c r="V306" s="390"/>
      <c r="W306" s="390"/>
      <c r="X306" s="390"/>
      <c r="Y306" s="390"/>
      <c r="Z306" s="390"/>
      <c r="AA306" s="390"/>
      <c r="AB306" s="390"/>
      <c r="AC306" s="390"/>
      <c r="AD306" s="390"/>
      <c r="AE306" s="390"/>
      <c r="AF306" s="390"/>
      <c r="AG306" s="390"/>
      <c r="AH306" s="390"/>
      <c r="AI306" s="390"/>
      <c r="AJ306" s="390"/>
      <c r="AK306" s="390"/>
      <c r="AL306" s="390"/>
      <c r="AM306" s="390"/>
      <c r="AN306" s="390"/>
      <c r="AO306" s="390"/>
      <c r="AP306" s="390"/>
      <c r="AQ306" s="390"/>
      <c r="AR306" s="390"/>
      <c r="AS306" s="390"/>
      <c r="AT306" s="390"/>
      <c r="AU306" s="390"/>
      <c r="AV306" s="390"/>
      <c r="AW306" s="390"/>
      <c r="AX306" s="390"/>
      <c r="AY306" s="390"/>
      <c r="AZ306" s="390"/>
      <c r="BA306" s="390"/>
      <c r="BB306" s="17"/>
    </row>
    <row r="307" spans="1:54" s="12" customFormat="1" ht="12.75" customHeight="1">
      <c r="A307" s="374"/>
      <c r="B307" s="218" t="s">
        <v>63</v>
      </c>
      <c r="C307" s="77"/>
      <c r="D307" s="77"/>
      <c r="E307" s="77">
        <v>0.01</v>
      </c>
      <c r="F307" s="77">
        <v>0.05</v>
      </c>
      <c r="G307" s="77">
        <v>0.4</v>
      </c>
      <c r="H307" s="77">
        <v>0.35</v>
      </c>
      <c r="I307" s="77">
        <v>0.28000000000000003</v>
      </c>
      <c r="J307" s="77">
        <v>0.15</v>
      </c>
      <c r="K307" s="77">
        <v>0.1</v>
      </c>
      <c r="L307" s="77">
        <v>7.0000000000000007E-2</v>
      </c>
      <c r="M307" s="77">
        <v>0.04</v>
      </c>
      <c r="N307" s="77">
        <v>0.04</v>
      </c>
      <c r="O307" s="403">
        <f>N307</f>
        <v>0.04</v>
      </c>
      <c r="P307" s="403">
        <f>O307</f>
        <v>0.04</v>
      </c>
      <c r="Q307" s="403">
        <f>P307</f>
        <v>0.04</v>
      </c>
      <c r="R307" s="403">
        <f>Q307</f>
        <v>0.04</v>
      </c>
      <c r="S307" s="77">
        <f>AVERAGE(O307:R307)</f>
        <v>0.04</v>
      </c>
      <c r="T307" s="403">
        <f>S307</f>
        <v>0.04</v>
      </c>
      <c r="U307" s="403">
        <f>T307</f>
        <v>0.04</v>
      </c>
      <c r="V307" s="403">
        <f>U307</f>
        <v>0.04</v>
      </c>
      <c r="W307" s="403">
        <f>V307</f>
        <v>0.04</v>
      </c>
      <c r="X307" s="77">
        <f>AVERAGE(T307:W307)</f>
        <v>0.04</v>
      </c>
      <c r="Y307" s="403">
        <v>0.03</v>
      </c>
      <c r="Z307" s="403">
        <v>0.03</v>
      </c>
      <c r="AA307" s="403">
        <f>Z307</f>
        <v>0.03</v>
      </c>
      <c r="AB307" s="403">
        <f>AA307</f>
        <v>0.03</v>
      </c>
      <c r="AC307" s="77">
        <v>0.03</v>
      </c>
      <c r="AD307" s="719">
        <v>0.03</v>
      </c>
      <c r="AE307" s="719">
        <v>0.03</v>
      </c>
      <c r="AF307" s="719">
        <f>AE307</f>
        <v>0.03</v>
      </c>
      <c r="AG307" s="719">
        <f>AF307</f>
        <v>0.03</v>
      </c>
      <c r="AH307" s="77">
        <f>AC307</f>
        <v>0.03</v>
      </c>
      <c r="AI307" s="719">
        <v>0.03</v>
      </c>
      <c r="AJ307" s="719">
        <v>0.03</v>
      </c>
      <c r="AK307" s="719">
        <f>AJ307</f>
        <v>0.03</v>
      </c>
      <c r="AL307" s="719">
        <f>AK307</f>
        <v>0.03</v>
      </c>
      <c r="AM307" s="77">
        <f>AH307</f>
        <v>0.03</v>
      </c>
      <c r="AN307" s="77">
        <f>AM307</f>
        <v>0.03</v>
      </c>
      <c r="AO307" s="391">
        <f>AN307*0.15</f>
        <v>4.4999999999999997E-3</v>
      </c>
      <c r="AP307" s="77">
        <f>AO307*0.5</f>
        <v>2.2499999999999998E-3</v>
      </c>
      <c r="AQ307" s="77">
        <f>AP307*0.1</f>
        <v>2.2499999999999999E-4</v>
      </c>
      <c r="AR307" s="77">
        <f t="shared" ref="AR307:BA307" si="428">AQ307*0.1</f>
        <v>2.2500000000000001E-5</v>
      </c>
      <c r="AS307" s="77">
        <f t="shared" si="428"/>
        <v>2.2500000000000001E-6</v>
      </c>
      <c r="AT307" s="77">
        <f t="shared" si="428"/>
        <v>2.2500000000000002E-7</v>
      </c>
      <c r="AU307" s="77">
        <f t="shared" si="428"/>
        <v>2.2500000000000003E-8</v>
      </c>
      <c r="AV307" s="77">
        <f t="shared" si="428"/>
        <v>2.2500000000000003E-9</v>
      </c>
      <c r="AW307" s="77">
        <f t="shared" si="428"/>
        <v>2.2500000000000005E-10</v>
      </c>
      <c r="AX307" s="77">
        <f t="shared" si="428"/>
        <v>2.2500000000000006E-11</v>
      </c>
      <c r="AY307" s="77">
        <f t="shared" si="428"/>
        <v>2.2500000000000007E-12</v>
      </c>
      <c r="AZ307" s="77">
        <f t="shared" si="428"/>
        <v>2.2500000000000008E-13</v>
      </c>
      <c r="BA307" s="77">
        <f t="shared" si="428"/>
        <v>2.2500000000000008E-14</v>
      </c>
      <c r="BB307" s="77"/>
    </row>
    <row r="308" spans="1:54" s="2" customFormat="1" ht="12.75" hidden="1" customHeight="1" outlineLevel="1">
      <c r="A308" s="433"/>
      <c r="B308" s="434" t="s">
        <v>423</v>
      </c>
      <c r="C308" s="394"/>
      <c r="D308" s="394"/>
      <c r="E308" s="394"/>
      <c r="F308" s="394"/>
      <c r="G308" s="394"/>
      <c r="H308" s="394"/>
      <c r="I308" s="394"/>
      <c r="J308" s="394"/>
      <c r="K308" s="394"/>
      <c r="L308" s="394"/>
      <c r="M308" s="394"/>
      <c r="N308" s="394"/>
      <c r="O308" s="394"/>
      <c r="P308" s="394"/>
      <c r="Q308" s="394"/>
      <c r="R308" s="394"/>
      <c r="S308" s="394"/>
      <c r="T308" s="394"/>
      <c r="U308" s="394"/>
      <c r="V308" s="394"/>
      <c r="W308" s="397"/>
      <c r="X308" s="394"/>
      <c r="Y308" s="394"/>
      <c r="Z308" s="394"/>
      <c r="AA308" s="394"/>
      <c r="AB308" s="397"/>
      <c r="AC308" s="394"/>
      <c r="AD308" s="394"/>
      <c r="AE308" s="394"/>
      <c r="AF308" s="394"/>
      <c r="AG308" s="394"/>
      <c r="AH308" s="394"/>
      <c r="AI308" s="716"/>
      <c r="AJ308" s="716"/>
      <c r="AK308" s="716"/>
      <c r="AL308" s="716"/>
      <c r="AM308" s="716">
        <f>AH311-3%</f>
        <v>0.25250000000000006</v>
      </c>
      <c r="AN308" s="394">
        <f>AM308-3%</f>
        <v>0.22250000000000006</v>
      </c>
      <c r="AO308" s="391">
        <f>AN308*0.9</f>
        <v>0.20025000000000007</v>
      </c>
      <c r="AP308" s="394">
        <f>AO308*0.5</f>
        <v>0.10012500000000003</v>
      </c>
      <c r="AQ308" s="394">
        <f>AP308*0.5</f>
        <v>5.0062500000000017E-2</v>
      </c>
      <c r="AR308" s="394">
        <f t="shared" ref="AR308:BA308" si="429">AQ308*0.5</f>
        <v>2.5031250000000008E-2</v>
      </c>
      <c r="AS308" s="394">
        <f t="shared" si="429"/>
        <v>1.2515625000000004E-2</v>
      </c>
      <c r="AT308" s="394">
        <f t="shared" si="429"/>
        <v>6.2578125000000021E-3</v>
      </c>
      <c r="AU308" s="394">
        <f t="shared" si="429"/>
        <v>3.128906250000001E-3</v>
      </c>
      <c r="AV308" s="394">
        <f t="shared" si="429"/>
        <v>1.5644531250000005E-3</v>
      </c>
      <c r="AW308" s="394">
        <f t="shared" si="429"/>
        <v>7.8222656250000026E-4</v>
      </c>
      <c r="AX308" s="394">
        <f t="shared" si="429"/>
        <v>3.9111328125000013E-4</v>
      </c>
      <c r="AY308" s="394">
        <f t="shared" si="429"/>
        <v>1.9555664062500007E-4</v>
      </c>
      <c r="AZ308" s="394">
        <f t="shared" si="429"/>
        <v>9.7778320312500033E-5</v>
      </c>
      <c r="BA308" s="394">
        <f t="shared" si="429"/>
        <v>4.8889160156250016E-5</v>
      </c>
      <c r="BB308" s="77"/>
    </row>
    <row r="309" spans="1:54" s="2" customFormat="1" ht="12.75" hidden="1" customHeight="1" outlineLevel="1">
      <c r="A309" s="433"/>
      <c r="B309" s="434" t="s">
        <v>424</v>
      </c>
      <c r="C309" s="394"/>
      <c r="D309" s="394"/>
      <c r="E309" s="394"/>
      <c r="F309" s="394"/>
      <c r="G309" s="394"/>
      <c r="H309" s="394"/>
      <c r="I309" s="394"/>
      <c r="J309" s="394"/>
      <c r="K309" s="394"/>
      <c r="L309" s="394"/>
      <c r="M309" s="394"/>
      <c r="N309" s="394"/>
      <c r="O309" s="394"/>
      <c r="P309" s="394"/>
      <c r="Q309" s="394"/>
      <c r="R309" s="394"/>
      <c r="S309" s="394"/>
      <c r="T309" s="394"/>
      <c r="U309" s="394"/>
      <c r="V309" s="394"/>
      <c r="W309" s="397"/>
      <c r="X309" s="394"/>
      <c r="Y309" s="394"/>
      <c r="Z309" s="394"/>
      <c r="AA309" s="394"/>
      <c r="AB309" s="397"/>
      <c r="AC309" s="397"/>
      <c r="AD309" s="397"/>
      <c r="AE309" s="397"/>
      <c r="AF309" s="397"/>
      <c r="AG309" s="397"/>
      <c r="AH309" s="394"/>
      <c r="AI309" s="718"/>
      <c r="AJ309" s="718"/>
      <c r="AK309" s="718"/>
      <c r="AL309" s="718"/>
      <c r="AM309" s="716">
        <f>AH311-2%</f>
        <v>0.26250000000000001</v>
      </c>
      <c r="AN309" s="394">
        <f>AM309-2%</f>
        <v>0.24250000000000002</v>
      </c>
      <c r="AO309" s="391">
        <f>AN309*0.25</f>
        <v>6.0625000000000005E-2</v>
      </c>
      <c r="AP309" s="394">
        <f>AO309*0.5</f>
        <v>3.0312500000000003E-2</v>
      </c>
      <c r="AQ309" s="394">
        <f>AP309*0.3</f>
        <v>9.0937500000000011E-3</v>
      </c>
      <c r="AR309" s="394">
        <f t="shared" ref="AR309:BA309" si="430">AQ309*0.3</f>
        <v>2.7281250000000001E-3</v>
      </c>
      <c r="AS309" s="394">
        <f t="shared" si="430"/>
        <v>8.1843750000000005E-4</v>
      </c>
      <c r="AT309" s="394">
        <f t="shared" si="430"/>
        <v>2.4553124999999998E-4</v>
      </c>
      <c r="AU309" s="394">
        <f t="shared" si="430"/>
        <v>7.3659374999999986E-5</v>
      </c>
      <c r="AV309" s="394">
        <f t="shared" si="430"/>
        <v>2.2097812499999995E-5</v>
      </c>
      <c r="AW309" s="394">
        <f t="shared" si="430"/>
        <v>6.6293437499999982E-6</v>
      </c>
      <c r="AX309" s="394">
        <f t="shared" si="430"/>
        <v>1.9888031249999993E-6</v>
      </c>
      <c r="AY309" s="394">
        <f t="shared" si="430"/>
        <v>5.9664093749999972E-7</v>
      </c>
      <c r="AZ309" s="394">
        <f t="shared" si="430"/>
        <v>1.789922812499999E-7</v>
      </c>
      <c r="BA309" s="394">
        <f t="shared" si="430"/>
        <v>5.3697684374999969E-8</v>
      </c>
      <c r="BB309" s="77"/>
    </row>
    <row r="310" spans="1:54" s="2" customFormat="1" ht="12.75" hidden="1" customHeight="1" outlineLevel="1">
      <c r="A310" s="433"/>
      <c r="B310" s="434" t="s">
        <v>425</v>
      </c>
      <c r="C310" s="394"/>
      <c r="D310" s="394"/>
      <c r="E310" s="394"/>
      <c r="F310" s="394"/>
      <c r="G310" s="394"/>
      <c r="H310" s="394"/>
      <c r="I310" s="394"/>
      <c r="J310" s="394"/>
      <c r="K310" s="394"/>
      <c r="L310" s="394"/>
      <c r="M310" s="394"/>
      <c r="N310" s="394"/>
      <c r="O310" s="394"/>
      <c r="P310" s="394"/>
      <c r="Q310" s="394"/>
      <c r="R310" s="394"/>
      <c r="S310" s="394"/>
      <c r="T310" s="394"/>
      <c r="U310" s="394"/>
      <c r="V310" s="394"/>
      <c r="W310" s="397"/>
      <c r="X310" s="394"/>
      <c r="Y310" s="394"/>
      <c r="Z310" s="394"/>
      <c r="AA310" s="394"/>
      <c r="AB310" s="397"/>
      <c r="AC310" s="397"/>
      <c r="AD310" s="397"/>
      <c r="AE310" s="397"/>
      <c r="AF310" s="397"/>
      <c r="AG310" s="397"/>
      <c r="AH310" s="397"/>
      <c r="AI310" s="718"/>
      <c r="AJ310" s="718"/>
      <c r="AK310" s="718"/>
      <c r="AL310" s="718"/>
      <c r="AM310" s="397">
        <f>AH311</f>
        <v>0.28250000000000003</v>
      </c>
      <c r="AN310" s="397">
        <f>AM310</f>
        <v>0.28250000000000003</v>
      </c>
      <c r="AO310" s="391">
        <f>AN310*0.5</f>
        <v>0.14125000000000001</v>
      </c>
      <c r="AP310" s="394">
        <f>AO310*0.1</f>
        <v>1.4125000000000002E-2</v>
      </c>
      <c r="AQ310" s="394">
        <f>AP310*0.1</f>
        <v>1.4125000000000003E-3</v>
      </c>
      <c r="AR310" s="394">
        <f t="shared" ref="AR310:BA310" si="431">AQ310*0.1</f>
        <v>1.4125000000000005E-4</v>
      </c>
      <c r="AS310" s="394">
        <f t="shared" si="431"/>
        <v>1.4125000000000005E-5</v>
      </c>
      <c r="AT310" s="394">
        <f t="shared" si="431"/>
        <v>1.4125000000000005E-6</v>
      </c>
      <c r="AU310" s="394">
        <f t="shared" si="431"/>
        <v>1.4125000000000005E-7</v>
      </c>
      <c r="AV310" s="394">
        <f t="shared" si="431"/>
        <v>1.4125000000000006E-8</v>
      </c>
      <c r="AW310" s="394">
        <f t="shared" si="431"/>
        <v>1.4125000000000007E-9</v>
      </c>
      <c r="AX310" s="394">
        <f t="shared" si="431"/>
        <v>1.4125000000000008E-10</v>
      </c>
      <c r="AY310" s="394">
        <f t="shared" si="431"/>
        <v>1.4125000000000009E-11</v>
      </c>
      <c r="AZ310" s="394">
        <f t="shared" si="431"/>
        <v>1.4125000000000011E-12</v>
      </c>
      <c r="BA310" s="394">
        <f t="shared" si="431"/>
        <v>1.4125000000000013E-13</v>
      </c>
      <c r="BB310" s="77"/>
    </row>
    <row r="311" spans="1:54" ht="12.75" customHeight="1" collapsed="1">
      <c r="A311" s="379" t="s">
        <v>578</v>
      </c>
      <c r="B311" s="395" t="s">
        <v>904</v>
      </c>
      <c r="C311" s="394"/>
      <c r="D311" s="394"/>
      <c r="E311" s="394"/>
      <c r="F311" s="394"/>
      <c r="G311" s="394">
        <v>0</v>
      </c>
      <c r="H311" s="394">
        <v>0.25</v>
      </c>
      <c r="I311" s="394">
        <v>0.4</v>
      </c>
      <c r="J311" s="394">
        <v>0.45</v>
      </c>
      <c r="K311" s="394">
        <v>0.5</v>
      </c>
      <c r="L311" s="394">
        <v>0.6</v>
      </c>
      <c r="M311" s="394">
        <v>0.56000000000000005</v>
      </c>
      <c r="N311" s="394">
        <v>0.58499999999999996</v>
      </c>
      <c r="O311" s="436">
        <v>0.5</v>
      </c>
      <c r="P311" s="436">
        <v>0.5</v>
      </c>
      <c r="Q311" s="436">
        <v>0.45</v>
      </c>
      <c r="R311" s="436">
        <v>0.44</v>
      </c>
      <c r="S311" s="394">
        <f>AVERAGE(O311:R311)</f>
        <v>0.47249999999999998</v>
      </c>
      <c r="T311" s="436">
        <v>0.4</v>
      </c>
      <c r="U311" s="436">
        <v>0.35</v>
      </c>
      <c r="V311" s="436">
        <v>0.35</v>
      </c>
      <c r="W311" s="436">
        <v>0.35</v>
      </c>
      <c r="X311" s="394">
        <f>AVERAGE(T311:W311)</f>
        <v>0.36250000000000004</v>
      </c>
      <c r="Y311" s="436">
        <v>0.33</v>
      </c>
      <c r="Z311" s="436">
        <v>0.32</v>
      </c>
      <c r="AA311" s="436">
        <v>0.32</v>
      </c>
      <c r="AB311" s="436">
        <v>0.3</v>
      </c>
      <c r="AC311" s="716">
        <f>AVERAGE(Y311:AB311)</f>
        <v>0.3175</v>
      </c>
      <c r="AD311" s="436">
        <v>0.33</v>
      </c>
      <c r="AE311" s="436">
        <v>0.27</v>
      </c>
      <c r="AF311" s="436">
        <v>0.28000000000000003</v>
      </c>
      <c r="AG311" s="436">
        <v>0.25</v>
      </c>
      <c r="AH311" s="716">
        <f>AVERAGE(AD311:AG311)</f>
        <v>0.28250000000000003</v>
      </c>
      <c r="AI311" s="436">
        <v>0.26</v>
      </c>
      <c r="AJ311" s="436">
        <v>0.26</v>
      </c>
      <c r="AK311" s="436">
        <v>0</v>
      </c>
      <c r="AL311" s="436">
        <v>0</v>
      </c>
      <c r="AM311" s="396">
        <f t="shared" ref="AM311:BA311" si="432">CHOOSE($U$1,AM308,AM309,AM310)</f>
        <v>0.26250000000000001</v>
      </c>
      <c r="AN311" s="396">
        <f t="shared" si="432"/>
        <v>0.24250000000000002</v>
      </c>
      <c r="AO311" s="396">
        <f t="shared" si="432"/>
        <v>6.0625000000000005E-2</v>
      </c>
      <c r="AP311" s="396">
        <f t="shared" si="432"/>
        <v>3.0312500000000003E-2</v>
      </c>
      <c r="AQ311" s="396">
        <f t="shared" si="432"/>
        <v>9.0937500000000011E-3</v>
      </c>
      <c r="AR311" s="396">
        <f t="shared" si="432"/>
        <v>2.7281250000000001E-3</v>
      </c>
      <c r="AS311" s="396">
        <f t="shared" si="432"/>
        <v>8.1843750000000005E-4</v>
      </c>
      <c r="AT311" s="396">
        <f t="shared" si="432"/>
        <v>2.4553124999999998E-4</v>
      </c>
      <c r="AU311" s="396">
        <f t="shared" si="432"/>
        <v>7.3659374999999986E-5</v>
      </c>
      <c r="AV311" s="396">
        <f t="shared" si="432"/>
        <v>2.2097812499999995E-5</v>
      </c>
      <c r="AW311" s="396">
        <f t="shared" si="432"/>
        <v>6.6293437499999982E-6</v>
      </c>
      <c r="AX311" s="396">
        <f t="shared" si="432"/>
        <v>1.9888031249999993E-6</v>
      </c>
      <c r="AY311" s="396">
        <f t="shared" si="432"/>
        <v>5.9664093749999972E-7</v>
      </c>
      <c r="AZ311" s="396">
        <f t="shared" si="432"/>
        <v>1.789922812499999E-7</v>
      </c>
      <c r="BA311" s="396">
        <f t="shared" si="432"/>
        <v>5.3697684374999969E-8</v>
      </c>
      <c r="BB311" s="77"/>
    </row>
    <row r="312" spans="1:54" s="77" customFormat="1" ht="12.75" hidden="1" customHeight="1" outlineLevel="1">
      <c r="A312" s="379"/>
      <c r="B312" s="434" t="s">
        <v>423</v>
      </c>
      <c r="C312" s="394"/>
      <c r="D312" s="394"/>
      <c r="E312" s="394"/>
      <c r="F312" s="394"/>
      <c r="G312" s="394"/>
      <c r="H312" s="394"/>
      <c r="I312" s="394"/>
      <c r="J312" s="394"/>
      <c r="K312" s="394"/>
      <c r="L312" s="394"/>
      <c r="M312" s="394"/>
      <c r="N312" s="394"/>
      <c r="O312" s="394"/>
      <c r="P312" s="394"/>
      <c r="Q312" s="394"/>
      <c r="R312" s="394"/>
      <c r="S312" s="394"/>
      <c r="T312" s="394"/>
      <c r="U312" s="394"/>
      <c r="V312" s="394"/>
      <c r="W312" s="397"/>
      <c r="X312" s="394"/>
      <c r="Y312" s="394"/>
      <c r="Z312" s="394"/>
      <c r="AA312" s="394"/>
      <c r="AB312" s="397"/>
      <c r="AC312" s="716"/>
      <c r="AD312" s="716"/>
      <c r="AE312" s="716"/>
      <c r="AF312" s="716"/>
      <c r="AG312" s="718"/>
      <c r="AH312" s="716"/>
      <c r="AI312" s="716"/>
      <c r="AJ312" s="716"/>
      <c r="AK312" s="716"/>
      <c r="AL312" s="718"/>
      <c r="AM312" s="716">
        <f>AH315-3%</f>
        <v>9.5000000000000001E-2</v>
      </c>
      <c r="AN312" s="394">
        <f>AM312-3%</f>
        <v>6.5000000000000002E-2</v>
      </c>
      <c r="AO312" s="391">
        <f>AN312*0.9</f>
        <v>5.8500000000000003E-2</v>
      </c>
      <c r="AP312" s="394">
        <f>AO312*0.5</f>
        <v>2.9250000000000002E-2</v>
      </c>
      <c r="AQ312" s="394">
        <f>AP312*0.5</f>
        <v>1.4625000000000001E-2</v>
      </c>
      <c r="AR312" s="394">
        <f t="shared" ref="AR312:BA312" si="433">AQ312*0.5</f>
        <v>7.3125000000000004E-3</v>
      </c>
      <c r="AS312" s="394">
        <f t="shared" si="433"/>
        <v>3.6562500000000002E-3</v>
      </c>
      <c r="AT312" s="394">
        <f t="shared" si="433"/>
        <v>1.8281250000000001E-3</v>
      </c>
      <c r="AU312" s="394">
        <f t="shared" si="433"/>
        <v>9.1406250000000005E-4</v>
      </c>
      <c r="AV312" s="394">
        <f t="shared" si="433"/>
        <v>4.5703125000000003E-4</v>
      </c>
      <c r="AW312" s="394">
        <f t="shared" si="433"/>
        <v>2.2851562500000001E-4</v>
      </c>
      <c r="AX312" s="394">
        <f t="shared" si="433"/>
        <v>1.1425781250000001E-4</v>
      </c>
      <c r="AY312" s="394">
        <f t="shared" si="433"/>
        <v>5.7128906250000003E-5</v>
      </c>
      <c r="AZ312" s="394">
        <f t="shared" si="433"/>
        <v>2.8564453125000002E-5</v>
      </c>
      <c r="BA312" s="394">
        <f t="shared" si="433"/>
        <v>1.4282226562500001E-5</v>
      </c>
    </row>
    <row r="313" spans="1:54" s="77" customFormat="1" ht="12.75" hidden="1" customHeight="1" outlineLevel="1">
      <c r="A313" s="379"/>
      <c r="B313" s="434" t="s">
        <v>424</v>
      </c>
      <c r="C313" s="394"/>
      <c r="D313" s="394"/>
      <c r="E313" s="394"/>
      <c r="F313" s="394"/>
      <c r="G313" s="394"/>
      <c r="H313" s="394"/>
      <c r="I313" s="394"/>
      <c r="J313" s="394"/>
      <c r="K313" s="394"/>
      <c r="L313" s="394"/>
      <c r="M313" s="394"/>
      <c r="N313" s="394"/>
      <c r="O313" s="394"/>
      <c r="P313" s="394"/>
      <c r="Q313" s="394"/>
      <c r="R313" s="394"/>
      <c r="S313" s="394"/>
      <c r="T313" s="394"/>
      <c r="U313" s="394"/>
      <c r="V313" s="394"/>
      <c r="W313" s="397"/>
      <c r="X313" s="394"/>
      <c r="Y313" s="394"/>
      <c r="Z313" s="394"/>
      <c r="AA313" s="394"/>
      <c r="AB313" s="397"/>
      <c r="AC313" s="716"/>
      <c r="AD313" s="716"/>
      <c r="AE313" s="716"/>
      <c r="AF313" s="716"/>
      <c r="AG313" s="718"/>
      <c r="AH313" s="716"/>
      <c r="AI313" s="716"/>
      <c r="AJ313" s="716"/>
      <c r="AK313" s="716"/>
      <c r="AL313" s="718"/>
      <c r="AM313" s="394">
        <v>0.1</v>
      </c>
      <c r="AN313" s="394">
        <f>AM313*0.9</f>
        <v>9.0000000000000011E-2</v>
      </c>
      <c r="AO313" s="391">
        <f>AN313*0.25</f>
        <v>2.2500000000000003E-2</v>
      </c>
      <c r="AP313" s="394">
        <f>AO313*0.5</f>
        <v>1.1250000000000001E-2</v>
      </c>
      <c r="AQ313" s="394">
        <f>AP313*0.3</f>
        <v>3.3750000000000004E-3</v>
      </c>
      <c r="AR313" s="394">
        <f t="shared" ref="AR313:BA313" si="434">AQ313*0.3</f>
        <v>1.0125000000000002E-3</v>
      </c>
      <c r="AS313" s="394">
        <f t="shared" si="434"/>
        <v>3.0375000000000004E-4</v>
      </c>
      <c r="AT313" s="394">
        <f t="shared" si="434"/>
        <v>9.1125000000000006E-5</v>
      </c>
      <c r="AU313" s="394">
        <f t="shared" si="434"/>
        <v>2.73375E-5</v>
      </c>
      <c r="AV313" s="394">
        <f t="shared" si="434"/>
        <v>8.2012500000000005E-6</v>
      </c>
      <c r="AW313" s="394">
        <f t="shared" si="434"/>
        <v>2.4603750000000001E-6</v>
      </c>
      <c r="AX313" s="394">
        <f t="shared" si="434"/>
        <v>7.381125E-7</v>
      </c>
      <c r="AY313" s="394">
        <f t="shared" si="434"/>
        <v>2.2143374999999999E-7</v>
      </c>
      <c r="AZ313" s="394">
        <f t="shared" si="434"/>
        <v>6.6430124999999997E-8</v>
      </c>
      <c r="BA313" s="394">
        <f t="shared" si="434"/>
        <v>1.99290375E-8</v>
      </c>
    </row>
    <row r="314" spans="1:54" s="77" customFormat="1" ht="12.75" hidden="1" customHeight="1" outlineLevel="1">
      <c r="A314" s="379"/>
      <c r="B314" s="434" t="s">
        <v>425</v>
      </c>
      <c r="C314" s="394"/>
      <c r="D314" s="394"/>
      <c r="E314" s="394"/>
      <c r="F314" s="394"/>
      <c r="G314" s="394"/>
      <c r="H314" s="394"/>
      <c r="I314" s="394"/>
      <c r="J314" s="394"/>
      <c r="K314" s="394"/>
      <c r="L314" s="394"/>
      <c r="M314" s="394"/>
      <c r="N314" s="394"/>
      <c r="O314" s="394"/>
      <c r="P314" s="394"/>
      <c r="Q314" s="394"/>
      <c r="R314" s="394"/>
      <c r="S314" s="394"/>
      <c r="T314" s="394"/>
      <c r="U314" s="394"/>
      <c r="V314" s="394"/>
      <c r="W314" s="397"/>
      <c r="X314" s="394"/>
      <c r="Y314" s="394"/>
      <c r="Z314" s="394"/>
      <c r="AA314" s="394"/>
      <c r="AB314" s="397"/>
      <c r="AC314" s="716"/>
      <c r="AD314" s="716"/>
      <c r="AE314" s="716"/>
      <c r="AF314" s="716"/>
      <c r="AG314" s="718"/>
      <c r="AH314" s="716"/>
      <c r="AI314" s="716"/>
      <c r="AJ314" s="716"/>
      <c r="AK314" s="716"/>
      <c r="AL314" s="718"/>
      <c r="AM314" s="394">
        <f>AH315</f>
        <v>0.125</v>
      </c>
      <c r="AN314" s="394">
        <f>AM314</f>
        <v>0.125</v>
      </c>
      <c r="AO314" s="391">
        <f>AN314*0.5</f>
        <v>6.25E-2</v>
      </c>
      <c r="AP314" s="394">
        <f>AO314*0.1</f>
        <v>6.2500000000000003E-3</v>
      </c>
      <c r="AQ314" s="394">
        <f>AP314*0.1</f>
        <v>6.2500000000000012E-4</v>
      </c>
      <c r="AR314" s="394">
        <f t="shared" ref="AR314:BA314" si="435">AQ314*0.1</f>
        <v>6.2500000000000015E-5</v>
      </c>
      <c r="AS314" s="394">
        <f t="shared" si="435"/>
        <v>6.250000000000002E-6</v>
      </c>
      <c r="AT314" s="394">
        <f t="shared" si="435"/>
        <v>6.2500000000000026E-7</v>
      </c>
      <c r="AU314" s="394">
        <f t="shared" si="435"/>
        <v>6.2500000000000024E-8</v>
      </c>
      <c r="AV314" s="394">
        <f t="shared" si="435"/>
        <v>6.250000000000003E-9</v>
      </c>
      <c r="AW314" s="394">
        <f t="shared" si="435"/>
        <v>6.2500000000000032E-10</v>
      </c>
      <c r="AX314" s="394">
        <f t="shared" si="435"/>
        <v>6.250000000000003E-11</v>
      </c>
      <c r="AY314" s="394">
        <f t="shared" si="435"/>
        <v>6.2500000000000035E-12</v>
      </c>
      <c r="AZ314" s="394">
        <f t="shared" si="435"/>
        <v>6.2500000000000037E-13</v>
      </c>
      <c r="BA314" s="394">
        <f t="shared" si="435"/>
        <v>6.2500000000000037E-14</v>
      </c>
    </row>
    <row r="315" spans="1:54" ht="12.75" customHeight="1" collapsed="1">
      <c r="A315" s="379" t="s">
        <v>578</v>
      </c>
      <c r="B315" s="395" t="s">
        <v>901</v>
      </c>
      <c r="C315" s="394"/>
      <c r="D315" s="394"/>
      <c r="E315" s="394"/>
      <c r="F315" s="394"/>
      <c r="G315" s="394">
        <v>0</v>
      </c>
      <c r="H315" s="394">
        <v>0</v>
      </c>
      <c r="I315" s="394">
        <v>0</v>
      </c>
      <c r="J315" s="394">
        <v>0</v>
      </c>
      <c r="K315" s="394">
        <v>0.12</v>
      </c>
      <c r="L315" s="394">
        <v>0.22</v>
      </c>
      <c r="M315" s="394">
        <v>0.25</v>
      </c>
      <c r="N315" s="394">
        <v>0.28000000000000003</v>
      </c>
      <c r="O315" s="436">
        <v>0.24</v>
      </c>
      <c r="P315" s="436">
        <v>0.23</v>
      </c>
      <c r="Q315" s="436">
        <v>0.26</v>
      </c>
      <c r="R315" s="436">
        <v>0.24</v>
      </c>
      <c r="S315" s="394">
        <f>AVERAGE(O315:R315)</f>
        <v>0.24249999999999999</v>
      </c>
      <c r="T315" s="436">
        <v>0.23</v>
      </c>
      <c r="U315" s="436">
        <v>0.2</v>
      </c>
      <c r="V315" s="436">
        <v>0.2</v>
      </c>
      <c r="W315" s="436">
        <v>0.19</v>
      </c>
      <c r="X315" s="394">
        <f>AVERAGE(T315:W315)</f>
        <v>0.20500000000000002</v>
      </c>
      <c r="Y315" s="436">
        <v>0.18</v>
      </c>
      <c r="Z315" s="436">
        <v>0.16</v>
      </c>
      <c r="AA315" s="436">
        <v>0.18</v>
      </c>
      <c r="AB315" s="436">
        <v>0.15</v>
      </c>
      <c r="AC315" s="716">
        <f>AVERAGE(Y315:AB315)</f>
        <v>0.16750000000000001</v>
      </c>
      <c r="AD315" s="436">
        <v>0.18</v>
      </c>
      <c r="AE315" s="436">
        <v>0.14000000000000001</v>
      </c>
      <c r="AF315" s="436">
        <v>0.09</v>
      </c>
      <c r="AG315" s="436">
        <v>0.09</v>
      </c>
      <c r="AH315" s="716">
        <f>AVERAGE(AD315:AG315)</f>
        <v>0.125</v>
      </c>
      <c r="AI315" s="436">
        <v>0</v>
      </c>
      <c r="AJ315" s="436">
        <v>0</v>
      </c>
      <c r="AK315" s="436">
        <v>0</v>
      </c>
      <c r="AL315" s="436">
        <v>0</v>
      </c>
      <c r="AM315" s="396">
        <f t="shared" ref="AM315:BA315" si="436">CHOOSE($U$1,AM312,AM313,AM314)</f>
        <v>0.1</v>
      </c>
      <c r="AN315" s="396">
        <f t="shared" si="436"/>
        <v>9.0000000000000011E-2</v>
      </c>
      <c r="AO315" s="396">
        <f t="shared" si="436"/>
        <v>2.2500000000000003E-2</v>
      </c>
      <c r="AP315" s="396">
        <f t="shared" si="436"/>
        <v>1.1250000000000001E-2</v>
      </c>
      <c r="AQ315" s="396">
        <f t="shared" si="436"/>
        <v>3.3750000000000004E-3</v>
      </c>
      <c r="AR315" s="396">
        <f t="shared" si="436"/>
        <v>1.0125000000000002E-3</v>
      </c>
      <c r="AS315" s="396">
        <f t="shared" si="436"/>
        <v>3.0375000000000004E-4</v>
      </c>
      <c r="AT315" s="396">
        <f t="shared" si="436"/>
        <v>9.1125000000000006E-5</v>
      </c>
      <c r="AU315" s="396">
        <f t="shared" si="436"/>
        <v>2.73375E-5</v>
      </c>
      <c r="AV315" s="396">
        <f t="shared" si="436"/>
        <v>8.2012500000000005E-6</v>
      </c>
      <c r="AW315" s="396">
        <f t="shared" si="436"/>
        <v>2.4603750000000001E-6</v>
      </c>
      <c r="AX315" s="396">
        <f t="shared" si="436"/>
        <v>7.381125E-7</v>
      </c>
      <c r="AY315" s="396">
        <f t="shared" si="436"/>
        <v>2.2143374999999999E-7</v>
      </c>
      <c r="AZ315" s="396">
        <f t="shared" si="436"/>
        <v>6.6430124999999997E-8</v>
      </c>
      <c r="BA315" s="396">
        <f t="shared" si="436"/>
        <v>1.99290375E-8</v>
      </c>
      <c r="BB315" s="77"/>
    </row>
    <row r="316" spans="1:54" ht="12.75" hidden="1" customHeight="1" outlineLevel="1">
      <c r="A316" s="379"/>
      <c r="B316" s="434" t="s">
        <v>423</v>
      </c>
      <c r="C316" s="394"/>
      <c r="D316" s="394"/>
      <c r="E316" s="394"/>
      <c r="F316" s="394"/>
      <c r="G316" s="394"/>
      <c r="H316" s="394"/>
      <c r="I316" s="394"/>
      <c r="J316" s="394"/>
      <c r="K316" s="394"/>
      <c r="L316" s="394"/>
      <c r="M316" s="394"/>
      <c r="N316" s="394"/>
      <c r="O316" s="394"/>
      <c r="P316" s="394"/>
      <c r="Q316" s="394"/>
      <c r="R316" s="394"/>
      <c r="S316" s="394"/>
      <c r="T316" s="394"/>
      <c r="U316" s="394"/>
      <c r="V316" s="394"/>
      <c r="W316" s="397"/>
      <c r="X316" s="394"/>
      <c r="Y316" s="394"/>
      <c r="Z316" s="394"/>
      <c r="AA316" s="394"/>
      <c r="AB316" s="397"/>
      <c r="AC316" s="716"/>
      <c r="AD316" s="716"/>
      <c r="AE316" s="716"/>
      <c r="AF316" s="716"/>
      <c r="AG316" s="718"/>
      <c r="AH316" s="716"/>
      <c r="AI316" s="716"/>
      <c r="AJ316" s="716"/>
      <c r="AK316" s="716"/>
      <c r="AL316" s="718"/>
      <c r="AM316" s="394">
        <f>AH319+(AH315-AM312)</f>
        <v>0.23249999999999998</v>
      </c>
      <c r="AN316" s="394">
        <f>AM316+(AM312-AN312)</f>
        <v>0.26249999999999996</v>
      </c>
      <c r="AO316" s="394">
        <f>AN316+(AN312-AO312)</f>
        <v>0.26899999999999996</v>
      </c>
      <c r="AP316" s="394">
        <f>AO316+(AO312-AP312)</f>
        <v>0.29824999999999996</v>
      </c>
      <c r="AQ316" s="394">
        <f>AP316+(AP312-AQ312)</f>
        <v>0.31287499999999996</v>
      </c>
      <c r="AR316" s="394">
        <f>AQ316+(AQ312-AR312)</f>
        <v>0.32018749999999996</v>
      </c>
      <c r="AS316" s="397">
        <f>AR316*0.1</f>
        <v>3.2018749999999999E-2</v>
      </c>
      <c r="AT316" s="397">
        <f t="shared" ref="AT316:BA317" si="437">AS316*0.1</f>
        <v>3.2018749999999999E-3</v>
      </c>
      <c r="AU316" s="397">
        <f t="shared" si="437"/>
        <v>3.201875E-4</v>
      </c>
      <c r="AV316" s="397">
        <f t="shared" si="437"/>
        <v>3.2018750000000002E-5</v>
      </c>
      <c r="AW316" s="397">
        <f t="shared" si="437"/>
        <v>3.2018750000000006E-6</v>
      </c>
      <c r="AX316" s="397">
        <f t="shared" si="437"/>
        <v>3.201875000000001E-7</v>
      </c>
      <c r="AY316" s="397">
        <f t="shared" si="437"/>
        <v>3.201875000000001E-8</v>
      </c>
      <c r="AZ316" s="397">
        <f t="shared" si="437"/>
        <v>3.201875000000001E-9</v>
      </c>
      <c r="BA316" s="397">
        <f t="shared" si="437"/>
        <v>3.2018750000000014E-10</v>
      </c>
      <c r="BB316" s="77"/>
    </row>
    <row r="317" spans="1:54" ht="12.75" hidden="1" customHeight="1" outlineLevel="1">
      <c r="A317" s="379"/>
      <c r="B317" s="434" t="s">
        <v>424</v>
      </c>
      <c r="C317" s="394"/>
      <c r="D317" s="394"/>
      <c r="E317" s="394"/>
      <c r="F317" s="394"/>
      <c r="G317" s="394"/>
      <c r="H317" s="394"/>
      <c r="I317" s="394"/>
      <c r="J317" s="394"/>
      <c r="K317" s="394"/>
      <c r="L317" s="394"/>
      <c r="M317" s="394"/>
      <c r="N317" s="394"/>
      <c r="O317" s="394"/>
      <c r="P317" s="394"/>
      <c r="Q317" s="394"/>
      <c r="R317" s="394"/>
      <c r="S317" s="394"/>
      <c r="T317" s="394"/>
      <c r="U317" s="394"/>
      <c r="V317" s="394"/>
      <c r="W317" s="397"/>
      <c r="X317" s="394"/>
      <c r="Y317" s="394"/>
      <c r="Z317" s="394"/>
      <c r="AA317" s="394"/>
      <c r="AB317" s="397"/>
      <c r="AC317" s="716"/>
      <c r="AD317" s="716"/>
      <c r="AE317" s="716"/>
      <c r="AF317" s="716"/>
      <c r="AG317" s="718"/>
      <c r="AH317" s="716"/>
      <c r="AI317" s="716"/>
      <c r="AJ317" s="716"/>
      <c r="AK317" s="716"/>
      <c r="AL317" s="718"/>
      <c r="AM317" s="397">
        <v>0.185</v>
      </c>
      <c r="AN317" s="718">
        <f>AM317-3.5%</f>
        <v>0.15</v>
      </c>
      <c r="AO317" s="394">
        <f>AN317*0.95</f>
        <v>0.14249999999999999</v>
      </c>
      <c r="AP317" s="394">
        <f>AO317*0.85</f>
        <v>0.12112499999999998</v>
      </c>
      <c r="AQ317" s="394">
        <f>AP317*0.9</f>
        <v>0.10901249999999998</v>
      </c>
      <c r="AR317" s="394">
        <f>AQ317*0.9</f>
        <v>9.8111249999999983E-2</v>
      </c>
      <c r="AS317" s="397">
        <f>AR317*0.1</f>
        <v>9.8111249999999987E-3</v>
      </c>
      <c r="AT317" s="397">
        <f t="shared" si="437"/>
        <v>9.8111249999999987E-4</v>
      </c>
      <c r="AU317" s="397">
        <f t="shared" si="437"/>
        <v>9.8111249999999987E-5</v>
      </c>
      <c r="AV317" s="397">
        <f t="shared" si="437"/>
        <v>9.811125E-6</v>
      </c>
      <c r="AW317" s="397">
        <f t="shared" si="437"/>
        <v>9.8111250000000004E-7</v>
      </c>
      <c r="AX317" s="397">
        <f t="shared" si="437"/>
        <v>9.8111250000000004E-8</v>
      </c>
      <c r="AY317" s="397">
        <f t="shared" si="437"/>
        <v>9.8111250000000011E-9</v>
      </c>
      <c r="AZ317" s="397">
        <f t="shared" si="437"/>
        <v>9.8111250000000011E-10</v>
      </c>
      <c r="BA317" s="397">
        <f t="shared" si="437"/>
        <v>9.8111250000000021E-11</v>
      </c>
      <c r="BB317" s="77"/>
    </row>
    <row r="318" spans="1:54" ht="12.75" hidden="1" customHeight="1" outlineLevel="1">
      <c r="A318" s="379"/>
      <c r="B318" s="434" t="s">
        <v>425</v>
      </c>
      <c r="C318" s="394"/>
      <c r="D318" s="394"/>
      <c r="E318" s="394"/>
      <c r="F318" s="394"/>
      <c r="G318" s="394"/>
      <c r="H318" s="394"/>
      <c r="I318" s="394"/>
      <c r="J318" s="394"/>
      <c r="K318" s="394"/>
      <c r="L318" s="394"/>
      <c r="M318" s="394"/>
      <c r="N318" s="394"/>
      <c r="O318" s="394"/>
      <c r="P318" s="394"/>
      <c r="Q318" s="394"/>
      <c r="R318" s="394"/>
      <c r="S318" s="394"/>
      <c r="T318" s="394"/>
      <c r="U318" s="394"/>
      <c r="V318" s="394"/>
      <c r="W318" s="397"/>
      <c r="X318" s="394"/>
      <c r="Y318" s="394"/>
      <c r="Z318" s="394"/>
      <c r="AA318" s="394"/>
      <c r="AB318" s="397"/>
      <c r="AC318" s="716"/>
      <c r="AD318" s="716"/>
      <c r="AE318" s="716"/>
      <c r="AF318" s="716"/>
      <c r="AG318" s="718"/>
      <c r="AH318" s="716"/>
      <c r="AI318" s="716"/>
      <c r="AJ318" s="716"/>
      <c r="AK318" s="716"/>
      <c r="AL318" s="718"/>
      <c r="AM318" s="394">
        <f>AM317*0.85</f>
        <v>0.15725</v>
      </c>
      <c r="AN318" s="394">
        <f>AN317*0.85</f>
        <v>0.1275</v>
      </c>
      <c r="AO318" s="394">
        <f>AN318*0.9</f>
        <v>0.11475</v>
      </c>
      <c r="AP318" s="394">
        <f>AO318*0.9</f>
        <v>0.10327500000000001</v>
      </c>
      <c r="AQ318" s="394">
        <f>AP318*0.9</f>
        <v>9.2947500000000002E-2</v>
      </c>
      <c r="AR318" s="394">
        <f>AQ318*0.1</f>
        <v>9.2947500000000009E-3</v>
      </c>
      <c r="AS318" s="397">
        <f t="shared" ref="AS318:BA318" si="438">AR318*0.1</f>
        <v>9.2947500000000014E-4</v>
      </c>
      <c r="AT318" s="397">
        <f t="shared" si="438"/>
        <v>9.2947500000000024E-5</v>
      </c>
      <c r="AU318" s="397">
        <f t="shared" si="438"/>
        <v>9.2947500000000028E-6</v>
      </c>
      <c r="AV318" s="397">
        <f t="shared" si="438"/>
        <v>9.2947500000000032E-7</v>
      </c>
      <c r="AW318" s="397">
        <f t="shared" si="438"/>
        <v>9.2947500000000032E-8</v>
      </c>
      <c r="AX318" s="397">
        <f t="shared" si="438"/>
        <v>9.2947500000000045E-9</v>
      </c>
      <c r="AY318" s="397">
        <f t="shared" si="438"/>
        <v>9.2947500000000045E-10</v>
      </c>
      <c r="AZ318" s="397">
        <f t="shared" si="438"/>
        <v>9.2947500000000056E-11</v>
      </c>
      <c r="BA318" s="397">
        <f t="shared" si="438"/>
        <v>9.2947500000000062E-12</v>
      </c>
      <c r="BB318" s="77"/>
    </row>
    <row r="319" spans="1:54" s="12" customFormat="1" ht="12.75" customHeight="1" collapsed="1">
      <c r="A319" s="379" t="s">
        <v>578</v>
      </c>
      <c r="B319" s="395" t="s">
        <v>902</v>
      </c>
      <c r="C319" s="394"/>
      <c r="D319" s="394"/>
      <c r="E319" s="394"/>
      <c r="F319" s="394"/>
      <c r="G319" s="394"/>
      <c r="H319" s="394"/>
      <c r="I319" s="394"/>
      <c r="J319" s="394"/>
      <c r="K319" s="394"/>
      <c r="L319" s="394">
        <v>0</v>
      </c>
      <c r="M319" s="394">
        <v>0</v>
      </c>
      <c r="N319" s="394">
        <v>2E-3</v>
      </c>
      <c r="O319" s="397">
        <v>0.03</v>
      </c>
      <c r="P319" s="397">
        <v>0.06</v>
      </c>
      <c r="Q319" s="397">
        <v>0.09</v>
      </c>
      <c r="R319" s="397">
        <v>0.14000000000000001</v>
      </c>
      <c r="S319" s="394">
        <f>AVERAGE(O319:R319)</f>
        <v>0.08</v>
      </c>
      <c r="T319" s="436">
        <v>0.16</v>
      </c>
      <c r="U319" s="436">
        <v>0.2</v>
      </c>
      <c r="V319" s="436">
        <v>0.21</v>
      </c>
      <c r="W319" s="436">
        <v>0.2</v>
      </c>
      <c r="X319" s="394">
        <f>AVERAGE(T319:W319)</f>
        <v>0.1925</v>
      </c>
      <c r="Y319" s="436">
        <v>0.25</v>
      </c>
      <c r="Z319" s="436">
        <v>0.26</v>
      </c>
      <c r="AA319" s="436">
        <v>0.23</v>
      </c>
      <c r="AB319" s="436">
        <v>0.23</v>
      </c>
      <c r="AC319" s="716">
        <f>AVERAGE(Y319:AB319)</f>
        <v>0.24249999999999999</v>
      </c>
      <c r="AD319" s="436">
        <v>0.25</v>
      </c>
      <c r="AE319" s="436">
        <v>0.21</v>
      </c>
      <c r="AF319" s="436">
        <v>0.19</v>
      </c>
      <c r="AG319" s="436">
        <v>0.16</v>
      </c>
      <c r="AH319" s="716">
        <f>AVERAGE(AD319:AG319)</f>
        <v>0.20249999999999999</v>
      </c>
      <c r="AI319" s="436">
        <v>0.15</v>
      </c>
      <c r="AJ319" s="436">
        <v>0.15</v>
      </c>
      <c r="AK319" s="436">
        <v>0</v>
      </c>
      <c r="AL319" s="436">
        <v>0</v>
      </c>
      <c r="AM319" s="396">
        <f t="shared" ref="AM319:BA319" si="439">CHOOSE($U$1,AM316,AM317,AM318)</f>
        <v>0.185</v>
      </c>
      <c r="AN319" s="396">
        <f t="shared" si="439"/>
        <v>0.15</v>
      </c>
      <c r="AO319" s="396">
        <f t="shared" si="439"/>
        <v>0.14249999999999999</v>
      </c>
      <c r="AP319" s="396">
        <f t="shared" si="439"/>
        <v>0.12112499999999998</v>
      </c>
      <c r="AQ319" s="396">
        <f t="shared" si="439"/>
        <v>0.10901249999999998</v>
      </c>
      <c r="AR319" s="396">
        <f t="shared" si="439"/>
        <v>9.8111249999999983E-2</v>
      </c>
      <c r="AS319" s="396">
        <f t="shared" si="439"/>
        <v>9.8111249999999987E-3</v>
      </c>
      <c r="AT319" s="396">
        <f t="shared" si="439"/>
        <v>9.8111249999999987E-4</v>
      </c>
      <c r="AU319" s="396">
        <f t="shared" si="439"/>
        <v>9.8111249999999987E-5</v>
      </c>
      <c r="AV319" s="396">
        <f t="shared" si="439"/>
        <v>9.811125E-6</v>
      </c>
      <c r="AW319" s="396">
        <f t="shared" si="439"/>
        <v>9.8111250000000004E-7</v>
      </c>
      <c r="AX319" s="396">
        <f t="shared" si="439"/>
        <v>9.8111250000000004E-8</v>
      </c>
      <c r="AY319" s="396">
        <f t="shared" si="439"/>
        <v>9.8111250000000011E-9</v>
      </c>
      <c r="AZ319" s="396">
        <f t="shared" si="439"/>
        <v>9.8111250000000011E-10</v>
      </c>
      <c r="BA319" s="396">
        <f t="shared" si="439"/>
        <v>9.8111250000000021E-11</v>
      </c>
      <c r="BB319" s="77"/>
    </row>
    <row r="320" spans="1:54" s="12" customFormat="1" ht="12.75" hidden="1" customHeight="1" outlineLevel="1">
      <c r="A320" s="379"/>
      <c r="B320" s="434" t="s">
        <v>423</v>
      </c>
      <c r="C320" s="394"/>
      <c r="D320" s="394"/>
      <c r="E320" s="394"/>
      <c r="F320" s="394"/>
      <c r="G320" s="394"/>
      <c r="H320" s="394"/>
      <c r="I320" s="394"/>
      <c r="J320" s="394"/>
      <c r="K320" s="394"/>
      <c r="L320" s="394"/>
      <c r="M320" s="394"/>
      <c r="N320" s="394"/>
      <c r="O320" s="394"/>
      <c r="P320" s="394"/>
      <c r="Q320" s="394"/>
      <c r="R320" s="394"/>
      <c r="S320" s="394"/>
      <c r="T320" s="394"/>
      <c r="U320" s="394"/>
      <c r="V320" s="394"/>
      <c r="W320" s="397"/>
      <c r="X320" s="394"/>
      <c r="Y320" s="436"/>
      <c r="Z320" s="394"/>
      <c r="AA320" s="394"/>
      <c r="AB320" s="397"/>
      <c r="AC320" s="716"/>
      <c r="AD320" s="436"/>
      <c r="AE320" s="716"/>
      <c r="AF320" s="716"/>
      <c r="AG320" s="718"/>
      <c r="AH320" s="716"/>
      <c r="AI320" s="436"/>
      <c r="AJ320" s="716"/>
      <c r="AK320" s="716"/>
      <c r="AL320" s="718"/>
      <c r="AM320" s="394">
        <f>AH323+(AH311-AM309)</f>
        <v>0.19375000000000003</v>
      </c>
      <c r="AN320" s="394">
        <f>AM320+(AM309-AN309)</f>
        <v>0.21375000000000002</v>
      </c>
      <c r="AO320" s="394">
        <f>AN320+(AN309-AO309)</f>
        <v>0.395625</v>
      </c>
      <c r="AP320" s="394">
        <f t="shared" ref="AP320:AW320" si="440">AO320+(AO309-AP309)*0.5</f>
        <v>0.41078124999999999</v>
      </c>
      <c r="AQ320" s="394">
        <f t="shared" si="440"/>
        <v>0.42139062499999996</v>
      </c>
      <c r="AR320" s="394">
        <f t="shared" si="440"/>
        <v>0.42457343749999998</v>
      </c>
      <c r="AS320" s="394">
        <f t="shared" si="440"/>
        <v>0.42552828124999997</v>
      </c>
      <c r="AT320" s="394">
        <f t="shared" si="440"/>
        <v>0.42581473437499995</v>
      </c>
      <c r="AU320" s="394">
        <f t="shared" si="440"/>
        <v>0.42590067031249995</v>
      </c>
      <c r="AV320" s="394">
        <f t="shared" si="440"/>
        <v>0.42592645109374994</v>
      </c>
      <c r="AW320" s="394">
        <f t="shared" si="440"/>
        <v>0.42593418532812494</v>
      </c>
      <c r="AX320" s="397">
        <f>AW320*0.1</f>
        <v>4.2593418532812496E-2</v>
      </c>
      <c r="AY320" s="397">
        <f>AX320*0.1</f>
        <v>4.2593418532812502E-3</v>
      </c>
      <c r="AZ320" s="397">
        <f>AY320*0.1</f>
        <v>4.2593418532812502E-4</v>
      </c>
      <c r="BA320" s="397">
        <f>AZ320*0.1</f>
        <v>4.2593418532812503E-5</v>
      </c>
      <c r="BB320" s="77"/>
    </row>
    <row r="321" spans="1:54" s="12" customFormat="1" ht="12.75" hidden="1" customHeight="1" outlineLevel="1">
      <c r="A321" s="379"/>
      <c r="B321" s="434" t="s">
        <v>424</v>
      </c>
      <c r="C321" s="394"/>
      <c r="D321" s="394"/>
      <c r="E321" s="394"/>
      <c r="F321" s="394"/>
      <c r="G321" s="394"/>
      <c r="H321" s="394"/>
      <c r="I321" s="394"/>
      <c r="J321" s="394"/>
      <c r="K321" s="394"/>
      <c r="L321" s="394"/>
      <c r="M321" s="394"/>
      <c r="N321" s="394"/>
      <c r="O321" s="394"/>
      <c r="P321" s="394"/>
      <c r="Q321" s="394"/>
      <c r="R321" s="394"/>
      <c r="S321" s="394"/>
      <c r="T321" s="394"/>
      <c r="U321" s="394"/>
      <c r="V321" s="394"/>
      <c r="W321" s="397"/>
      <c r="X321" s="394"/>
      <c r="Y321" s="436"/>
      <c r="Z321" s="394"/>
      <c r="AA321" s="394"/>
      <c r="AB321" s="397"/>
      <c r="AC321" s="716"/>
      <c r="AD321" s="436"/>
      <c r="AE321" s="716"/>
      <c r="AF321" s="716"/>
      <c r="AG321" s="718"/>
      <c r="AH321" s="716"/>
      <c r="AI321" s="436"/>
      <c r="AJ321" s="716"/>
      <c r="AK321" s="716"/>
      <c r="AL321" s="718"/>
      <c r="AM321" s="394">
        <v>0.25</v>
      </c>
      <c r="AN321" s="394">
        <v>0.15</v>
      </c>
      <c r="AO321" s="394">
        <v>0.01</v>
      </c>
      <c r="AP321" s="716">
        <f>AO321*0.8</f>
        <v>8.0000000000000002E-3</v>
      </c>
      <c r="AQ321" s="716">
        <f>AP321*0.8</f>
        <v>6.4000000000000003E-3</v>
      </c>
      <c r="AR321" s="716">
        <f>AQ321*0.8</f>
        <v>5.1200000000000004E-3</v>
      </c>
      <c r="AS321" s="716">
        <f>AR321*0.8</f>
        <v>4.0960000000000007E-3</v>
      </c>
      <c r="AT321" s="394">
        <f>AS321</f>
        <v>4.0960000000000007E-3</v>
      </c>
      <c r="AU321" s="394">
        <f>AT321</f>
        <v>4.0960000000000007E-3</v>
      </c>
      <c r="AV321" s="394">
        <f>AU321</f>
        <v>4.0960000000000007E-3</v>
      </c>
      <c r="AW321" s="394">
        <f>AV321</f>
        <v>4.0960000000000007E-3</v>
      </c>
      <c r="AX321" s="716">
        <f>AW321</f>
        <v>4.0960000000000007E-3</v>
      </c>
      <c r="AY321" s="397">
        <f t="shared" ref="AY321:BA322" si="441">AX321*0.1</f>
        <v>4.0960000000000009E-4</v>
      </c>
      <c r="AZ321" s="397">
        <f t="shared" si="441"/>
        <v>4.0960000000000014E-5</v>
      </c>
      <c r="BA321" s="397">
        <f t="shared" si="441"/>
        <v>4.0960000000000019E-6</v>
      </c>
      <c r="BB321" s="77"/>
    </row>
    <row r="322" spans="1:54" s="12" customFormat="1" ht="12.75" hidden="1" customHeight="1" outlineLevel="1">
      <c r="A322" s="379"/>
      <c r="B322" s="434" t="s">
        <v>425</v>
      </c>
      <c r="C322" s="394"/>
      <c r="D322" s="394"/>
      <c r="E322" s="394"/>
      <c r="F322" s="394"/>
      <c r="G322" s="394"/>
      <c r="H322" s="394"/>
      <c r="I322" s="394"/>
      <c r="J322" s="394"/>
      <c r="K322" s="394"/>
      <c r="L322" s="394"/>
      <c r="M322" s="394"/>
      <c r="N322" s="394"/>
      <c r="O322" s="394"/>
      <c r="P322" s="394"/>
      <c r="Q322" s="394"/>
      <c r="R322" s="394"/>
      <c r="S322" s="394"/>
      <c r="T322" s="394"/>
      <c r="U322" s="394"/>
      <c r="V322" s="394"/>
      <c r="W322" s="397"/>
      <c r="X322" s="394"/>
      <c r="Y322" s="436"/>
      <c r="Z322" s="394"/>
      <c r="AA322" s="394"/>
      <c r="AB322" s="397"/>
      <c r="AC322" s="716"/>
      <c r="AD322" s="436"/>
      <c r="AE322" s="716"/>
      <c r="AF322" s="716"/>
      <c r="AG322" s="718"/>
      <c r="AH322" s="716"/>
      <c r="AI322" s="436"/>
      <c r="AJ322" s="716"/>
      <c r="AK322" s="716"/>
      <c r="AL322" s="718"/>
      <c r="AM322" s="394">
        <f>AM321*0.85</f>
        <v>0.21249999999999999</v>
      </c>
      <c r="AN322" s="394">
        <f>AN321*0.85</f>
        <v>0.1275</v>
      </c>
      <c r="AO322" s="394">
        <f>AN322*0.9</f>
        <v>0.11475</v>
      </c>
      <c r="AP322" s="394">
        <f>AO322*0.9</f>
        <v>0.10327500000000001</v>
      </c>
      <c r="AQ322" s="394">
        <f>AP322*0.9</f>
        <v>9.2947500000000002E-2</v>
      </c>
      <c r="AR322" s="394">
        <f t="shared" ref="AR322:AW322" si="442">AQ322*0.9</f>
        <v>8.3652749999999998E-2</v>
      </c>
      <c r="AS322" s="394">
        <f t="shared" si="442"/>
        <v>7.5287475000000006E-2</v>
      </c>
      <c r="AT322" s="394">
        <f t="shared" si="442"/>
        <v>6.7758727500000004E-2</v>
      </c>
      <c r="AU322" s="394">
        <f t="shared" si="442"/>
        <v>6.0982854750000003E-2</v>
      </c>
      <c r="AV322" s="394">
        <f t="shared" si="442"/>
        <v>5.4884569275000003E-2</v>
      </c>
      <c r="AW322" s="394">
        <f t="shared" si="442"/>
        <v>4.9396112347500007E-2</v>
      </c>
      <c r="AX322" s="397">
        <f>AW322*0.1</f>
        <v>4.9396112347500007E-3</v>
      </c>
      <c r="AY322" s="397">
        <f t="shared" si="441"/>
        <v>4.9396112347500009E-4</v>
      </c>
      <c r="AZ322" s="397">
        <f t="shared" si="441"/>
        <v>4.9396112347500009E-5</v>
      </c>
      <c r="BA322" s="397">
        <f t="shared" si="441"/>
        <v>4.9396112347500011E-6</v>
      </c>
      <c r="BB322" s="77"/>
    </row>
    <row r="323" spans="1:54" s="2" customFormat="1" ht="12.75" customHeight="1" collapsed="1">
      <c r="A323" s="379" t="s">
        <v>578</v>
      </c>
      <c r="B323" s="395" t="s">
        <v>903</v>
      </c>
      <c r="C323" s="394"/>
      <c r="D323" s="394"/>
      <c r="E323" s="394"/>
      <c r="F323" s="394"/>
      <c r="G323" s="394"/>
      <c r="H323" s="394"/>
      <c r="I323" s="394"/>
      <c r="J323" s="394"/>
      <c r="K323" s="394"/>
      <c r="L323" s="394">
        <v>0</v>
      </c>
      <c r="M323" s="394">
        <v>0</v>
      </c>
      <c r="N323" s="394">
        <v>0</v>
      </c>
      <c r="O323" s="394">
        <v>0</v>
      </c>
      <c r="P323" s="394">
        <v>0</v>
      </c>
      <c r="Q323" s="397">
        <v>2E-3</v>
      </c>
      <c r="R323" s="397">
        <v>0.01</v>
      </c>
      <c r="S323" s="394">
        <f>AVERAGE(O323:R323)</f>
        <v>3.0000000000000001E-3</v>
      </c>
      <c r="T323" s="397">
        <v>0.02</v>
      </c>
      <c r="U323" s="397">
        <v>3.5000000000000003E-2</v>
      </c>
      <c r="V323" s="436">
        <v>0.05</v>
      </c>
      <c r="W323" s="397">
        <v>7.4999999999999997E-2</v>
      </c>
      <c r="X323" s="394">
        <f>AVERAGE(T323:W323)</f>
        <v>4.4999999999999998E-2</v>
      </c>
      <c r="Y323" s="436">
        <v>5.5E-2</v>
      </c>
      <c r="Z323" s="436">
        <v>0.09</v>
      </c>
      <c r="AA323" s="436">
        <v>0.09</v>
      </c>
      <c r="AB323" s="436">
        <v>0.15</v>
      </c>
      <c r="AC323" s="716">
        <f>AVERAGE(Y323:AB323)</f>
        <v>9.6250000000000002E-2</v>
      </c>
      <c r="AD323" s="436">
        <v>0.155</v>
      </c>
      <c r="AE323" s="436">
        <v>0.16</v>
      </c>
      <c r="AF323" s="436">
        <v>0.18</v>
      </c>
      <c r="AG323" s="436">
        <v>0.2</v>
      </c>
      <c r="AH323" s="716">
        <f>AVERAGE(AD323:AG323)</f>
        <v>0.17375000000000002</v>
      </c>
      <c r="AI323" s="436">
        <v>0.19</v>
      </c>
      <c r="AJ323" s="436">
        <v>0.19</v>
      </c>
      <c r="AK323" s="436">
        <v>0</v>
      </c>
      <c r="AL323" s="436">
        <v>0</v>
      </c>
      <c r="AM323" s="396">
        <f t="shared" ref="AM323:BA323" si="443">CHOOSE($U$1,AM320,AM321,AM322)</f>
        <v>0.25</v>
      </c>
      <c r="AN323" s="396">
        <f t="shared" si="443"/>
        <v>0.15</v>
      </c>
      <c r="AO323" s="396">
        <f t="shared" si="443"/>
        <v>0.01</v>
      </c>
      <c r="AP323" s="396">
        <f t="shared" si="443"/>
        <v>8.0000000000000002E-3</v>
      </c>
      <c r="AQ323" s="396">
        <f t="shared" si="443"/>
        <v>6.4000000000000003E-3</v>
      </c>
      <c r="AR323" s="396">
        <f t="shared" si="443"/>
        <v>5.1200000000000004E-3</v>
      </c>
      <c r="AS323" s="396">
        <f t="shared" si="443"/>
        <v>4.0960000000000007E-3</v>
      </c>
      <c r="AT323" s="396">
        <f t="shared" si="443"/>
        <v>4.0960000000000007E-3</v>
      </c>
      <c r="AU323" s="396">
        <f t="shared" si="443"/>
        <v>4.0960000000000007E-3</v>
      </c>
      <c r="AV323" s="396">
        <f t="shared" si="443"/>
        <v>4.0960000000000007E-3</v>
      </c>
      <c r="AW323" s="396">
        <f t="shared" si="443"/>
        <v>4.0960000000000007E-3</v>
      </c>
      <c r="AX323" s="396">
        <f t="shared" si="443"/>
        <v>4.0960000000000007E-3</v>
      </c>
      <c r="AY323" s="396">
        <f t="shared" si="443"/>
        <v>4.0960000000000009E-4</v>
      </c>
      <c r="AZ323" s="396">
        <f t="shared" si="443"/>
        <v>4.0960000000000014E-5</v>
      </c>
      <c r="BA323" s="396">
        <f t="shared" si="443"/>
        <v>4.0960000000000019E-6</v>
      </c>
      <c r="BB323" s="77"/>
    </row>
    <row r="324" spans="1:54" s="690" customFormat="1" ht="12.75" hidden="1" customHeight="1" outlineLevel="1">
      <c r="A324" s="379"/>
      <c r="B324" s="393" t="s">
        <v>423</v>
      </c>
      <c r="C324" s="716"/>
      <c r="D324" s="716"/>
      <c r="E324" s="716"/>
      <c r="F324" s="716"/>
      <c r="G324" s="716"/>
      <c r="H324" s="716"/>
      <c r="I324" s="716"/>
      <c r="J324" s="716"/>
      <c r="K324" s="716"/>
      <c r="L324" s="716"/>
      <c r="M324" s="716"/>
      <c r="N324" s="716"/>
      <c r="O324" s="716"/>
      <c r="P324" s="716"/>
      <c r="Q324" s="716"/>
      <c r="R324" s="716"/>
      <c r="S324" s="716"/>
      <c r="T324" s="716"/>
      <c r="U324" s="716"/>
      <c r="V324" s="716"/>
      <c r="W324" s="716"/>
      <c r="X324" s="716"/>
      <c r="Y324" s="716"/>
      <c r="Z324" s="716"/>
      <c r="AA324" s="716"/>
      <c r="AB324" s="716"/>
      <c r="AC324" s="396"/>
      <c r="AD324" s="396"/>
      <c r="AE324" s="396"/>
      <c r="AF324" s="396"/>
      <c r="AG324" s="396"/>
      <c r="AH324" s="716"/>
      <c r="AI324" s="396"/>
      <c r="AJ324" s="396"/>
      <c r="AK324" s="396"/>
      <c r="AL324" s="396"/>
      <c r="AM324" s="716">
        <f>AM325*1.02</f>
        <v>0</v>
      </c>
      <c r="AN324" s="716">
        <f t="shared" ref="AN324:BA324" si="444">AN325*1.02</f>
        <v>5.1000000000000004E-2</v>
      </c>
      <c r="AO324" s="716">
        <f t="shared" si="444"/>
        <v>0.255</v>
      </c>
      <c r="AP324" s="716">
        <f t="shared" si="444"/>
        <v>0.28050000000000003</v>
      </c>
      <c r="AQ324" s="716">
        <f t="shared" si="444"/>
        <v>0.30855000000000005</v>
      </c>
      <c r="AR324" s="716">
        <f t="shared" si="444"/>
        <v>0.27769500000000008</v>
      </c>
      <c r="AS324" s="716">
        <f t="shared" si="444"/>
        <v>0.24992550000000005</v>
      </c>
      <c r="AT324" s="716">
        <f t="shared" si="444"/>
        <v>0.22493295000000005</v>
      </c>
      <c r="AU324" s="716">
        <f t="shared" si="444"/>
        <v>0.20243965500000005</v>
      </c>
      <c r="AV324" s="716">
        <f t="shared" si="444"/>
        <v>0.18219568950000006</v>
      </c>
      <c r="AW324" s="716">
        <f t="shared" si="444"/>
        <v>0.16397612055000005</v>
      </c>
      <c r="AX324" s="716">
        <f t="shared" si="444"/>
        <v>0.14757850849500004</v>
      </c>
      <c r="AY324" s="716">
        <f t="shared" si="444"/>
        <v>1.4757850849500005E-2</v>
      </c>
      <c r="AZ324" s="716">
        <f t="shared" si="444"/>
        <v>1.4757850849500005E-3</v>
      </c>
      <c r="BA324" s="716">
        <f t="shared" si="444"/>
        <v>1.4757850849500006E-4</v>
      </c>
      <c r="BB324" s="694"/>
    </row>
    <row r="325" spans="1:54" s="690" customFormat="1" ht="12.75" hidden="1" customHeight="1" outlineLevel="1">
      <c r="A325" s="379"/>
      <c r="B325" s="393" t="s">
        <v>424</v>
      </c>
      <c r="C325" s="716"/>
      <c r="D325" s="716"/>
      <c r="E325" s="716"/>
      <c r="F325" s="716"/>
      <c r="G325" s="716"/>
      <c r="H325" s="716"/>
      <c r="I325" s="716"/>
      <c r="J325" s="716"/>
      <c r="K325" s="716"/>
      <c r="L325" s="716"/>
      <c r="M325" s="716"/>
      <c r="N325" s="716"/>
      <c r="O325" s="716"/>
      <c r="P325" s="716"/>
      <c r="Q325" s="716"/>
      <c r="R325" s="716"/>
      <c r="S325" s="716"/>
      <c r="T325" s="716"/>
      <c r="U325" s="716"/>
      <c r="V325" s="716"/>
      <c r="W325" s="716"/>
      <c r="X325" s="716"/>
      <c r="Y325" s="716"/>
      <c r="Z325" s="716"/>
      <c r="AA325" s="716"/>
      <c r="AB325" s="716"/>
      <c r="AC325" s="396"/>
      <c r="AD325" s="396"/>
      <c r="AE325" s="396"/>
      <c r="AF325" s="396"/>
      <c r="AG325" s="396"/>
      <c r="AH325" s="716"/>
      <c r="AI325" s="396"/>
      <c r="AJ325" s="396"/>
      <c r="AK325" s="396"/>
      <c r="AL325" s="396"/>
      <c r="AM325" s="718">
        <v>0</v>
      </c>
      <c r="AN325" s="718">
        <v>0.05</v>
      </c>
      <c r="AO325" s="716">
        <v>0.25</v>
      </c>
      <c r="AP325" s="716">
        <f>AO325*1.1</f>
        <v>0.27500000000000002</v>
      </c>
      <c r="AQ325" s="716">
        <f>AP325*1.1</f>
        <v>0.30250000000000005</v>
      </c>
      <c r="AR325" s="716">
        <f t="shared" ref="AR325:AX325" si="445">AQ325*0.9</f>
        <v>0.27225000000000005</v>
      </c>
      <c r="AS325" s="716">
        <f t="shared" si="445"/>
        <v>0.24502500000000005</v>
      </c>
      <c r="AT325" s="716">
        <f t="shared" si="445"/>
        <v>0.22052250000000004</v>
      </c>
      <c r="AU325" s="716">
        <f t="shared" si="445"/>
        <v>0.19847025000000004</v>
      </c>
      <c r="AV325" s="716">
        <f t="shared" si="445"/>
        <v>0.17862322500000005</v>
      </c>
      <c r="AW325" s="716">
        <f t="shared" si="445"/>
        <v>0.16076090250000005</v>
      </c>
      <c r="AX325" s="716">
        <f t="shared" si="445"/>
        <v>0.14468481225000004</v>
      </c>
      <c r="AY325" s="718">
        <f>AX325*0.1</f>
        <v>1.4468481225000005E-2</v>
      </c>
      <c r="AZ325" s="718">
        <f>AY325*0.1</f>
        <v>1.4468481225000005E-3</v>
      </c>
      <c r="BA325" s="718">
        <f>AZ325*0.1</f>
        <v>1.4468481225000005E-4</v>
      </c>
      <c r="BB325" s="694"/>
    </row>
    <row r="326" spans="1:54" s="690" customFormat="1" ht="12.75" hidden="1" customHeight="1" outlineLevel="1">
      <c r="A326" s="379"/>
      <c r="B326" s="393" t="s">
        <v>425</v>
      </c>
      <c r="C326" s="716"/>
      <c r="D326" s="716"/>
      <c r="E326" s="716"/>
      <c r="F326" s="716"/>
      <c r="G326" s="716"/>
      <c r="H326" s="716"/>
      <c r="I326" s="716"/>
      <c r="J326" s="716"/>
      <c r="K326" s="716"/>
      <c r="L326" s="716"/>
      <c r="M326" s="716"/>
      <c r="N326" s="716"/>
      <c r="O326" s="716"/>
      <c r="P326" s="716"/>
      <c r="Q326" s="716"/>
      <c r="R326" s="716"/>
      <c r="S326" s="716"/>
      <c r="T326" s="716"/>
      <c r="U326" s="716"/>
      <c r="V326" s="716"/>
      <c r="W326" s="716"/>
      <c r="X326" s="716"/>
      <c r="Y326" s="716"/>
      <c r="Z326" s="716"/>
      <c r="AA326" s="716"/>
      <c r="AB326" s="716"/>
      <c r="AC326" s="396"/>
      <c r="AD326" s="396"/>
      <c r="AE326" s="396"/>
      <c r="AF326" s="396"/>
      <c r="AG326" s="396"/>
      <c r="AH326" s="716"/>
      <c r="AI326" s="396"/>
      <c r="AJ326" s="396"/>
      <c r="AK326" s="396"/>
      <c r="AL326" s="396"/>
      <c r="AM326" s="716">
        <f>AM325*0.8</f>
        <v>0</v>
      </c>
      <c r="AN326" s="716">
        <f t="shared" ref="AN326:BA326" si="446">AN325*0.8</f>
        <v>4.0000000000000008E-2</v>
      </c>
      <c r="AO326" s="716">
        <f t="shared" si="446"/>
        <v>0.2</v>
      </c>
      <c r="AP326" s="716">
        <f t="shared" si="446"/>
        <v>0.22000000000000003</v>
      </c>
      <c r="AQ326" s="716">
        <f t="shared" si="446"/>
        <v>0.24200000000000005</v>
      </c>
      <c r="AR326" s="716">
        <f t="shared" si="446"/>
        <v>0.21780000000000005</v>
      </c>
      <c r="AS326" s="716">
        <f t="shared" si="446"/>
        <v>0.19602000000000006</v>
      </c>
      <c r="AT326" s="716">
        <f t="shared" si="446"/>
        <v>0.17641800000000005</v>
      </c>
      <c r="AU326" s="716">
        <f t="shared" si="446"/>
        <v>0.15877620000000003</v>
      </c>
      <c r="AV326" s="716">
        <f t="shared" si="446"/>
        <v>0.14289858000000005</v>
      </c>
      <c r="AW326" s="716">
        <f t="shared" si="446"/>
        <v>0.12860872200000004</v>
      </c>
      <c r="AX326" s="716">
        <f t="shared" si="446"/>
        <v>0.11574784980000004</v>
      </c>
      <c r="AY326" s="716">
        <f t="shared" si="446"/>
        <v>1.1574784980000004E-2</v>
      </c>
      <c r="AZ326" s="716">
        <f t="shared" si="446"/>
        <v>1.1574784980000004E-3</v>
      </c>
      <c r="BA326" s="716">
        <f t="shared" si="446"/>
        <v>1.1574784980000004E-4</v>
      </c>
      <c r="BB326" s="694"/>
    </row>
    <row r="327" spans="1:54" s="690" customFormat="1" ht="12.75" customHeight="1" collapsed="1">
      <c r="A327" s="379" t="s">
        <v>578</v>
      </c>
      <c r="B327" s="717" t="str">
        <f>B273</f>
        <v>Genvoya (2028 Expiry)</v>
      </c>
      <c r="C327" s="716"/>
      <c r="D327" s="716"/>
      <c r="E327" s="716"/>
      <c r="F327" s="716"/>
      <c r="G327" s="716"/>
      <c r="H327" s="716"/>
      <c r="I327" s="716"/>
      <c r="J327" s="716"/>
      <c r="K327" s="716"/>
      <c r="L327" s="716"/>
      <c r="M327" s="716"/>
      <c r="N327" s="716"/>
      <c r="O327" s="716"/>
      <c r="P327" s="716"/>
      <c r="Q327" s="716"/>
      <c r="R327" s="716"/>
      <c r="S327" s="716"/>
      <c r="T327" s="716"/>
      <c r="U327" s="716"/>
      <c r="V327" s="716"/>
      <c r="W327" s="716"/>
      <c r="X327" s="716"/>
      <c r="Y327" s="716"/>
      <c r="Z327" s="716"/>
      <c r="AA327" s="716"/>
      <c r="AB327" s="716"/>
      <c r="AC327" s="396"/>
      <c r="AD327" s="396"/>
      <c r="AE327" s="396"/>
      <c r="AF327" s="396"/>
      <c r="AG327" s="396"/>
      <c r="AH327" s="716"/>
      <c r="AI327" s="396"/>
      <c r="AJ327" s="396"/>
      <c r="AK327" s="396"/>
      <c r="AL327" s="396"/>
      <c r="AM327" s="396">
        <f t="shared" ref="AM327:BA327" si="447">CHOOSE($U$1,AM324,AM325,AM326)</f>
        <v>0</v>
      </c>
      <c r="AN327" s="396">
        <f t="shared" si="447"/>
        <v>0.05</v>
      </c>
      <c r="AO327" s="396">
        <f t="shared" si="447"/>
        <v>0.25</v>
      </c>
      <c r="AP327" s="396">
        <f t="shared" si="447"/>
        <v>0.27500000000000002</v>
      </c>
      <c r="AQ327" s="396">
        <f t="shared" si="447"/>
        <v>0.30250000000000005</v>
      </c>
      <c r="AR327" s="396">
        <f t="shared" si="447"/>
        <v>0.27225000000000005</v>
      </c>
      <c r="AS327" s="396">
        <f t="shared" si="447"/>
        <v>0.24502500000000005</v>
      </c>
      <c r="AT327" s="396">
        <f t="shared" si="447"/>
        <v>0.22052250000000004</v>
      </c>
      <c r="AU327" s="396">
        <f t="shared" si="447"/>
        <v>0.19847025000000004</v>
      </c>
      <c r="AV327" s="396">
        <f t="shared" si="447"/>
        <v>0.17862322500000005</v>
      </c>
      <c r="AW327" s="396">
        <f t="shared" si="447"/>
        <v>0.16076090250000005</v>
      </c>
      <c r="AX327" s="396">
        <f t="shared" si="447"/>
        <v>0.14468481225000004</v>
      </c>
      <c r="AY327" s="396">
        <f t="shared" si="447"/>
        <v>1.4468481225000005E-2</v>
      </c>
      <c r="AZ327" s="396">
        <f t="shared" si="447"/>
        <v>1.4468481225000005E-3</v>
      </c>
      <c r="BA327" s="396">
        <f t="shared" si="447"/>
        <v>1.4468481225000005E-4</v>
      </c>
      <c r="BB327" s="694"/>
    </row>
    <row r="328" spans="1:54" s="690" customFormat="1" ht="12.75" hidden="1" customHeight="1" outlineLevel="1">
      <c r="A328" s="379"/>
      <c r="B328" s="393" t="s">
        <v>423</v>
      </c>
      <c r="C328" s="716"/>
      <c r="D328" s="716"/>
      <c r="E328" s="716"/>
      <c r="F328" s="716"/>
      <c r="G328" s="716"/>
      <c r="H328" s="716"/>
      <c r="I328" s="716"/>
      <c r="J328" s="716"/>
      <c r="K328" s="716"/>
      <c r="L328" s="716"/>
      <c r="M328" s="716"/>
      <c r="N328" s="716"/>
      <c r="O328" s="716"/>
      <c r="P328" s="716"/>
      <c r="Q328" s="716"/>
      <c r="R328" s="716"/>
      <c r="S328" s="716"/>
      <c r="T328" s="716"/>
      <c r="U328" s="716"/>
      <c r="V328" s="716"/>
      <c r="W328" s="716"/>
      <c r="X328" s="716"/>
      <c r="Y328" s="716"/>
      <c r="Z328" s="716"/>
      <c r="AA328" s="716"/>
      <c r="AB328" s="716"/>
      <c r="AC328" s="396"/>
      <c r="AD328" s="396"/>
      <c r="AE328" s="396"/>
      <c r="AF328" s="396"/>
      <c r="AG328" s="396"/>
      <c r="AH328" s="396"/>
      <c r="AI328" s="396"/>
      <c r="AJ328" s="396"/>
      <c r="AK328" s="396"/>
      <c r="AL328" s="396"/>
      <c r="AM328" s="716">
        <f>AM329*1.02</f>
        <v>0</v>
      </c>
      <c r="AN328" s="716">
        <f t="shared" ref="AN328:BA328" si="448">AN329*1.02</f>
        <v>3.5700000000000003E-2</v>
      </c>
      <c r="AO328" s="716">
        <f t="shared" si="448"/>
        <v>5.1000000000000004E-2</v>
      </c>
      <c r="AP328" s="716">
        <f t="shared" si="448"/>
        <v>6.1199999999999997E-2</v>
      </c>
      <c r="AQ328" s="716">
        <f t="shared" si="448"/>
        <v>5.2019999999999997E-2</v>
      </c>
      <c r="AR328" s="716">
        <f t="shared" si="448"/>
        <v>4.4216999999999992E-2</v>
      </c>
      <c r="AS328" s="716">
        <f t="shared" si="448"/>
        <v>3.7584449999999991E-2</v>
      </c>
      <c r="AT328" s="716">
        <f t="shared" si="448"/>
        <v>3.1946782499999993E-2</v>
      </c>
      <c r="AU328" s="716">
        <f t="shared" si="448"/>
        <v>2.715476512499999E-2</v>
      </c>
      <c r="AV328" s="716">
        <f t="shared" si="448"/>
        <v>2.3081550356249994E-2</v>
      </c>
      <c r="AW328" s="716">
        <f t="shared" si="448"/>
        <v>2.3081550356249996E-3</v>
      </c>
      <c r="AX328" s="716">
        <f t="shared" si="448"/>
        <v>2.3081550356249996E-4</v>
      </c>
      <c r="AY328" s="716">
        <f t="shared" si="448"/>
        <v>2.3081550356249999E-5</v>
      </c>
      <c r="AZ328" s="716">
        <f t="shared" si="448"/>
        <v>2.3081550356249996E-6</v>
      </c>
      <c r="BA328" s="716">
        <f t="shared" si="448"/>
        <v>2.3081550356249999E-7</v>
      </c>
      <c r="BB328" s="694"/>
    </row>
    <row r="329" spans="1:54" s="690" customFormat="1" ht="12.75" hidden="1" customHeight="1" outlineLevel="1">
      <c r="A329" s="379"/>
      <c r="B329" s="393" t="s">
        <v>424</v>
      </c>
      <c r="C329" s="716"/>
      <c r="D329" s="716"/>
      <c r="E329" s="716"/>
      <c r="F329" s="716"/>
      <c r="G329" s="716"/>
      <c r="H329" s="716"/>
      <c r="I329" s="716"/>
      <c r="J329" s="716"/>
      <c r="K329" s="716"/>
      <c r="L329" s="716"/>
      <c r="M329" s="716"/>
      <c r="N329" s="716"/>
      <c r="O329" s="716"/>
      <c r="P329" s="716"/>
      <c r="Q329" s="716"/>
      <c r="R329" s="716"/>
      <c r="S329" s="716"/>
      <c r="T329" s="716"/>
      <c r="U329" s="716"/>
      <c r="V329" s="716"/>
      <c r="W329" s="716"/>
      <c r="X329" s="716"/>
      <c r="Y329" s="716"/>
      <c r="Z329" s="716"/>
      <c r="AA329" s="716"/>
      <c r="AB329" s="716"/>
      <c r="AC329" s="396"/>
      <c r="AD329" s="396"/>
      <c r="AE329" s="396"/>
      <c r="AF329" s="396"/>
      <c r="AG329" s="396"/>
      <c r="AH329" s="396"/>
      <c r="AI329" s="396"/>
      <c r="AJ329" s="396"/>
      <c r="AK329" s="396"/>
      <c r="AL329" s="396"/>
      <c r="AM329" s="718">
        <v>0</v>
      </c>
      <c r="AN329" s="718">
        <v>3.5000000000000003E-2</v>
      </c>
      <c r="AO329" s="716">
        <v>0.05</v>
      </c>
      <c r="AP329" s="716">
        <v>0.06</v>
      </c>
      <c r="AQ329" s="716">
        <f t="shared" ref="AQ329:AV329" si="449">AP329*0.85</f>
        <v>5.0999999999999997E-2</v>
      </c>
      <c r="AR329" s="716">
        <f t="shared" si="449"/>
        <v>4.3349999999999993E-2</v>
      </c>
      <c r="AS329" s="716">
        <f t="shared" si="449"/>
        <v>3.6847499999999991E-2</v>
      </c>
      <c r="AT329" s="716">
        <f t="shared" si="449"/>
        <v>3.1320374999999991E-2</v>
      </c>
      <c r="AU329" s="716">
        <f t="shared" si="449"/>
        <v>2.6622318749999992E-2</v>
      </c>
      <c r="AV329" s="716">
        <f t="shared" si="449"/>
        <v>2.2628970937499993E-2</v>
      </c>
      <c r="AW329" s="733">
        <f>AV329*0.1</f>
        <v>2.2628970937499993E-3</v>
      </c>
      <c r="AX329" s="733">
        <f>AW329*0.1</f>
        <v>2.2628970937499995E-4</v>
      </c>
      <c r="AY329" s="733">
        <f>AX329*0.1</f>
        <v>2.2628970937499997E-5</v>
      </c>
      <c r="AZ329" s="733">
        <f>AY329*0.1</f>
        <v>2.2628970937499997E-6</v>
      </c>
      <c r="BA329" s="733">
        <f>AZ329*0.1</f>
        <v>2.2628970937499999E-7</v>
      </c>
      <c r="BB329" s="694"/>
    </row>
    <row r="330" spans="1:54" s="690" customFormat="1" ht="12.75" hidden="1" customHeight="1" outlineLevel="1">
      <c r="A330" s="379"/>
      <c r="B330" s="393" t="s">
        <v>425</v>
      </c>
      <c r="C330" s="716"/>
      <c r="D330" s="716"/>
      <c r="E330" s="716"/>
      <c r="F330" s="716"/>
      <c r="G330" s="716"/>
      <c r="H330" s="716"/>
      <c r="I330" s="716"/>
      <c r="J330" s="716"/>
      <c r="K330" s="716"/>
      <c r="L330" s="716"/>
      <c r="M330" s="716"/>
      <c r="N330" s="716"/>
      <c r="O330" s="716"/>
      <c r="P330" s="716"/>
      <c r="Q330" s="716"/>
      <c r="R330" s="716"/>
      <c r="S330" s="716"/>
      <c r="T330" s="716"/>
      <c r="U330" s="716"/>
      <c r="V330" s="716"/>
      <c r="W330" s="716"/>
      <c r="X330" s="716"/>
      <c r="Y330" s="716"/>
      <c r="Z330" s="716"/>
      <c r="AA330" s="716"/>
      <c r="AB330" s="716"/>
      <c r="AC330" s="396"/>
      <c r="AD330" s="396"/>
      <c r="AE330" s="396"/>
      <c r="AF330" s="396"/>
      <c r="AG330" s="396"/>
      <c r="AH330" s="396"/>
      <c r="AI330" s="396"/>
      <c r="AJ330" s="396"/>
      <c r="AK330" s="396"/>
      <c r="AL330" s="396"/>
      <c r="AM330" s="716">
        <f>AM329*0.8</f>
        <v>0</v>
      </c>
      <c r="AN330" s="716">
        <f t="shared" ref="AN330:BA330" si="450">AN329*0.8</f>
        <v>2.8000000000000004E-2</v>
      </c>
      <c r="AO330" s="716">
        <f t="shared" si="450"/>
        <v>4.0000000000000008E-2</v>
      </c>
      <c r="AP330" s="716">
        <f t="shared" si="450"/>
        <v>4.8000000000000001E-2</v>
      </c>
      <c r="AQ330" s="716">
        <f t="shared" si="450"/>
        <v>4.0800000000000003E-2</v>
      </c>
      <c r="AR330" s="716">
        <f t="shared" si="450"/>
        <v>3.4679999999999996E-2</v>
      </c>
      <c r="AS330" s="716">
        <f t="shared" si="450"/>
        <v>2.9477999999999994E-2</v>
      </c>
      <c r="AT330" s="716">
        <f t="shared" si="450"/>
        <v>2.5056299999999993E-2</v>
      </c>
      <c r="AU330" s="716">
        <f t="shared" si="450"/>
        <v>2.1297854999999994E-2</v>
      </c>
      <c r="AV330" s="716">
        <f t="shared" si="450"/>
        <v>1.8103176749999995E-2</v>
      </c>
      <c r="AW330" s="716">
        <f t="shared" si="450"/>
        <v>1.8103176749999996E-3</v>
      </c>
      <c r="AX330" s="716">
        <f t="shared" si="450"/>
        <v>1.8103176749999998E-4</v>
      </c>
      <c r="AY330" s="716">
        <f t="shared" si="450"/>
        <v>1.8103176749999998E-5</v>
      </c>
      <c r="AZ330" s="716">
        <f t="shared" si="450"/>
        <v>1.8103176749999999E-6</v>
      </c>
      <c r="BA330" s="716">
        <f t="shared" si="450"/>
        <v>1.8103176750000001E-7</v>
      </c>
      <c r="BB330" s="694"/>
    </row>
    <row r="331" spans="1:54" s="690" customFormat="1" ht="12.75" customHeight="1" collapsed="1">
      <c r="A331" s="379" t="s">
        <v>578</v>
      </c>
      <c r="B331" s="717" t="str">
        <f>B296</f>
        <v>Odefsey (2025 Expiry)</v>
      </c>
      <c r="C331" s="716"/>
      <c r="D331" s="716"/>
      <c r="E331" s="716"/>
      <c r="F331" s="716"/>
      <c r="G331" s="716"/>
      <c r="H331" s="716"/>
      <c r="I331" s="716"/>
      <c r="J331" s="716"/>
      <c r="K331" s="716"/>
      <c r="L331" s="716"/>
      <c r="M331" s="716"/>
      <c r="N331" s="716"/>
      <c r="O331" s="716"/>
      <c r="P331" s="716"/>
      <c r="Q331" s="716"/>
      <c r="R331" s="716"/>
      <c r="S331" s="716"/>
      <c r="T331" s="716"/>
      <c r="U331" s="716"/>
      <c r="V331" s="716"/>
      <c r="W331" s="716"/>
      <c r="X331" s="716"/>
      <c r="Y331" s="716"/>
      <c r="Z331" s="716"/>
      <c r="AA331" s="716"/>
      <c r="AB331" s="716"/>
      <c r="AC331" s="396"/>
      <c r="AD331" s="396"/>
      <c r="AE331" s="396"/>
      <c r="AF331" s="396"/>
      <c r="AG331" s="396"/>
      <c r="AH331" s="396"/>
      <c r="AI331" s="396"/>
      <c r="AJ331" s="396"/>
      <c r="AK331" s="396"/>
      <c r="AL331" s="396"/>
      <c r="AM331" s="396">
        <f t="shared" ref="AM331:BA331" si="451">CHOOSE($U$1,AM328,AM329,AM330)</f>
        <v>0</v>
      </c>
      <c r="AN331" s="396">
        <f t="shared" si="451"/>
        <v>3.5000000000000003E-2</v>
      </c>
      <c r="AO331" s="396">
        <f t="shared" si="451"/>
        <v>0.05</v>
      </c>
      <c r="AP331" s="396">
        <f t="shared" si="451"/>
        <v>0.06</v>
      </c>
      <c r="AQ331" s="396">
        <f t="shared" si="451"/>
        <v>5.0999999999999997E-2</v>
      </c>
      <c r="AR331" s="396">
        <f t="shared" si="451"/>
        <v>4.3349999999999993E-2</v>
      </c>
      <c r="AS331" s="396">
        <f t="shared" si="451"/>
        <v>3.6847499999999991E-2</v>
      </c>
      <c r="AT331" s="396">
        <f t="shared" si="451"/>
        <v>3.1320374999999991E-2</v>
      </c>
      <c r="AU331" s="396">
        <f t="shared" si="451"/>
        <v>2.6622318749999992E-2</v>
      </c>
      <c r="AV331" s="396">
        <f t="shared" si="451"/>
        <v>2.2628970937499993E-2</v>
      </c>
      <c r="AW331" s="396">
        <f t="shared" si="451"/>
        <v>2.2628970937499993E-3</v>
      </c>
      <c r="AX331" s="396">
        <f t="shared" si="451"/>
        <v>2.2628970937499995E-4</v>
      </c>
      <c r="AY331" s="396">
        <f t="shared" si="451"/>
        <v>2.2628970937499997E-5</v>
      </c>
      <c r="AZ331" s="396">
        <f t="shared" si="451"/>
        <v>2.2628970937499997E-6</v>
      </c>
      <c r="BA331" s="396">
        <f t="shared" si="451"/>
        <v>2.2628970937499999E-7</v>
      </c>
      <c r="BB331" s="694"/>
    </row>
    <row r="332" spans="1:54" s="690" customFormat="1" ht="12.75" hidden="1" customHeight="1" outlineLevel="1">
      <c r="A332" s="379"/>
      <c r="B332" s="393" t="s">
        <v>423</v>
      </c>
      <c r="C332" s="716"/>
      <c r="D332" s="716"/>
      <c r="E332" s="716"/>
      <c r="F332" s="716"/>
      <c r="G332" s="716"/>
      <c r="H332" s="716"/>
      <c r="I332" s="716"/>
      <c r="J332" s="716"/>
      <c r="K332" s="716"/>
      <c r="L332" s="716"/>
      <c r="M332" s="716"/>
      <c r="N332" s="716"/>
      <c r="O332" s="716"/>
      <c r="P332" s="716"/>
      <c r="Q332" s="716"/>
      <c r="R332" s="716"/>
      <c r="S332" s="716"/>
      <c r="T332" s="716"/>
      <c r="U332" s="716"/>
      <c r="V332" s="716"/>
      <c r="W332" s="716"/>
      <c r="X332" s="716"/>
      <c r="Y332" s="716"/>
      <c r="Z332" s="716"/>
      <c r="AA332" s="716"/>
      <c r="AB332" s="716"/>
      <c r="AC332" s="396"/>
      <c r="AD332" s="396"/>
      <c r="AE332" s="396"/>
      <c r="AF332" s="396"/>
      <c r="AG332" s="396"/>
      <c r="AH332" s="396"/>
      <c r="AI332" s="396"/>
      <c r="AJ332" s="396"/>
      <c r="AK332" s="396"/>
      <c r="AL332" s="396"/>
      <c r="AM332" s="716">
        <f>AM333*1.02</f>
        <v>1.0200000000000001E-2</v>
      </c>
      <c r="AN332" s="716">
        <f t="shared" ref="AN332:BA332" si="452">AN333*1.02</f>
        <v>2.0400000000000001E-2</v>
      </c>
      <c r="AO332" s="716">
        <f t="shared" si="452"/>
        <v>4.0800000000000003E-2</v>
      </c>
      <c r="AP332" s="716">
        <f t="shared" si="452"/>
        <v>6.1199999999999997E-2</v>
      </c>
      <c r="AQ332" s="716">
        <f t="shared" si="452"/>
        <v>8.1600000000000006E-2</v>
      </c>
      <c r="AR332" s="716">
        <f t="shared" si="452"/>
        <v>0.10200000000000001</v>
      </c>
      <c r="AS332" s="716">
        <f t="shared" si="452"/>
        <v>0.10200000000000001</v>
      </c>
      <c r="AT332" s="716">
        <f t="shared" si="452"/>
        <v>0.10200000000000001</v>
      </c>
      <c r="AU332" s="716">
        <f t="shared" si="452"/>
        <v>0.10200000000000001</v>
      </c>
      <c r="AV332" s="716">
        <f t="shared" si="452"/>
        <v>0.10200000000000001</v>
      </c>
      <c r="AW332" s="716">
        <f t="shared" si="452"/>
        <v>1.0200000000000002E-2</v>
      </c>
      <c r="AX332" s="716">
        <f t="shared" si="452"/>
        <v>1.0200000000000003E-3</v>
      </c>
      <c r="AY332" s="716">
        <f t="shared" si="452"/>
        <v>1.0200000000000004E-4</v>
      </c>
      <c r="AZ332" s="716">
        <f t="shared" si="452"/>
        <v>1.0200000000000004E-5</v>
      </c>
      <c r="BA332" s="716">
        <f t="shared" si="452"/>
        <v>1.0200000000000004E-6</v>
      </c>
      <c r="BB332" s="694"/>
    </row>
    <row r="333" spans="1:54" s="690" customFormat="1" ht="12.75" hidden="1" customHeight="1" outlineLevel="1">
      <c r="A333" s="379"/>
      <c r="B333" s="393" t="s">
        <v>424</v>
      </c>
      <c r="C333" s="716"/>
      <c r="D333" s="716"/>
      <c r="E333" s="716"/>
      <c r="F333" s="716"/>
      <c r="G333" s="716"/>
      <c r="H333" s="716"/>
      <c r="I333" s="716"/>
      <c r="J333" s="716"/>
      <c r="K333" s="716"/>
      <c r="L333" s="716"/>
      <c r="M333" s="716"/>
      <c r="N333" s="716"/>
      <c r="O333" s="716"/>
      <c r="P333" s="716"/>
      <c r="Q333" s="716"/>
      <c r="R333" s="716"/>
      <c r="S333" s="716"/>
      <c r="T333" s="716"/>
      <c r="U333" s="716"/>
      <c r="V333" s="716"/>
      <c r="W333" s="716"/>
      <c r="X333" s="716"/>
      <c r="Y333" s="716"/>
      <c r="Z333" s="716"/>
      <c r="AA333" s="716"/>
      <c r="AB333" s="716"/>
      <c r="AC333" s="396"/>
      <c r="AD333" s="396"/>
      <c r="AE333" s="396"/>
      <c r="AF333" s="396"/>
      <c r="AG333" s="396"/>
      <c r="AH333" s="396"/>
      <c r="AI333" s="396"/>
      <c r="AJ333" s="396"/>
      <c r="AK333" s="396"/>
      <c r="AL333" s="396"/>
      <c r="AM333" s="718">
        <v>0.01</v>
      </c>
      <c r="AN333" s="718">
        <v>0.02</v>
      </c>
      <c r="AO333" s="716">
        <v>0.04</v>
      </c>
      <c r="AP333" s="716">
        <v>0.06</v>
      </c>
      <c r="AQ333" s="716">
        <v>0.08</v>
      </c>
      <c r="AR333" s="716">
        <v>0.1</v>
      </c>
      <c r="AS333" s="716">
        <f>AR333</f>
        <v>0.1</v>
      </c>
      <c r="AT333" s="716">
        <f>AS333</f>
        <v>0.1</v>
      </c>
      <c r="AU333" s="716">
        <f>AT333</f>
        <v>0.1</v>
      </c>
      <c r="AV333" s="716">
        <f>AU333</f>
        <v>0.1</v>
      </c>
      <c r="AW333" s="733">
        <f>AV333*0.1</f>
        <v>1.0000000000000002E-2</v>
      </c>
      <c r="AX333" s="733">
        <f>AW333*0.1</f>
        <v>1.0000000000000002E-3</v>
      </c>
      <c r="AY333" s="733">
        <f>AX333*0.1</f>
        <v>1.0000000000000003E-4</v>
      </c>
      <c r="AZ333" s="733">
        <f>AY333*0.1</f>
        <v>1.0000000000000004E-5</v>
      </c>
      <c r="BA333" s="733">
        <f>AZ333*0.1</f>
        <v>1.0000000000000004E-6</v>
      </c>
      <c r="BB333" s="694"/>
    </row>
    <row r="334" spans="1:54" s="690" customFormat="1" ht="12.75" hidden="1" customHeight="1" outlineLevel="1">
      <c r="A334" s="379"/>
      <c r="B334" s="393" t="s">
        <v>425</v>
      </c>
      <c r="C334" s="716"/>
      <c r="D334" s="716"/>
      <c r="E334" s="716"/>
      <c r="F334" s="716"/>
      <c r="G334" s="716"/>
      <c r="H334" s="716"/>
      <c r="I334" s="716"/>
      <c r="J334" s="716"/>
      <c r="K334" s="716"/>
      <c r="L334" s="716"/>
      <c r="M334" s="716"/>
      <c r="N334" s="716"/>
      <c r="O334" s="716"/>
      <c r="P334" s="716"/>
      <c r="Q334" s="716"/>
      <c r="R334" s="716"/>
      <c r="S334" s="716"/>
      <c r="T334" s="716"/>
      <c r="U334" s="716"/>
      <c r="V334" s="716"/>
      <c r="W334" s="716"/>
      <c r="X334" s="716"/>
      <c r="Y334" s="716"/>
      <c r="Z334" s="716"/>
      <c r="AA334" s="716"/>
      <c r="AB334" s="716"/>
      <c r="AC334" s="396"/>
      <c r="AD334" s="396"/>
      <c r="AE334" s="396"/>
      <c r="AF334" s="396"/>
      <c r="AG334" s="396"/>
      <c r="AH334" s="396"/>
      <c r="AI334" s="396"/>
      <c r="AJ334" s="396"/>
      <c r="AK334" s="396"/>
      <c r="AL334" s="396"/>
      <c r="AM334" s="716">
        <f>AM333*0.8</f>
        <v>8.0000000000000002E-3</v>
      </c>
      <c r="AN334" s="716">
        <f t="shared" ref="AN334:BA334" si="453">AN333*0.8</f>
        <v>1.6E-2</v>
      </c>
      <c r="AO334" s="716">
        <f t="shared" si="453"/>
        <v>3.2000000000000001E-2</v>
      </c>
      <c r="AP334" s="716">
        <f t="shared" si="453"/>
        <v>4.8000000000000001E-2</v>
      </c>
      <c r="AQ334" s="716">
        <f t="shared" si="453"/>
        <v>6.4000000000000001E-2</v>
      </c>
      <c r="AR334" s="716">
        <f t="shared" si="453"/>
        <v>8.0000000000000016E-2</v>
      </c>
      <c r="AS334" s="716">
        <f t="shared" si="453"/>
        <v>8.0000000000000016E-2</v>
      </c>
      <c r="AT334" s="716">
        <f t="shared" si="453"/>
        <v>8.0000000000000016E-2</v>
      </c>
      <c r="AU334" s="716">
        <f t="shared" si="453"/>
        <v>8.0000000000000016E-2</v>
      </c>
      <c r="AV334" s="716">
        <f t="shared" si="453"/>
        <v>8.0000000000000016E-2</v>
      </c>
      <c r="AW334" s="716">
        <f t="shared" si="453"/>
        <v>8.0000000000000019E-3</v>
      </c>
      <c r="AX334" s="716">
        <f t="shared" si="453"/>
        <v>8.0000000000000026E-4</v>
      </c>
      <c r="AY334" s="716">
        <f t="shared" si="453"/>
        <v>8.0000000000000034E-5</v>
      </c>
      <c r="AZ334" s="716">
        <f t="shared" si="453"/>
        <v>8.000000000000003E-6</v>
      </c>
      <c r="BA334" s="716">
        <f t="shared" si="453"/>
        <v>8.0000000000000039E-7</v>
      </c>
      <c r="BB334" s="694"/>
    </row>
    <row r="335" spans="1:54" s="690" customFormat="1" ht="12.75" customHeight="1" collapsed="1">
      <c r="A335" s="379" t="s">
        <v>578</v>
      </c>
      <c r="B335" s="717" t="str">
        <f>B297</f>
        <v>Descovy (2025 Expiry)</v>
      </c>
      <c r="C335" s="716"/>
      <c r="D335" s="716"/>
      <c r="E335" s="716"/>
      <c r="F335" s="716"/>
      <c r="G335" s="716"/>
      <c r="H335" s="716"/>
      <c r="I335" s="716"/>
      <c r="J335" s="716"/>
      <c r="K335" s="716"/>
      <c r="L335" s="716"/>
      <c r="M335" s="716"/>
      <c r="N335" s="716"/>
      <c r="O335" s="716"/>
      <c r="P335" s="716"/>
      <c r="Q335" s="716"/>
      <c r="R335" s="716"/>
      <c r="S335" s="716"/>
      <c r="T335" s="716"/>
      <c r="U335" s="716"/>
      <c r="V335" s="716"/>
      <c r="W335" s="716"/>
      <c r="X335" s="716"/>
      <c r="Y335" s="716"/>
      <c r="Z335" s="716"/>
      <c r="AA335" s="716"/>
      <c r="AB335" s="716"/>
      <c r="AC335" s="396"/>
      <c r="AD335" s="396"/>
      <c r="AE335" s="396"/>
      <c r="AF335" s="396"/>
      <c r="AG335" s="396"/>
      <c r="AH335" s="396"/>
      <c r="AI335" s="396"/>
      <c r="AJ335" s="396"/>
      <c r="AK335" s="396"/>
      <c r="AL335" s="396"/>
      <c r="AM335" s="396">
        <f t="shared" ref="AM335:BA335" si="454">CHOOSE($U$1,AM332,AM333,AM334)</f>
        <v>0.01</v>
      </c>
      <c r="AN335" s="396">
        <f t="shared" si="454"/>
        <v>0.02</v>
      </c>
      <c r="AO335" s="396">
        <f t="shared" si="454"/>
        <v>0.04</v>
      </c>
      <c r="AP335" s="396">
        <f t="shared" si="454"/>
        <v>0.06</v>
      </c>
      <c r="AQ335" s="396">
        <f t="shared" si="454"/>
        <v>0.08</v>
      </c>
      <c r="AR335" s="396">
        <f t="shared" si="454"/>
        <v>0.1</v>
      </c>
      <c r="AS335" s="396">
        <f t="shared" si="454"/>
        <v>0.1</v>
      </c>
      <c r="AT335" s="396">
        <f t="shared" si="454"/>
        <v>0.1</v>
      </c>
      <c r="AU335" s="396">
        <f t="shared" si="454"/>
        <v>0.1</v>
      </c>
      <c r="AV335" s="396">
        <f t="shared" si="454"/>
        <v>0.1</v>
      </c>
      <c r="AW335" s="396">
        <f t="shared" si="454"/>
        <v>1.0000000000000002E-2</v>
      </c>
      <c r="AX335" s="396">
        <f t="shared" si="454"/>
        <v>1.0000000000000002E-3</v>
      </c>
      <c r="AY335" s="396">
        <f t="shared" si="454"/>
        <v>1.0000000000000003E-4</v>
      </c>
      <c r="AZ335" s="396">
        <f t="shared" si="454"/>
        <v>1.0000000000000004E-5</v>
      </c>
      <c r="BA335" s="396">
        <f t="shared" si="454"/>
        <v>1.0000000000000004E-6</v>
      </c>
      <c r="BB335" s="694"/>
    </row>
    <row r="336" spans="1:54" s="690" customFormat="1" ht="12.75" hidden="1" customHeight="1" outlineLevel="1">
      <c r="A336" s="379"/>
      <c r="B336" s="393" t="s">
        <v>423</v>
      </c>
      <c r="C336" s="716"/>
      <c r="D336" s="716"/>
      <c r="E336" s="716"/>
      <c r="F336" s="716"/>
      <c r="G336" s="716"/>
      <c r="H336" s="716"/>
      <c r="I336" s="716"/>
      <c r="J336" s="716"/>
      <c r="K336" s="716"/>
      <c r="L336" s="716"/>
      <c r="M336" s="716"/>
      <c r="N336" s="716"/>
      <c r="O336" s="716"/>
      <c r="P336" s="716"/>
      <c r="Q336" s="716"/>
      <c r="R336" s="716"/>
      <c r="S336" s="716"/>
      <c r="T336" s="716"/>
      <c r="U336" s="716"/>
      <c r="V336" s="716"/>
      <c r="W336" s="716"/>
      <c r="X336" s="716"/>
      <c r="Y336" s="716"/>
      <c r="Z336" s="716"/>
      <c r="AA336" s="716"/>
      <c r="AB336" s="716"/>
      <c r="AC336" s="396"/>
      <c r="AD336" s="396"/>
      <c r="AE336" s="396"/>
      <c r="AF336" s="396"/>
      <c r="AG336" s="396"/>
      <c r="AH336" s="396"/>
      <c r="AI336" s="396"/>
      <c r="AJ336" s="396"/>
      <c r="AK336" s="396"/>
      <c r="AL336" s="396"/>
      <c r="AM336" s="716">
        <f>AM337*1.02</f>
        <v>0</v>
      </c>
      <c r="AN336" s="716">
        <f t="shared" ref="AN336:BA336" si="455">AN337*1.02</f>
        <v>0</v>
      </c>
      <c r="AO336" s="716">
        <f t="shared" si="455"/>
        <v>0</v>
      </c>
      <c r="AP336" s="716">
        <f t="shared" si="455"/>
        <v>2.0400000000000001E-2</v>
      </c>
      <c r="AQ336" s="716">
        <f t="shared" si="455"/>
        <v>0.10200000000000001</v>
      </c>
      <c r="AR336" s="716">
        <f t="shared" si="455"/>
        <v>0.153</v>
      </c>
      <c r="AS336" s="716">
        <f t="shared" si="455"/>
        <v>0.20400000000000001</v>
      </c>
      <c r="AT336" s="716">
        <f t="shared" si="455"/>
        <v>0.255</v>
      </c>
      <c r="AU336" s="716">
        <f t="shared" si="455"/>
        <v>0.26519999999999999</v>
      </c>
      <c r="AV336" s="716">
        <f t="shared" si="455"/>
        <v>0.27540000000000003</v>
      </c>
      <c r="AW336" s="716">
        <f t="shared" si="455"/>
        <v>0.27540000000000003</v>
      </c>
      <c r="AX336" s="716">
        <f t="shared" si="455"/>
        <v>0.27540000000000003</v>
      </c>
      <c r="AY336" s="716">
        <f t="shared" si="455"/>
        <v>0.27540000000000003</v>
      </c>
      <c r="AZ336" s="716">
        <f t="shared" si="455"/>
        <v>0.27540000000000003</v>
      </c>
      <c r="BA336" s="716">
        <f t="shared" si="455"/>
        <v>0.27540000000000003</v>
      </c>
      <c r="BB336" s="694"/>
    </row>
    <row r="337" spans="1:54" s="690" customFormat="1" ht="12.75" hidden="1" customHeight="1" outlineLevel="1">
      <c r="A337" s="379"/>
      <c r="B337" s="393" t="s">
        <v>424</v>
      </c>
      <c r="C337" s="716"/>
      <c r="D337" s="716"/>
      <c r="E337" s="716"/>
      <c r="F337" s="716"/>
      <c r="G337" s="716"/>
      <c r="H337" s="716"/>
      <c r="I337" s="716"/>
      <c r="J337" s="716"/>
      <c r="K337" s="716"/>
      <c r="L337" s="716"/>
      <c r="M337" s="716"/>
      <c r="N337" s="716"/>
      <c r="O337" s="716"/>
      <c r="P337" s="716"/>
      <c r="Q337" s="716"/>
      <c r="R337" s="716"/>
      <c r="S337" s="716"/>
      <c r="T337" s="716"/>
      <c r="U337" s="716"/>
      <c r="V337" s="716"/>
      <c r="W337" s="716"/>
      <c r="X337" s="716"/>
      <c r="Y337" s="716"/>
      <c r="Z337" s="716"/>
      <c r="AA337" s="716"/>
      <c r="AB337" s="716"/>
      <c r="AC337" s="396"/>
      <c r="AD337" s="396"/>
      <c r="AE337" s="396"/>
      <c r="AF337" s="396"/>
      <c r="AG337" s="396"/>
      <c r="AH337" s="396"/>
      <c r="AI337" s="396"/>
      <c r="AJ337" s="396"/>
      <c r="AK337" s="396"/>
      <c r="AL337" s="396"/>
      <c r="AM337" s="718">
        <v>0</v>
      </c>
      <c r="AN337" s="718">
        <v>0</v>
      </c>
      <c r="AO337" s="716">
        <v>0</v>
      </c>
      <c r="AP337" s="718">
        <v>0.02</v>
      </c>
      <c r="AQ337" s="716">
        <v>0.1</v>
      </c>
      <c r="AR337" s="716">
        <v>0.15</v>
      </c>
      <c r="AS337" s="716">
        <v>0.2</v>
      </c>
      <c r="AT337" s="716">
        <v>0.25</v>
      </c>
      <c r="AU337" s="716">
        <v>0.26</v>
      </c>
      <c r="AV337" s="716">
        <v>0.27</v>
      </c>
      <c r="AW337" s="716">
        <f>AV337</f>
        <v>0.27</v>
      </c>
      <c r="AX337" s="716">
        <f>AW337</f>
        <v>0.27</v>
      </c>
      <c r="AY337" s="716">
        <f>AX337</f>
        <v>0.27</v>
      </c>
      <c r="AZ337" s="716">
        <f>AY337</f>
        <v>0.27</v>
      </c>
      <c r="BA337" s="716">
        <f>AZ337</f>
        <v>0.27</v>
      </c>
      <c r="BB337" s="694"/>
    </row>
    <row r="338" spans="1:54" s="690" customFormat="1" ht="12.75" hidden="1" customHeight="1" outlineLevel="1">
      <c r="A338" s="379"/>
      <c r="B338" s="393" t="s">
        <v>425</v>
      </c>
      <c r="C338" s="716"/>
      <c r="D338" s="716"/>
      <c r="E338" s="716"/>
      <c r="F338" s="716"/>
      <c r="G338" s="716"/>
      <c r="H338" s="716"/>
      <c r="I338" s="716"/>
      <c r="J338" s="716"/>
      <c r="K338" s="716"/>
      <c r="L338" s="716"/>
      <c r="M338" s="716"/>
      <c r="N338" s="716"/>
      <c r="O338" s="716"/>
      <c r="P338" s="716"/>
      <c r="Q338" s="716"/>
      <c r="R338" s="716"/>
      <c r="S338" s="716"/>
      <c r="T338" s="716"/>
      <c r="U338" s="716"/>
      <c r="V338" s="716"/>
      <c r="W338" s="716"/>
      <c r="X338" s="716"/>
      <c r="Y338" s="716"/>
      <c r="Z338" s="716"/>
      <c r="AA338" s="716"/>
      <c r="AB338" s="716"/>
      <c r="AC338" s="396"/>
      <c r="AD338" s="396"/>
      <c r="AE338" s="396"/>
      <c r="AF338" s="396"/>
      <c r="AG338" s="396"/>
      <c r="AH338" s="396"/>
      <c r="AI338" s="396"/>
      <c r="AJ338" s="396"/>
      <c r="AK338" s="396"/>
      <c r="AL338" s="396"/>
      <c r="AM338" s="716">
        <f>AM337*0.8</f>
        <v>0</v>
      </c>
      <c r="AN338" s="716">
        <f t="shared" ref="AN338:BA338" si="456">AN337*0.8</f>
        <v>0</v>
      </c>
      <c r="AO338" s="716">
        <f t="shared" si="456"/>
        <v>0</v>
      </c>
      <c r="AP338" s="716">
        <f t="shared" si="456"/>
        <v>1.6E-2</v>
      </c>
      <c r="AQ338" s="716">
        <f t="shared" si="456"/>
        <v>8.0000000000000016E-2</v>
      </c>
      <c r="AR338" s="716">
        <f t="shared" si="456"/>
        <v>0.12</v>
      </c>
      <c r="AS338" s="716">
        <f t="shared" si="456"/>
        <v>0.16000000000000003</v>
      </c>
      <c r="AT338" s="716">
        <f t="shared" si="456"/>
        <v>0.2</v>
      </c>
      <c r="AU338" s="716">
        <f t="shared" si="456"/>
        <v>0.20800000000000002</v>
      </c>
      <c r="AV338" s="716">
        <f t="shared" si="456"/>
        <v>0.21600000000000003</v>
      </c>
      <c r="AW338" s="716">
        <f t="shared" si="456"/>
        <v>0.21600000000000003</v>
      </c>
      <c r="AX338" s="716">
        <f t="shared" si="456"/>
        <v>0.21600000000000003</v>
      </c>
      <c r="AY338" s="716">
        <f t="shared" si="456"/>
        <v>0.21600000000000003</v>
      </c>
      <c r="AZ338" s="716">
        <f t="shared" si="456"/>
        <v>0.21600000000000003</v>
      </c>
      <c r="BA338" s="716">
        <f t="shared" si="456"/>
        <v>0.21600000000000003</v>
      </c>
      <c r="BB338" s="694"/>
    </row>
    <row r="339" spans="1:54" s="690" customFormat="1" ht="12.75" customHeight="1" collapsed="1">
      <c r="A339" s="379" t="s">
        <v>578</v>
      </c>
      <c r="B339" s="717" t="str">
        <f>B285</f>
        <v>GS-9883/F/TAF (2033 Expiry)</v>
      </c>
      <c r="C339" s="716"/>
      <c r="D339" s="716"/>
      <c r="E339" s="716"/>
      <c r="F339" s="716"/>
      <c r="G339" s="716"/>
      <c r="H339" s="716"/>
      <c r="I339" s="716"/>
      <c r="J339" s="716"/>
      <c r="K339" s="716"/>
      <c r="L339" s="716"/>
      <c r="M339" s="716"/>
      <c r="N339" s="716"/>
      <c r="O339" s="716"/>
      <c r="P339" s="716"/>
      <c r="Q339" s="716"/>
      <c r="R339" s="716"/>
      <c r="S339" s="716"/>
      <c r="T339" s="716"/>
      <c r="U339" s="716"/>
      <c r="V339" s="716"/>
      <c r="W339" s="716"/>
      <c r="X339" s="716"/>
      <c r="Y339" s="716"/>
      <c r="Z339" s="716"/>
      <c r="AA339" s="716"/>
      <c r="AB339" s="716"/>
      <c r="AC339" s="396"/>
      <c r="AD339" s="396"/>
      <c r="AE339" s="396"/>
      <c r="AF339" s="396"/>
      <c r="AG339" s="396"/>
      <c r="AH339" s="396"/>
      <c r="AI339" s="396"/>
      <c r="AJ339" s="396"/>
      <c r="AK339" s="396"/>
      <c r="AL339" s="396"/>
      <c r="AM339" s="396">
        <f t="shared" ref="AM339:BA339" si="457">CHOOSE($U$1,AM336,AM337,AM338)</f>
        <v>0</v>
      </c>
      <c r="AN339" s="396">
        <f t="shared" si="457"/>
        <v>0</v>
      </c>
      <c r="AO339" s="396">
        <f t="shared" si="457"/>
        <v>0</v>
      </c>
      <c r="AP339" s="396">
        <f t="shared" si="457"/>
        <v>0.02</v>
      </c>
      <c r="AQ339" s="396">
        <f t="shared" si="457"/>
        <v>0.1</v>
      </c>
      <c r="AR339" s="396">
        <f t="shared" si="457"/>
        <v>0.15</v>
      </c>
      <c r="AS339" s="396">
        <f t="shared" si="457"/>
        <v>0.2</v>
      </c>
      <c r="AT339" s="396">
        <f t="shared" si="457"/>
        <v>0.25</v>
      </c>
      <c r="AU339" s="396">
        <f t="shared" si="457"/>
        <v>0.26</v>
      </c>
      <c r="AV339" s="396">
        <f t="shared" si="457"/>
        <v>0.27</v>
      </c>
      <c r="AW339" s="396">
        <f t="shared" si="457"/>
        <v>0.27</v>
      </c>
      <c r="AX339" s="396">
        <f t="shared" si="457"/>
        <v>0.27</v>
      </c>
      <c r="AY339" s="396">
        <f t="shared" si="457"/>
        <v>0.27</v>
      </c>
      <c r="AZ339" s="396">
        <f t="shared" si="457"/>
        <v>0.27</v>
      </c>
      <c r="BA339" s="396">
        <f t="shared" si="457"/>
        <v>0.27</v>
      </c>
      <c r="BB339" s="694"/>
    </row>
    <row r="340" spans="1:54" s="694" customFormat="1" ht="12.75" customHeight="1">
      <c r="A340" s="398"/>
      <c r="B340" s="697" t="s">
        <v>68</v>
      </c>
      <c r="F340" s="694">
        <v>0.11</v>
      </c>
      <c r="G340" s="694">
        <v>0.15</v>
      </c>
      <c r="H340" s="694">
        <v>2.4500000000000001E-2</v>
      </c>
      <c r="I340" s="694">
        <v>0.02</v>
      </c>
      <c r="J340" s="694">
        <v>1.4999999999999999E-2</v>
      </c>
      <c r="K340" s="694">
        <v>1.4999999999999999E-2</v>
      </c>
      <c r="L340" s="694">
        <v>8.9999999999999993E-3</v>
      </c>
      <c r="M340" s="694">
        <v>8.0000000000000002E-3</v>
      </c>
      <c r="N340" s="694">
        <v>8.0000000000000002E-3</v>
      </c>
      <c r="O340" s="694">
        <v>6.0000000000000001E-3</v>
      </c>
      <c r="P340" s="694">
        <v>6.0000000000000001E-3</v>
      </c>
      <c r="Q340" s="694">
        <v>6.0000000000000001E-3</v>
      </c>
      <c r="R340" s="694">
        <v>6.0000000000000001E-3</v>
      </c>
      <c r="S340" s="694">
        <v>6.0000000000000001E-3</v>
      </c>
      <c r="T340" s="719">
        <v>5.4999999999999997E-3</v>
      </c>
      <c r="U340" s="719">
        <v>5.4999999999999997E-3</v>
      </c>
      <c r="V340" s="719">
        <v>5.4999999999999997E-3</v>
      </c>
      <c r="W340" s="719">
        <v>5.4999999999999997E-3</v>
      </c>
      <c r="X340" s="694">
        <v>5.4999999999999997E-3</v>
      </c>
      <c r="Y340" s="719">
        <v>5.4999999999999997E-3</v>
      </c>
      <c r="Z340" s="719">
        <v>5.4999999999999997E-3</v>
      </c>
      <c r="AA340" s="719">
        <v>5.4999999999999997E-3</v>
      </c>
      <c r="AB340" s="719">
        <v>5.4999999999999997E-3</v>
      </c>
      <c r="AC340" s="694">
        <v>4.9999999999999992E-3</v>
      </c>
      <c r="AD340" s="719">
        <v>5.4999999999999997E-3</v>
      </c>
      <c r="AE340" s="719">
        <v>5.4999999999999997E-3</v>
      </c>
      <c r="AF340" s="719">
        <v>5.4999999999999997E-3</v>
      </c>
      <c r="AG340" s="719">
        <v>5.4999999999999997E-3</v>
      </c>
      <c r="AH340" s="694">
        <v>6.0000000000000001E-3</v>
      </c>
      <c r="AI340" s="719">
        <v>5.4999999999999997E-3</v>
      </c>
      <c r="AJ340" s="719">
        <v>5.4999999999999997E-3</v>
      </c>
      <c r="AK340" s="719">
        <v>5.4999999999999997E-3</v>
      </c>
      <c r="AL340" s="719">
        <v>5.4999999999999997E-3</v>
      </c>
      <c r="AM340" s="694">
        <f>AH340+0.1%</f>
        <v>7.0000000000000001E-3</v>
      </c>
      <c r="AN340" s="694">
        <f t="shared" ref="AN340:AY340" si="458">AM340+0.1%</f>
        <v>8.0000000000000002E-3</v>
      </c>
      <c r="AO340" s="694">
        <f t="shared" si="458"/>
        <v>9.0000000000000011E-3</v>
      </c>
      <c r="AP340" s="694">
        <f t="shared" si="458"/>
        <v>1.0000000000000002E-2</v>
      </c>
      <c r="AQ340" s="694">
        <f t="shared" si="458"/>
        <v>1.1000000000000003E-2</v>
      </c>
      <c r="AR340" s="694">
        <f t="shared" si="458"/>
        <v>1.2000000000000004E-2</v>
      </c>
      <c r="AS340" s="694">
        <f t="shared" si="458"/>
        <v>1.3000000000000005E-2</v>
      </c>
      <c r="AT340" s="694">
        <f t="shared" si="458"/>
        <v>1.4000000000000005E-2</v>
      </c>
      <c r="AU340" s="694">
        <f t="shared" si="458"/>
        <v>1.5000000000000006E-2</v>
      </c>
      <c r="AV340" s="694">
        <f t="shared" si="458"/>
        <v>1.6000000000000007E-2</v>
      </c>
      <c r="AW340" s="694">
        <f t="shared" si="458"/>
        <v>1.7000000000000008E-2</v>
      </c>
      <c r="AX340" s="694">
        <f t="shared" si="458"/>
        <v>1.8000000000000009E-2</v>
      </c>
      <c r="AY340" s="694">
        <f t="shared" si="458"/>
        <v>1.900000000000001E-2</v>
      </c>
      <c r="AZ340" s="719">
        <f>AY340*0.1</f>
        <v>1.9000000000000011E-3</v>
      </c>
      <c r="BA340" s="719">
        <f>AZ340*0.1</f>
        <v>1.9000000000000012E-4</v>
      </c>
    </row>
    <row r="341" spans="1:54" s="77" customFormat="1" ht="12.75" customHeight="1">
      <c r="A341" s="384"/>
      <c r="B341" s="264" t="s">
        <v>650</v>
      </c>
      <c r="C341" s="265"/>
      <c r="D341" s="265"/>
      <c r="E341" s="265"/>
      <c r="F341" s="265"/>
      <c r="G341" s="265"/>
      <c r="H341" s="265"/>
      <c r="I341" s="265">
        <f t="shared" ref="I341:AC341" si="459">I323+I319+I315+I311+I307+I327+I331+I335+I339+I340</f>
        <v>0.70000000000000007</v>
      </c>
      <c r="J341" s="265">
        <f t="shared" si="459"/>
        <v>0.61499999999999999</v>
      </c>
      <c r="K341" s="265">
        <f t="shared" si="459"/>
        <v>0.73499999999999999</v>
      </c>
      <c r="L341" s="265">
        <f t="shared" si="459"/>
        <v>0.89899999999999991</v>
      </c>
      <c r="M341" s="265">
        <f t="shared" si="459"/>
        <v>0.8580000000000001</v>
      </c>
      <c r="N341" s="265">
        <f t="shared" si="459"/>
        <v>0.91500000000000004</v>
      </c>
      <c r="O341" s="265">
        <f t="shared" si="459"/>
        <v>0.81600000000000006</v>
      </c>
      <c r="P341" s="265">
        <f t="shared" si="459"/>
        <v>0.83600000000000008</v>
      </c>
      <c r="Q341" s="265">
        <f t="shared" si="459"/>
        <v>0.84800000000000009</v>
      </c>
      <c r="R341" s="265">
        <f t="shared" si="459"/>
        <v>0.87600000000000011</v>
      </c>
      <c r="S341" s="265">
        <f t="shared" si="459"/>
        <v>0.84400000000000008</v>
      </c>
      <c r="T341" s="265">
        <f t="shared" si="459"/>
        <v>0.85550000000000004</v>
      </c>
      <c r="U341" s="265">
        <f t="shared" si="459"/>
        <v>0.83050000000000002</v>
      </c>
      <c r="V341" s="265">
        <f t="shared" si="459"/>
        <v>0.85550000000000004</v>
      </c>
      <c r="W341" s="265">
        <f t="shared" si="459"/>
        <v>0.86049999999999993</v>
      </c>
      <c r="X341" s="265">
        <f t="shared" si="459"/>
        <v>0.85050000000000003</v>
      </c>
      <c r="Y341" s="265">
        <f t="shared" si="459"/>
        <v>0.85049999999999992</v>
      </c>
      <c r="Z341" s="265">
        <f t="shared" si="459"/>
        <v>0.86550000000000005</v>
      </c>
      <c r="AA341" s="265">
        <f t="shared" si="459"/>
        <v>0.85550000000000004</v>
      </c>
      <c r="AB341" s="265">
        <f t="shared" si="459"/>
        <v>0.86550000000000005</v>
      </c>
      <c r="AC341" s="265">
        <f t="shared" si="459"/>
        <v>0.85875000000000001</v>
      </c>
      <c r="AD341" s="265"/>
      <c r="AE341" s="265"/>
      <c r="AF341" s="265"/>
      <c r="AG341" s="265"/>
      <c r="AH341" s="265">
        <f>AH323+AH319+AH315+AH311+AH307+AH327+AH331+AH335+AH339+AH340</f>
        <v>0.81974999999999998</v>
      </c>
      <c r="AI341" s="265"/>
      <c r="AJ341" s="265"/>
      <c r="AK341" s="265"/>
      <c r="AL341" s="265"/>
      <c r="AM341" s="265">
        <f t="shared" ref="AM341:BA341" si="460">AM323+AM319+AM315+AM311+AM307+AM327+AM331+AM335+AM339+AM340</f>
        <v>0.84450000000000014</v>
      </c>
      <c r="AN341" s="265">
        <f t="shared" si="460"/>
        <v>0.77550000000000019</v>
      </c>
      <c r="AO341" s="265">
        <f t="shared" si="460"/>
        <v>0.58912500000000012</v>
      </c>
      <c r="AP341" s="265">
        <f t="shared" si="460"/>
        <v>0.59793750000000001</v>
      </c>
      <c r="AQ341" s="265">
        <f t="shared" si="460"/>
        <v>0.67260625000000007</v>
      </c>
      <c r="AR341" s="265">
        <f t="shared" si="460"/>
        <v>0.68459437500000009</v>
      </c>
      <c r="AS341" s="265">
        <f t="shared" si="460"/>
        <v>0.60990406249999995</v>
      </c>
      <c r="AT341" s="265">
        <f t="shared" si="460"/>
        <v>0.62125686875000008</v>
      </c>
      <c r="AU341" s="265">
        <f t="shared" si="460"/>
        <v>0.60438769937500003</v>
      </c>
      <c r="AV341" s="265">
        <f t="shared" si="460"/>
        <v>0.59138830837500012</v>
      </c>
      <c r="AW341" s="265">
        <f t="shared" si="460"/>
        <v>0.46412987065000011</v>
      </c>
      <c r="AX341" s="265">
        <f t="shared" si="460"/>
        <v>0.43800992700875008</v>
      </c>
      <c r="AY341" s="265">
        <f t="shared" si="460"/>
        <v>0.30400153808400004</v>
      </c>
      <c r="AZ341" s="265">
        <f t="shared" si="460"/>
        <v>0.27340031742333754</v>
      </c>
      <c r="BA341" s="265">
        <f t="shared" si="460"/>
        <v>0.27034008082681504</v>
      </c>
    </row>
    <row r="342" spans="1:54" s="77" customFormat="1" ht="12.75" customHeight="1">
      <c r="A342" s="384"/>
      <c r="B342" s="182"/>
      <c r="AI342" s="694"/>
      <c r="AJ342" s="694"/>
      <c r="AK342" s="694"/>
      <c r="AL342" s="694"/>
    </row>
    <row r="343" spans="1:54" s="77" customFormat="1" ht="12.75" customHeight="1">
      <c r="A343" s="384"/>
      <c r="B343" s="400" t="s">
        <v>630</v>
      </c>
      <c r="C343" s="401"/>
      <c r="D343" s="401"/>
      <c r="E343" s="401"/>
      <c r="F343" s="401"/>
      <c r="G343" s="401"/>
      <c r="H343" s="401"/>
      <c r="I343" s="401"/>
      <c r="J343" s="401"/>
      <c r="K343" s="401"/>
      <c r="L343" s="401"/>
      <c r="M343" s="401"/>
      <c r="N343" s="401"/>
      <c r="O343" s="401"/>
      <c r="P343" s="401"/>
      <c r="Q343" s="401"/>
      <c r="R343" s="401"/>
      <c r="S343" s="401"/>
      <c r="T343" s="401"/>
      <c r="U343" s="401"/>
      <c r="V343" s="401"/>
      <c r="W343" s="401"/>
      <c r="X343" s="401"/>
      <c r="Y343" s="401"/>
      <c r="Z343" s="401"/>
      <c r="AA343" s="401"/>
      <c r="AB343" s="401"/>
      <c r="AC343" s="401"/>
      <c r="AD343" s="401"/>
      <c r="AE343" s="401"/>
      <c r="AF343" s="401"/>
      <c r="AG343" s="401"/>
      <c r="AH343" s="401"/>
      <c r="AI343" s="401"/>
      <c r="AJ343" s="401"/>
      <c r="AK343" s="401"/>
      <c r="AL343" s="401"/>
      <c r="AM343" s="401"/>
      <c r="AN343" s="401"/>
      <c r="AO343" s="401"/>
      <c r="AP343" s="401"/>
      <c r="AQ343" s="401"/>
      <c r="AR343" s="401"/>
      <c r="AS343" s="401"/>
      <c r="AT343" s="401"/>
      <c r="AU343" s="401"/>
      <c r="AV343" s="401"/>
      <c r="AW343" s="401"/>
      <c r="AX343" s="401"/>
      <c r="AY343" s="401"/>
      <c r="AZ343" s="401"/>
      <c r="BA343" s="401"/>
    </row>
    <row r="344" spans="1:54" s="77" customFormat="1" ht="12.75" customHeight="1">
      <c r="A344" s="384"/>
      <c r="B344" s="218" t="s">
        <v>63</v>
      </c>
      <c r="C344" s="12"/>
      <c r="D344" s="12">
        <f t="shared" ref="D344:AC344" si="461">D307*D303</f>
        <v>0</v>
      </c>
      <c r="E344" s="12">
        <f t="shared" si="461"/>
        <v>290.45240186948331</v>
      </c>
      <c r="F344" s="12">
        <f t="shared" si="461"/>
        <v>1432.2969182190673</v>
      </c>
      <c r="G344" s="12">
        <f t="shared" si="461"/>
        <v>11455.399999999998</v>
      </c>
      <c r="H344" s="12">
        <f t="shared" si="461"/>
        <v>13419.529200000001</v>
      </c>
      <c r="I344" s="12">
        <f t="shared" si="461"/>
        <v>8697.8429999999989</v>
      </c>
      <c r="J344" s="12">
        <f t="shared" si="461"/>
        <v>4529.3624999999984</v>
      </c>
      <c r="K344" s="12">
        <f t="shared" si="461"/>
        <v>2787.2999999999993</v>
      </c>
      <c r="L344" s="12">
        <f t="shared" si="461"/>
        <v>2094.726725</v>
      </c>
      <c r="M344" s="12">
        <f t="shared" si="461"/>
        <v>1261.1767559999998</v>
      </c>
      <c r="N344" s="12">
        <f t="shared" si="461"/>
        <v>1252.9573371110112</v>
      </c>
      <c r="O344" s="12">
        <f t="shared" si="461"/>
        <v>1251.5457321533663</v>
      </c>
      <c r="P344" s="12">
        <f t="shared" si="461"/>
        <v>1257.7723278357214</v>
      </c>
      <c r="Q344" s="12">
        <f t="shared" si="461"/>
        <v>1263.9989235180763</v>
      </c>
      <c r="R344" s="12">
        <f t="shared" si="461"/>
        <v>1270.2255192004316</v>
      </c>
      <c r="S344" s="12">
        <f t="shared" si="461"/>
        <v>1270.2255192004316</v>
      </c>
      <c r="T344" s="12">
        <f t="shared" si="461"/>
        <v>1268.7467273203695</v>
      </c>
      <c r="U344" s="12">
        <f t="shared" si="461"/>
        <v>1275.0589000931077</v>
      </c>
      <c r="V344" s="12">
        <f t="shared" si="461"/>
        <v>1281.3710728658459</v>
      </c>
      <c r="W344" s="12">
        <f t="shared" si="461"/>
        <v>1287.6832456385841</v>
      </c>
      <c r="X344" s="12">
        <f t="shared" si="461"/>
        <v>1287.6832456385841</v>
      </c>
      <c r="Y344" s="12">
        <f t="shared" si="461"/>
        <v>964.60135800089381</v>
      </c>
      <c r="Z344" s="12">
        <f t="shared" si="461"/>
        <v>969.40036973224153</v>
      </c>
      <c r="AA344" s="12">
        <f t="shared" si="461"/>
        <v>974.19938146358913</v>
      </c>
      <c r="AB344" s="12">
        <f t="shared" si="461"/>
        <v>978.99839319493685</v>
      </c>
      <c r="AC344" s="12">
        <f t="shared" si="461"/>
        <v>989.19629312405107</v>
      </c>
      <c r="AD344" s="692">
        <f t="shared" ref="AD344:AL344" si="462">AD307*AD303</f>
        <v>990.55326222686631</v>
      </c>
      <c r="AE344" s="692">
        <f t="shared" si="462"/>
        <v>998.05284698282992</v>
      </c>
      <c r="AF344" s="692">
        <f t="shared" si="462"/>
        <v>1005.5524317387935</v>
      </c>
      <c r="AG344" s="692">
        <f t="shared" si="462"/>
        <v>1013.052016494757</v>
      </c>
      <c r="AH344" s="12">
        <f t="shared" si="462"/>
        <v>1013.052016494757</v>
      </c>
      <c r="AI344" s="692">
        <f t="shared" si="462"/>
        <v>1014.3227068436541</v>
      </c>
      <c r="AJ344" s="692">
        <f t="shared" si="462"/>
        <v>1021.9234576120226</v>
      </c>
      <c r="AK344" s="692">
        <f t="shared" si="462"/>
        <v>1029.524208380391</v>
      </c>
      <c r="AL344" s="692">
        <f t="shared" si="462"/>
        <v>1037.1249591487594</v>
      </c>
      <c r="AM344" s="12">
        <f t="shared" ref="AM344:BA344" si="463">AM307*AM303</f>
        <v>1037.1249591487592</v>
      </c>
      <c r="AN344" s="12">
        <f t="shared" si="463"/>
        <v>1061.7279635779396</v>
      </c>
      <c r="AO344" s="12">
        <f t="shared" si="463"/>
        <v>163.030663504035</v>
      </c>
      <c r="AP344" s="12">
        <f t="shared" si="463"/>
        <v>83.442339220610748</v>
      </c>
      <c r="AQ344" s="12">
        <f t="shared" si="463"/>
        <v>8.5411392697135877</v>
      </c>
      <c r="AR344" s="12">
        <f t="shared" si="463"/>
        <v>0.87423274252580385</v>
      </c>
      <c r="AS344" s="12">
        <f t="shared" si="463"/>
        <v>8.9478774847378234E-2</v>
      </c>
      <c r="AT344" s="12">
        <f t="shared" si="463"/>
        <v>9.157869415505256E-3</v>
      </c>
      <c r="AU344" s="12">
        <f t="shared" si="463"/>
        <v>9.3723840367098592E-4</v>
      </c>
      <c r="AV344" s="12">
        <f t="shared" si="463"/>
        <v>9.5915029978135038E-5</v>
      </c>
      <c r="AW344" s="12">
        <f t="shared" si="463"/>
        <v>9.8153087550309721E-6</v>
      </c>
      <c r="AX344" s="12">
        <f t="shared" si="463"/>
        <v>1.0043884545590247E-6</v>
      </c>
      <c r="AY344" s="12">
        <f t="shared" si="463"/>
        <v>1.0277314359702362E-7</v>
      </c>
      <c r="AZ344" s="12">
        <f t="shared" si="463"/>
        <v>1.0515682910125891E-8</v>
      </c>
      <c r="BA344" s="12">
        <f t="shared" si="463"/>
        <v>1.0759075599206378E-9</v>
      </c>
      <c r="BB344" s="12"/>
    </row>
    <row r="345" spans="1:54" s="77" customFormat="1" ht="12.75" customHeight="1">
      <c r="A345" s="384"/>
      <c r="B345" s="218" t="s">
        <v>62</v>
      </c>
      <c r="C345" s="12"/>
      <c r="D345" s="12">
        <f t="shared" ref="D345:AC345" si="464">D311*D303</f>
        <v>0</v>
      </c>
      <c r="E345" s="12">
        <f t="shared" si="464"/>
        <v>0</v>
      </c>
      <c r="F345" s="12">
        <f t="shared" si="464"/>
        <v>0</v>
      </c>
      <c r="G345" s="12">
        <f t="shared" si="464"/>
        <v>0</v>
      </c>
      <c r="H345" s="12">
        <f t="shared" si="464"/>
        <v>9585.3780000000006</v>
      </c>
      <c r="I345" s="12">
        <f t="shared" si="464"/>
        <v>12425.489999999998</v>
      </c>
      <c r="J345" s="12">
        <f t="shared" si="464"/>
        <v>13588.087499999998</v>
      </c>
      <c r="K345" s="12">
        <f t="shared" si="464"/>
        <v>13936.499999999995</v>
      </c>
      <c r="L345" s="12">
        <f t="shared" si="464"/>
        <v>17954.800499999998</v>
      </c>
      <c r="M345" s="12">
        <f t="shared" si="464"/>
        <v>17656.474584</v>
      </c>
      <c r="N345" s="12">
        <f t="shared" si="464"/>
        <v>18324.501055248536</v>
      </c>
      <c r="O345" s="12">
        <f t="shared" si="464"/>
        <v>15644.321651917078</v>
      </c>
      <c r="P345" s="12">
        <f t="shared" si="464"/>
        <v>15722.154097946517</v>
      </c>
      <c r="Q345" s="12">
        <f t="shared" si="464"/>
        <v>14219.987889578359</v>
      </c>
      <c r="R345" s="12">
        <f t="shared" si="464"/>
        <v>13972.480711204746</v>
      </c>
      <c r="S345" s="12">
        <f t="shared" si="464"/>
        <v>15004.538945555096</v>
      </c>
      <c r="T345" s="12">
        <f t="shared" si="464"/>
        <v>12687.467273203696</v>
      </c>
      <c r="U345" s="12">
        <f t="shared" si="464"/>
        <v>11156.765375814692</v>
      </c>
      <c r="V345" s="12">
        <f t="shared" si="464"/>
        <v>11211.996887576151</v>
      </c>
      <c r="W345" s="12">
        <f t="shared" si="464"/>
        <v>11267.22839933761</v>
      </c>
      <c r="X345" s="12">
        <f t="shared" si="464"/>
        <v>11669.62941359967</v>
      </c>
      <c r="Y345" s="12">
        <f t="shared" si="464"/>
        <v>10610.614938009832</v>
      </c>
      <c r="Z345" s="12">
        <f t="shared" si="464"/>
        <v>10340.270610477244</v>
      </c>
      <c r="AA345" s="12">
        <f t="shared" si="464"/>
        <v>10391.460068944951</v>
      </c>
      <c r="AB345" s="12">
        <f t="shared" si="464"/>
        <v>9789.9839319493676</v>
      </c>
      <c r="AC345" s="12">
        <f t="shared" si="464"/>
        <v>10468.994102229541</v>
      </c>
      <c r="AD345" s="692">
        <f t="shared" ref="AD345:AL345" si="465">AD311*AD303</f>
        <v>10896.085884495531</v>
      </c>
      <c r="AE345" s="692">
        <f t="shared" si="465"/>
        <v>8982.4756228454698</v>
      </c>
      <c r="AF345" s="692">
        <f t="shared" si="465"/>
        <v>9385.1560295620729</v>
      </c>
      <c r="AG345" s="692">
        <f t="shared" si="465"/>
        <v>8442.1001374563093</v>
      </c>
      <c r="AH345" s="12">
        <f t="shared" si="465"/>
        <v>9539.5731553256301</v>
      </c>
      <c r="AI345" s="692">
        <f t="shared" si="465"/>
        <v>8790.7967926450037</v>
      </c>
      <c r="AJ345" s="692">
        <f t="shared" si="465"/>
        <v>8856.6699659708629</v>
      </c>
      <c r="AK345" s="692">
        <f t="shared" si="465"/>
        <v>0</v>
      </c>
      <c r="AL345" s="692">
        <f t="shared" si="465"/>
        <v>0</v>
      </c>
      <c r="AM345" s="12">
        <f t="shared" ref="AM345:BA345" si="466">AM311*AM303</f>
        <v>9074.8433925516438</v>
      </c>
      <c r="AN345" s="12">
        <f t="shared" si="466"/>
        <v>8582.3010389216797</v>
      </c>
      <c r="AO345" s="12">
        <f t="shared" si="466"/>
        <v>2196.385327762694</v>
      </c>
      <c r="AP345" s="12">
        <f t="shared" si="466"/>
        <v>1124.1537367221172</v>
      </c>
      <c r="AQ345" s="12">
        <f t="shared" si="466"/>
        <v>345.20437881759085</v>
      </c>
      <c r="AR345" s="12">
        <f t="shared" si="466"/>
        <v>106.00072003125372</v>
      </c>
      <c r="AS345" s="12">
        <f t="shared" si="466"/>
        <v>32.547904350733837</v>
      </c>
      <c r="AT345" s="12">
        <f t="shared" si="466"/>
        <v>9.9935249996701092</v>
      </c>
      <c r="AU345" s="12">
        <f t="shared" si="466"/>
        <v>3.0682842240178894</v>
      </c>
      <c r="AV345" s="12">
        <f t="shared" si="466"/>
        <v>0.94200548817275842</v>
      </c>
      <c r="AW345" s="12">
        <f t="shared" si="466"/>
        <v>0.28919580333104367</v>
      </c>
      <c r="AX345" s="12">
        <f t="shared" si="466"/>
        <v>8.8779150984040336E-2</v>
      </c>
      <c r="AY345" s="12">
        <f t="shared" si="466"/>
        <v>2.725273988691122E-2</v>
      </c>
      <c r="AZ345" s="12">
        <f t="shared" si="466"/>
        <v>8.3654492132669792E-3</v>
      </c>
      <c r="BA345" s="12">
        <f t="shared" si="466"/>
        <v>2.5677219808575443E-3</v>
      </c>
      <c r="BB345" s="12"/>
    </row>
    <row r="346" spans="1:54" s="77" customFormat="1" ht="12.75" customHeight="1">
      <c r="A346" s="384"/>
      <c r="B346" s="697" t="s">
        <v>61</v>
      </c>
      <c r="C346" s="12"/>
      <c r="D346" s="12"/>
      <c r="E346" s="12"/>
      <c r="F346" s="12"/>
      <c r="G346" s="12">
        <f t="shared" ref="G346:AC346" si="467">+G315*G303</f>
        <v>0</v>
      </c>
      <c r="H346" s="12">
        <f t="shared" si="467"/>
        <v>0</v>
      </c>
      <c r="I346" s="12">
        <f t="shared" si="467"/>
        <v>0</v>
      </c>
      <c r="J346" s="12">
        <f t="shared" si="467"/>
        <v>0</v>
      </c>
      <c r="K346" s="12">
        <f t="shared" si="467"/>
        <v>3344.7599999999984</v>
      </c>
      <c r="L346" s="12">
        <f t="shared" si="467"/>
        <v>6583.4268499999989</v>
      </c>
      <c r="M346" s="12">
        <f t="shared" si="467"/>
        <v>7882.3547249999983</v>
      </c>
      <c r="N346" s="12">
        <f t="shared" si="467"/>
        <v>8770.7013597770783</v>
      </c>
      <c r="O346" s="12">
        <f t="shared" si="467"/>
        <v>7509.274392920197</v>
      </c>
      <c r="P346" s="12">
        <f t="shared" si="467"/>
        <v>7232.1908850553982</v>
      </c>
      <c r="Q346" s="12">
        <f t="shared" si="467"/>
        <v>8215.9930028674971</v>
      </c>
      <c r="R346" s="12">
        <f t="shared" si="467"/>
        <v>7621.353115202588</v>
      </c>
      <c r="S346" s="12">
        <f t="shared" si="467"/>
        <v>7700.7422101526154</v>
      </c>
      <c r="T346" s="12">
        <f t="shared" si="467"/>
        <v>7295.293682092125</v>
      </c>
      <c r="U346" s="12">
        <f t="shared" si="467"/>
        <v>6375.2945004655385</v>
      </c>
      <c r="V346" s="12">
        <f t="shared" si="467"/>
        <v>6406.8553643292298</v>
      </c>
      <c r="W346" s="12">
        <f t="shared" si="467"/>
        <v>6116.4954167832739</v>
      </c>
      <c r="X346" s="12">
        <f t="shared" si="467"/>
        <v>6599.3766338977448</v>
      </c>
      <c r="Y346" s="12">
        <f t="shared" si="467"/>
        <v>5787.6081480053626</v>
      </c>
      <c r="Z346" s="12">
        <f t="shared" si="467"/>
        <v>5170.1353052386221</v>
      </c>
      <c r="AA346" s="12">
        <f t="shared" si="467"/>
        <v>5845.1962887815343</v>
      </c>
      <c r="AB346" s="12">
        <f t="shared" si="467"/>
        <v>4894.9919659746838</v>
      </c>
      <c r="AC346" s="12">
        <f t="shared" si="467"/>
        <v>5523.0126366092854</v>
      </c>
      <c r="AD346" s="692">
        <f t="shared" ref="AD346:AL346" si="468">+AD315*AD303</f>
        <v>5943.3195733611983</v>
      </c>
      <c r="AE346" s="692">
        <f t="shared" si="468"/>
        <v>4657.5799525865405</v>
      </c>
      <c r="AF346" s="692">
        <f t="shared" si="468"/>
        <v>3016.6572952163806</v>
      </c>
      <c r="AG346" s="692">
        <f t="shared" si="468"/>
        <v>3039.1560494842711</v>
      </c>
      <c r="AH346" s="12">
        <f t="shared" si="468"/>
        <v>4221.0500687281547</v>
      </c>
      <c r="AI346" s="692">
        <f t="shared" si="468"/>
        <v>0</v>
      </c>
      <c r="AJ346" s="692">
        <f t="shared" si="468"/>
        <v>0</v>
      </c>
      <c r="AK346" s="692">
        <f t="shared" si="468"/>
        <v>0</v>
      </c>
      <c r="AL346" s="692">
        <f t="shared" si="468"/>
        <v>0</v>
      </c>
      <c r="AM346" s="12">
        <f t="shared" ref="AM346:BA346" si="469">+AM315*AM303</f>
        <v>3457.0831971625312</v>
      </c>
      <c r="AN346" s="12">
        <f t="shared" si="469"/>
        <v>3185.1838907338192</v>
      </c>
      <c r="AO346" s="12">
        <f t="shared" si="469"/>
        <v>815.15331752017516</v>
      </c>
      <c r="AP346" s="12">
        <f t="shared" si="469"/>
        <v>417.21169610305378</v>
      </c>
      <c r="AQ346" s="12">
        <f t="shared" si="469"/>
        <v>128.11708904570384</v>
      </c>
      <c r="AR346" s="12">
        <f t="shared" si="469"/>
        <v>39.340473413661179</v>
      </c>
      <c r="AS346" s="12">
        <f t="shared" si="469"/>
        <v>12.079634604396063</v>
      </c>
      <c r="AT346" s="12">
        <f t="shared" si="469"/>
        <v>3.7089371132796285</v>
      </c>
      <c r="AU346" s="12">
        <f t="shared" si="469"/>
        <v>1.1387446604602478</v>
      </c>
      <c r="AV346" s="12">
        <f t="shared" si="469"/>
        <v>0.34961028427030222</v>
      </c>
      <c r="AW346" s="12">
        <f t="shared" si="469"/>
        <v>0.10733040123626365</v>
      </c>
      <c r="AX346" s="12">
        <f t="shared" si="469"/>
        <v>3.2948963251808801E-2</v>
      </c>
      <c r="AY346" s="12">
        <f t="shared" si="469"/>
        <v>1.0114418927101076E-2</v>
      </c>
      <c r="AZ346" s="12">
        <f t="shared" si="469"/>
        <v>3.1047028008001176E-3</v>
      </c>
      <c r="BA346" s="12">
        <f t="shared" si="469"/>
        <v>9.5296898258630562E-4</v>
      </c>
      <c r="BB346" s="12"/>
    </row>
    <row r="347" spans="1:54" s="77" customFormat="1" ht="12.75" customHeight="1">
      <c r="A347" s="384"/>
      <c r="B347" s="697" t="s">
        <v>455</v>
      </c>
      <c r="C347" s="12"/>
      <c r="D347" s="12"/>
      <c r="E347" s="12"/>
      <c r="F347" s="12"/>
      <c r="G347" s="12"/>
      <c r="H347" s="12"/>
      <c r="I347" s="12"/>
      <c r="J347" s="12"/>
      <c r="K347" s="12"/>
      <c r="L347" s="12">
        <f t="shared" ref="L347:AC347" si="470">L319*L303</f>
        <v>0</v>
      </c>
      <c r="M347" s="12">
        <f t="shared" si="470"/>
        <v>0</v>
      </c>
      <c r="N347" s="12">
        <f t="shared" si="470"/>
        <v>62.647866855550561</v>
      </c>
      <c r="O347" s="12">
        <f t="shared" si="470"/>
        <v>938.65929911502462</v>
      </c>
      <c r="P347" s="12">
        <f t="shared" si="470"/>
        <v>1886.658491753582</v>
      </c>
      <c r="Q347" s="12">
        <f t="shared" si="470"/>
        <v>2843.9975779156716</v>
      </c>
      <c r="R347" s="12">
        <f t="shared" si="470"/>
        <v>4445.7893172015101</v>
      </c>
      <c r="S347" s="12">
        <f t="shared" si="470"/>
        <v>2540.4510384008631</v>
      </c>
      <c r="T347" s="12">
        <f t="shared" si="470"/>
        <v>5074.9869092814779</v>
      </c>
      <c r="U347" s="12">
        <f t="shared" si="470"/>
        <v>6375.2945004655385</v>
      </c>
      <c r="V347" s="12">
        <f t="shared" si="470"/>
        <v>6727.1981325456909</v>
      </c>
      <c r="W347" s="12">
        <f t="shared" si="470"/>
        <v>6438.4162281929202</v>
      </c>
      <c r="X347" s="12">
        <f t="shared" si="470"/>
        <v>6196.9756196356866</v>
      </c>
      <c r="Y347" s="12">
        <f t="shared" si="470"/>
        <v>8038.3446500074488</v>
      </c>
      <c r="Z347" s="12">
        <f t="shared" si="470"/>
        <v>8401.4698710127614</v>
      </c>
      <c r="AA347" s="12">
        <f t="shared" si="470"/>
        <v>7468.861924554184</v>
      </c>
      <c r="AB347" s="12">
        <f t="shared" si="470"/>
        <v>7505.65434782785</v>
      </c>
      <c r="AC347" s="12">
        <f t="shared" si="470"/>
        <v>7996.0033694194126</v>
      </c>
      <c r="AD347" s="692">
        <f t="shared" ref="AD347:AL347" si="471">AD319*AD303</f>
        <v>8254.6105185572196</v>
      </c>
      <c r="AE347" s="692">
        <f t="shared" si="471"/>
        <v>6986.3699288798098</v>
      </c>
      <c r="AF347" s="692">
        <f t="shared" si="471"/>
        <v>6368.4987343456924</v>
      </c>
      <c r="AG347" s="692">
        <f t="shared" si="471"/>
        <v>5402.9440879720378</v>
      </c>
      <c r="AH347" s="12">
        <f t="shared" si="471"/>
        <v>6838.1011113396098</v>
      </c>
      <c r="AI347" s="692">
        <f t="shared" si="471"/>
        <v>5071.6135342182706</v>
      </c>
      <c r="AJ347" s="692">
        <f t="shared" si="471"/>
        <v>5109.6172880601134</v>
      </c>
      <c r="AK347" s="692">
        <f t="shared" si="471"/>
        <v>0</v>
      </c>
      <c r="AL347" s="692">
        <f t="shared" si="471"/>
        <v>0</v>
      </c>
      <c r="AM347" s="12">
        <f t="shared" ref="AM347:BA347" si="472">AM319*AM303</f>
        <v>6395.6039147506826</v>
      </c>
      <c r="AN347" s="12">
        <f t="shared" si="472"/>
        <v>5308.639817889698</v>
      </c>
      <c r="AO347" s="12">
        <f t="shared" si="472"/>
        <v>5162.6376776277748</v>
      </c>
      <c r="AP347" s="12">
        <f t="shared" si="472"/>
        <v>4491.9792613762111</v>
      </c>
      <c r="AQ347" s="12">
        <f t="shared" si="472"/>
        <v>4138.1819761762326</v>
      </c>
      <c r="AR347" s="12">
        <f t="shared" si="472"/>
        <v>3812.0918737837669</v>
      </c>
      <c r="AS347" s="12">
        <f t="shared" si="472"/>
        <v>390.17219772199275</v>
      </c>
      <c r="AT347" s="12">
        <f t="shared" si="472"/>
        <v>39.932889586310658</v>
      </c>
      <c r="AU347" s="12">
        <f t="shared" si="472"/>
        <v>4.0868280592073329</v>
      </c>
      <c r="AV347" s="12">
        <f t="shared" si="472"/>
        <v>0.41823748821965778</v>
      </c>
      <c r="AW347" s="12">
        <f t="shared" si="472"/>
        <v>4.2799653826312546E-2</v>
      </c>
      <c r="AX347" s="12">
        <f t="shared" si="472"/>
        <v>4.3796358561046262E-3</v>
      </c>
      <c r="AY347" s="12">
        <f t="shared" si="472"/>
        <v>4.4814229265482139E-4</v>
      </c>
      <c r="AZ347" s="12">
        <f t="shared" si="472"/>
        <v>4.5853635329603938E-5</v>
      </c>
      <c r="BA347" s="12">
        <f t="shared" si="472"/>
        <v>4.6914949150339399E-6</v>
      </c>
      <c r="BB347" s="12"/>
    </row>
    <row r="348" spans="1:54" s="77" customFormat="1" ht="12.75" customHeight="1">
      <c r="A348" s="384"/>
      <c r="B348" s="697" t="s">
        <v>66</v>
      </c>
      <c r="C348" s="12"/>
      <c r="D348" s="12"/>
      <c r="E348" s="12"/>
      <c r="F348" s="12"/>
      <c r="G348" s="12"/>
      <c r="H348" s="12"/>
      <c r="I348" s="12"/>
      <c r="J348" s="12"/>
      <c r="K348" s="12"/>
      <c r="L348" s="12"/>
      <c r="M348" s="12">
        <f t="shared" ref="M348:AC348" si="473">M323*M303</f>
        <v>0</v>
      </c>
      <c r="N348" s="12">
        <f t="shared" si="473"/>
        <v>0</v>
      </c>
      <c r="O348" s="12">
        <f t="shared" si="473"/>
        <v>0</v>
      </c>
      <c r="P348" s="12">
        <f t="shared" si="473"/>
        <v>0</v>
      </c>
      <c r="Q348" s="12">
        <f t="shared" si="473"/>
        <v>63.199946175903818</v>
      </c>
      <c r="R348" s="12">
        <f t="shared" si="473"/>
        <v>317.55637980010789</v>
      </c>
      <c r="S348" s="12">
        <f t="shared" si="473"/>
        <v>95.266913940032367</v>
      </c>
      <c r="T348" s="12">
        <f t="shared" si="473"/>
        <v>634.37336366018474</v>
      </c>
      <c r="U348" s="12">
        <f t="shared" si="473"/>
        <v>1115.6765375814693</v>
      </c>
      <c r="V348" s="12">
        <f t="shared" si="473"/>
        <v>1601.7138410823075</v>
      </c>
      <c r="W348" s="12">
        <f t="shared" si="473"/>
        <v>2414.4060855723451</v>
      </c>
      <c r="X348" s="12">
        <f t="shared" si="473"/>
        <v>1448.6436513434071</v>
      </c>
      <c r="Y348" s="12">
        <f t="shared" si="473"/>
        <v>1768.4358230016387</v>
      </c>
      <c r="Z348" s="12">
        <f t="shared" si="473"/>
        <v>2908.2011091967247</v>
      </c>
      <c r="AA348" s="12">
        <f t="shared" si="473"/>
        <v>2922.5981443907672</v>
      </c>
      <c r="AB348" s="12">
        <f t="shared" si="473"/>
        <v>4894.9919659746838</v>
      </c>
      <c r="AC348" s="12">
        <f t="shared" si="473"/>
        <v>3173.6714404396639</v>
      </c>
      <c r="AD348" s="692">
        <f t="shared" ref="AD348:AL348" si="474">AD323*AD303</f>
        <v>5117.8585215054763</v>
      </c>
      <c r="AE348" s="692">
        <f t="shared" si="474"/>
        <v>5322.9485172417599</v>
      </c>
      <c r="AF348" s="692">
        <f t="shared" si="474"/>
        <v>6033.3145904327612</v>
      </c>
      <c r="AG348" s="692">
        <f t="shared" si="474"/>
        <v>6753.6801099650474</v>
      </c>
      <c r="AH348" s="12">
        <f t="shared" si="474"/>
        <v>5867.2595955321358</v>
      </c>
      <c r="AI348" s="692">
        <f t="shared" si="474"/>
        <v>6424.0438100098099</v>
      </c>
      <c r="AJ348" s="692">
        <f t="shared" si="474"/>
        <v>6472.1818982094774</v>
      </c>
      <c r="AK348" s="692">
        <f t="shared" si="474"/>
        <v>0</v>
      </c>
      <c r="AL348" s="692">
        <f t="shared" si="474"/>
        <v>0</v>
      </c>
      <c r="AM348" s="12">
        <f t="shared" ref="AM348:BA348" si="475">AM323*AM303</f>
        <v>8642.7079929063275</v>
      </c>
      <c r="AN348" s="12">
        <f t="shared" si="475"/>
        <v>5308.639817889698</v>
      </c>
      <c r="AO348" s="12">
        <f t="shared" si="475"/>
        <v>362.29036334230005</v>
      </c>
      <c r="AP348" s="12">
        <f t="shared" si="475"/>
        <v>296.68387278439377</v>
      </c>
      <c r="AQ348" s="12">
        <f t="shared" si="475"/>
        <v>242.94796144963095</v>
      </c>
      <c r="AR348" s="12">
        <f t="shared" si="475"/>
        <v>198.93651741031627</v>
      </c>
      <c r="AS348" s="12">
        <f t="shared" si="475"/>
        <v>162.89113856660504</v>
      </c>
      <c r="AT348" s="12">
        <f t="shared" si="475"/>
        <v>166.71392500404235</v>
      </c>
      <c r="AU348" s="12">
        <f t="shared" si="475"/>
        <v>170.6190445082826</v>
      </c>
      <c r="AV348" s="12">
        <f t="shared" si="475"/>
        <v>174.60798346241828</v>
      </c>
      <c r="AW348" s="12">
        <f t="shared" si="475"/>
        <v>178.68224293603049</v>
      </c>
      <c r="AX348" s="12">
        <f t="shared" si="475"/>
        <v>182.84333821661178</v>
      </c>
      <c r="AY348" s="12">
        <f t="shared" si="475"/>
        <v>18.709279829929276</v>
      </c>
      <c r="AZ348" s="12">
        <f t="shared" si="475"/>
        <v>1.9143216533278067</v>
      </c>
      <c r="BA348" s="12">
        <f t="shared" si="475"/>
        <v>0.19586299401933033</v>
      </c>
      <c r="BB348" s="12"/>
    </row>
    <row r="349" spans="1:54" s="694" customFormat="1" ht="12.75" customHeight="1">
      <c r="A349" s="384"/>
      <c r="B349" s="247" t="s">
        <v>842</v>
      </c>
      <c r="C349" s="696"/>
      <c r="D349" s="696"/>
      <c r="E349" s="696"/>
      <c r="F349" s="696"/>
      <c r="G349" s="696"/>
      <c r="H349" s="696"/>
      <c r="I349" s="696"/>
      <c r="J349" s="696"/>
      <c r="K349" s="696"/>
      <c r="L349" s="696"/>
      <c r="M349" s="696"/>
      <c r="N349" s="696"/>
      <c r="O349" s="696"/>
      <c r="P349" s="696"/>
      <c r="Q349" s="385"/>
      <c r="R349" s="696"/>
      <c r="S349" s="696"/>
      <c r="T349" s="696"/>
      <c r="U349" s="696"/>
      <c r="V349" s="696"/>
      <c r="W349" s="696"/>
      <c r="X349" s="696"/>
      <c r="Y349" s="696"/>
      <c r="Z349" s="696"/>
      <c r="AA349" s="696"/>
      <c r="AB349" s="696"/>
      <c r="AC349" s="696"/>
      <c r="AD349" s="696"/>
      <c r="AE349" s="696"/>
      <c r="AF349" s="696"/>
      <c r="AG349" s="696"/>
      <c r="AH349" s="696"/>
      <c r="AI349" s="696"/>
      <c r="AJ349" s="696"/>
      <c r="AK349" s="696"/>
      <c r="AL349" s="696"/>
      <c r="AM349" s="696">
        <f t="shared" ref="AM349:BA349" si="476">AM303*AM327</f>
        <v>0</v>
      </c>
      <c r="AN349" s="696">
        <f t="shared" si="476"/>
        <v>1769.5466059632327</v>
      </c>
      <c r="AO349" s="696">
        <f t="shared" si="476"/>
        <v>9057.2590835575011</v>
      </c>
      <c r="AP349" s="696">
        <f t="shared" si="476"/>
        <v>10198.508126963538</v>
      </c>
      <c r="AQ349" s="696">
        <f t="shared" si="476"/>
        <v>11483.087240392713</v>
      </c>
      <c r="AR349" s="696">
        <f t="shared" si="476"/>
        <v>10578.216184562229</v>
      </c>
      <c r="AS349" s="696">
        <f t="shared" si="476"/>
        <v>9744.2385808794916</v>
      </c>
      <c r="AT349" s="696">
        <f t="shared" si="476"/>
        <v>8975.627814136702</v>
      </c>
      <c r="AU349" s="696">
        <f t="shared" si="476"/>
        <v>8267.2862349414008</v>
      </c>
      <c r="AV349" s="696">
        <f t="shared" si="476"/>
        <v>7614.5119914071838</v>
      </c>
      <c r="AW349" s="696">
        <f t="shared" si="476"/>
        <v>7012.9684167774694</v>
      </c>
      <c r="AX349" s="696">
        <f t="shared" si="476"/>
        <v>6458.6557766195629</v>
      </c>
      <c r="AY349" s="696">
        <f t="shared" si="476"/>
        <v>660.87613269678457</v>
      </c>
      <c r="AZ349" s="696">
        <f t="shared" si="476"/>
        <v>67.620427001426592</v>
      </c>
      <c r="BA349" s="696">
        <f t="shared" si="476"/>
        <v>6.9185548135765815</v>
      </c>
      <c r="BB349" s="692"/>
    </row>
    <row r="350" spans="1:54" s="694" customFormat="1" ht="12.75" customHeight="1">
      <c r="A350" s="384"/>
      <c r="B350" s="247" t="str">
        <f>B331</f>
        <v>Odefsey (2025 Expiry)</v>
      </c>
      <c r="C350" s="696"/>
      <c r="D350" s="696"/>
      <c r="E350" s="696"/>
      <c r="F350" s="696"/>
      <c r="G350" s="696"/>
      <c r="H350" s="696"/>
      <c r="I350" s="696"/>
      <c r="J350" s="696"/>
      <c r="K350" s="696"/>
      <c r="L350" s="696"/>
      <c r="M350" s="696"/>
      <c r="N350" s="696"/>
      <c r="O350" s="696"/>
      <c r="P350" s="696"/>
      <c r="Q350" s="385"/>
      <c r="R350" s="696"/>
      <c r="S350" s="696"/>
      <c r="T350" s="696"/>
      <c r="U350" s="696"/>
      <c r="V350" s="696"/>
      <c r="W350" s="696"/>
      <c r="X350" s="696"/>
      <c r="Y350" s="696"/>
      <c r="Z350" s="696"/>
      <c r="AA350" s="696"/>
      <c r="AB350" s="696"/>
      <c r="AC350" s="696"/>
      <c r="AD350" s="696"/>
      <c r="AE350" s="696"/>
      <c r="AF350" s="696"/>
      <c r="AG350" s="696"/>
      <c r="AH350" s="696"/>
      <c r="AI350" s="696"/>
      <c r="AJ350" s="696"/>
      <c r="AK350" s="696"/>
      <c r="AL350" s="696"/>
      <c r="AM350" s="696">
        <f t="shared" ref="AM350:BA350" si="477">AM303*AM331</f>
        <v>0</v>
      </c>
      <c r="AN350" s="696">
        <f t="shared" si="477"/>
        <v>1238.6826241742631</v>
      </c>
      <c r="AO350" s="696">
        <f t="shared" si="477"/>
        <v>1811.4518167115002</v>
      </c>
      <c r="AP350" s="696">
        <f t="shared" si="477"/>
        <v>2225.1290458829531</v>
      </c>
      <c r="AQ350" s="696">
        <f t="shared" si="477"/>
        <v>1935.9915678017464</v>
      </c>
      <c r="AR350" s="696">
        <f t="shared" si="477"/>
        <v>1684.3550839330485</v>
      </c>
      <c r="AS350" s="696">
        <f t="shared" si="477"/>
        <v>1465.3640694172307</v>
      </c>
      <c r="AT350" s="696">
        <f t="shared" si="477"/>
        <v>1274.7906857540236</v>
      </c>
      <c r="AU350" s="696">
        <f t="shared" si="477"/>
        <v>1108.953756767562</v>
      </c>
      <c r="AV350" s="696">
        <f t="shared" si="477"/>
        <v>964.64818926429245</v>
      </c>
      <c r="AW350" s="696">
        <f t="shared" si="477"/>
        <v>98.715705137860027</v>
      </c>
      <c r="AX350" s="696">
        <f t="shared" si="477"/>
        <v>10.101456510300755</v>
      </c>
      <c r="AY350" s="696">
        <f t="shared" si="477"/>
        <v>1.0336224353833603</v>
      </c>
      <c r="AZ350" s="696">
        <f t="shared" si="477"/>
        <v>0.10575959242720183</v>
      </c>
      <c r="BA350" s="696">
        <f t="shared" si="477"/>
        <v>1.082074706883584E-2</v>
      </c>
      <c r="BB350" s="692"/>
    </row>
    <row r="351" spans="1:54" s="694" customFormat="1" ht="12.75" customHeight="1">
      <c r="A351" s="384"/>
      <c r="B351" s="247" t="str">
        <f>B335</f>
        <v>Descovy (2025 Expiry)</v>
      </c>
      <c r="C351" s="696"/>
      <c r="D351" s="696"/>
      <c r="E351" s="696"/>
      <c r="F351" s="696"/>
      <c r="G351" s="696"/>
      <c r="H351" s="696"/>
      <c r="I351" s="696"/>
      <c r="J351" s="696"/>
      <c r="K351" s="696"/>
      <c r="L351" s="696"/>
      <c r="M351" s="696"/>
      <c r="N351" s="696"/>
      <c r="O351" s="696"/>
      <c r="P351" s="696"/>
      <c r="Q351" s="385"/>
      <c r="R351" s="696"/>
      <c r="S351" s="696"/>
      <c r="T351" s="696"/>
      <c r="U351" s="696"/>
      <c r="V351" s="696"/>
      <c r="W351" s="696"/>
      <c r="X351" s="696"/>
      <c r="Y351" s="696"/>
      <c r="Z351" s="696"/>
      <c r="AA351" s="696"/>
      <c r="AB351" s="696"/>
      <c r="AC351" s="696"/>
      <c r="AD351" s="696"/>
      <c r="AE351" s="696"/>
      <c r="AF351" s="696"/>
      <c r="AG351" s="696"/>
      <c r="AH351" s="696"/>
      <c r="AI351" s="696"/>
      <c r="AJ351" s="696"/>
      <c r="AK351" s="696"/>
      <c r="AL351" s="696"/>
      <c r="AM351" s="696">
        <f t="shared" ref="AM351:BA351" si="478">AM303*AM335</f>
        <v>345.70831971625313</v>
      </c>
      <c r="AN351" s="696">
        <f t="shared" si="478"/>
        <v>707.81864238529306</v>
      </c>
      <c r="AO351" s="696">
        <f t="shared" si="478"/>
        <v>1449.1614533692002</v>
      </c>
      <c r="AP351" s="696">
        <f t="shared" si="478"/>
        <v>2225.1290458829531</v>
      </c>
      <c r="AQ351" s="696">
        <f t="shared" si="478"/>
        <v>3036.8495181203866</v>
      </c>
      <c r="AR351" s="696">
        <f t="shared" si="478"/>
        <v>3885.4788556702392</v>
      </c>
      <c r="AS351" s="696">
        <f t="shared" si="478"/>
        <v>3976.8344376612549</v>
      </c>
      <c r="AT351" s="696">
        <f t="shared" si="478"/>
        <v>4070.1641846690022</v>
      </c>
      <c r="AU351" s="696">
        <f t="shared" si="478"/>
        <v>4165.5040163154927</v>
      </c>
      <c r="AV351" s="696">
        <f t="shared" si="478"/>
        <v>4262.8902212504463</v>
      </c>
      <c r="AW351" s="696">
        <f t="shared" si="478"/>
        <v>436.23594466804315</v>
      </c>
      <c r="AX351" s="696">
        <f t="shared" si="478"/>
        <v>44.639486869289989</v>
      </c>
      <c r="AY351" s="696">
        <f t="shared" si="478"/>
        <v>4.5676952709788274</v>
      </c>
      <c r="AZ351" s="696">
        <f t="shared" si="478"/>
        <v>0.4673636848944841</v>
      </c>
      <c r="BA351" s="696">
        <f t="shared" si="478"/>
        <v>4.7818113774250562E-2</v>
      </c>
      <c r="BB351" s="692"/>
    </row>
    <row r="352" spans="1:54" s="694" customFormat="1" ht="12.75" customHeight="1">
      <c r="A352" s="384"/>
      <c r="B352" s="247" t="s">
        <v>865</v>
      </c>
      <c r="C352" s="696"/>
      <c r="D352" s="696"/>
      <c r="E352" s="696"/>
      <c r="F352" s="696"/>
      <c r="G352" s="696"/>
      <c r="H352" s="696"/>
      <c r="I352" s="696"/>
      <c r="J352" s="696"/>
      <c r="K352" s="696"/>
      <c r="L352" s="696"/>
      <c r="M352" s="696"/>
      <c r="N352" s="696"/>
      <c r="O352" s="696"/>
      <c r="P352" s="696"/>
      <c r="Q352" s="385"/>
      <c r="R352" s="696"/>
      <c r="S352" s="696"/>
      <c r="T352" s="696"/>
      <c r="U352" s="696"/>
      <c r="V352" s="696"/>
      <c r="W352" s="696"/>
      <c r="X352" s="696"/>
      <c r="Y352" s="696"/>
      <c r="Z352" s="696"/>
      <c r="AA352" s="696"/>
      <c r="AB352" s="696"/>
      <c r="AC352" s="696"/>
      <c r="AD352" s="696"/>
      <c r="AE352" s="696"/>
      <c r="AF352" s="696"/>
      <c r="AG352" s="696"/>
      <c r="AH352" s="696"/>
      <c r="AI352" s="696"/>
      <c r="AJ352" s="696"/>
      <c r="AK352" s="696"/>
      <c r="AL352" s="696"/>
      <c r="AM352" s="696">
        <f t="shared" ref="AM352:BA352" si="479">AM303*AM339</f>
        <v>0</v>
      </c>
      <c r="AN352" s="696">
        <f t="shared" si="479"/>
        <v>0</v>
      </c>
      <c r="AO352" s="696">
        <f t="shared" si="479"/>
        <v>0</v>
      </c>
      <c r="AP352" s="696">
        <f t="shared" si="479"/>
        <v>741.70968196098443</v>
      </c>
      <c r="AQ352" s="696">
        <f t="shared" si="479"/>
        <v>3796.0618976504834</v>
      </c>
      <c r="AR352" s="696">
        <f t="shared" si="479"/>
        <v>5828.2182835053582</v>
      </c>
      <c r="AS352" s="696">
        <f t="shared" si="479"/>
        <v>7953.6688753225098</v>
      </c>
      <c r="AT352" s="696">
        <f t="shared" si="479"/>
        <v>10175.410461672505</v>
      </c>
      <c r="AU352" s="696">
        <f t="shared" si="479"/>
        <v>10830.310442420281</v>
      </c>
      <c r="AV352" s="696">
        <f t="shared" si="479"/>
        <v>11509.803597376203</v>
      </c>
      <c r="AW352" s="696">
        <f t="shared" si="479"/>
        <v>11778.370506037165</v>
      </c>
      <c r="AX352" s="696">
        <f t="shared" si="479"/>
        <v>12052.661454708294</v>
      </c>
      <c r="AY352" s="696">
        <f t="shared" si="479"/>
        <v>12332.777231642831</v>
      </c>
      <c r="AZ352" s="696">
        <f t="shared" si="479"/>
        <v>12618.819492151066</v>
      </c>
      <c r="BA352" s="696">
        <f t="shared" si="479"/>
        <v>12910.890719047648</v>
      </c>
      <c r="BB352" s="692"/>
    </row>
    <row r="353" spans="1:56" s="694" customFormat="1" ht="12.75" customHeight="1">
      <c r="A353" s="384"/>
      <c r="B353" s="247" t="s">
        <v>68</v>
      </c>
      <c r="C353" s="696"/>
      <c r="D353" s="696"/>
      <c r="E353" s="696">
        <f t="shared" ref="E353:L353" si="480">E340*E303</f>
        <v>0</v>
      </c>
      <c r="F353" s="696">
        <f t="shared" si="480"/>
        <v>3151.053220081948</v>
      </c>
      <c r="G353" s="696">
        <f t="shared" si="480"/>
        <v>4295.7749999999987</v>
      </c>
      <c r="H353" s="696">
        <f t="shared" si="480"/>
        <v>939.36704400000008</v>
      </c>
      <c r="I353" s="696">
        <f t="shared" si="480"/>
        <v>621.27449999999988</v>
      </c>
      <c r="J353" s="696">
        <f t="shared" si="480"/>
        <v>452.93624999999986</v>
      </c>
      <c r="K353" s="696">
        <f t="shared" si="480"/>
        <v>418.0949999999998</v>
      </c>
      <c r="L353" s="696">
        <f t="shared" si="480"/>
        <v>269.32200749999993</v>
      </c>
      <c r="M353" s="692">
        <f>M340*M303</f>
        <v>252.23535119999994</v>
      </c>
      <c r="N353" s="696">
        <f t="shared" ref="N353:BA353" si="481">N340*N303</f>
        <v>250.59146742220224</v>
      </c>
      <c r="O353" s="696">
        <f t="shared" si="481"/>
        <v>187.73185982300495</v>
      </c>
      <c r="P353" s="696">
        <f t="shared" si="481"/>
        <v>188.6658491753582</v>
      </c>
      <c r="Q353" s="696">
        <f t="shared" si="481"/>
        <v>189.59983852771146</v>
      </c>
      <c r="R353" s="696">
        <f t="shared" si="481"/>
        <v>190.53382788006473</v>
      </c>
      <c r="S353" s="696">
        <f t="shared" si="481"/>
        <v>190.53382788006473</v>
      </c>
      <c r="T353" s="696">
        <f t="shared" si="481"/>
        <v>174.45267500655081</v>
      </c>
      <c r="U353" s="696">
        <f t="shared" si="481"/>
        <v>175.32059876280229</v>
      </c>
      <c r="V353" s="696">
        <f t="shared" si="481"/>
        <v>176.18852251905381</v>
      </c>
      <c r="W353" s="696">
        <f t="shared" si="481"/>
        <v>177.05644627530529</v>
      </c>
      <c r="X353" s="696">
        <f t="shared" si="481"/>
        <v>177.05644627530532</v>
      </c>
      <c r="Y353" s="696">
        <f t="shared" si="481"/>
        <v>176.84358230016386</v>
      </c>
      <c r="Z353" s="696">
        <f t="shared" si="481"/>
        <v>177.72340111757762</v>
      </c>
      <c r="AA353" s="696">
        <f t="shared" si="481"/>
        <v>178.60321993499133</v>
      </c>
      <c r="AB353" s="696">
        <f t="shared" si="481"/>
        <v>179.48303875240509</v>
      </c>
      <c r="AC353" s="696">
        <f t="shared" si="481"/>
        <v>164.86604885400848</v>
      </c>
      <c r="AD353" s="696">
        <f t="shared" si="481"/>
        <v>181.60143140825883</v>
      </c>
      <c r="AE353" s="696">
        <f t="shared" si="481"/>
        <v>182.97635528018549</v>
      </c>
      <c r="AF353" s="696">
        <f t="shared" si="481"/>
        <v>184.35127915211214</v>
      </c>
      <c r="AG353" s="696">
        <f t="shared" si="481"/>
        <v>185.7262030240388</v>
      </c>
      <c r="AH353" s="696">
        <f t="shared" si="481"/>
        <v>202.61040329895144</v>
      </c>
      <c r="AI353" s="696">
        <f t="shared" ref="AI353:AL353" si="482">AI340*AI303</f>
        <v>185.9591629213366</v>
      </c>
      <c r="AJ353" s="696">
        <f t="shared" si="482"/>
        <v>187.35263389553748</v>
      </c>
      <c r="AK353" s="696">
        <f t="shared" si="482"/>
        <v>188.74610486973833</v>
      </c>
      <c r="AL353" s="696">
        <f t="shared" si="482"/>
        <v>190.13957584393924</v>
      </c>
      <c r="AM353" s="696">
        <f t="shared" si="481"/>
        <v>241.99582380137718</v>
      </c>
      <c r="AN353" s="696">
        <f t="shared" si="481"/>
        <v>283.12745695411724</v>
      </c>
      <c r="AO353" s="696">
        <f t="shared" si="481"/>
        <v>326.06132700807007</v>
      </c>
      <c r="AP353" s="696">
        <f t="shared" si="481"/>
        <v>370.85484098049233</v>
      </c>
      <c r="AQ353" s="696">
        <f t="shared" si="481"/>
        <v>417.56680874155325</v>
      </c>
      <c r="AR353" s="696">
        <f t="shared" si="481"/>
        <v>466.25746268042883</v>
      </c>
      <c r="AS353" s="696">
        <f t="shared" si="481"/>
        <v>516.98847689596334</v>
      </c>
      <c r="AT353" s="696">
        <f t="shared" si="481"/>
        <v>569.8229858536605</v>
      </c>
      <c r="AU353" s="696">
        <f t="shared" si="481"/>
        <v>624.82560244732417</v>
      </c>
      <c r="AV353" s="696">
        <f t="shared" si="481"/>
        <v>682.06243540007165</v>
      </c>
      <c r="AW353" s="696">
        <f t="shared" si="481"/>
        <v>741.60110593567356</v>
      </c>
      <c r="AX353" s="696">
        <f t="shared" si="481"/>
        <v>803.51076364721996</v>
      </c>
      <c r="AY353" s="696">
        <f t="shared" si="481"/>
        <v>867.8621014859774</v>
      </c>
      <c r="AZ353" s="696">
        <f t="shared" si="481"/>
        <v>88.799100129951995</v>
      </c>
      <c r="BA353" s="696">
        <f t="shared" si="481"/>
        <v>9.0854416171076089</v>
      </c>
      <c r="BB353" s="692"/>
    </row>
    <row r="354" spans="1:56" s="13" customFormat="1" ht="12.75" customHeight="1">
      <c r="A354" s="437"/>
      <c r="B354" s="227" t="s">
        <v>658</v>
      </c>
      <c r="C354" s="271"/>
      <c r="D354" s="709">
        <f>SUM(D344:D353)</f>
        <v>0</v>
      </c>
      <c r="E354" s="709">
        <f t="shared" ref="E354:X354" si="483">SUM(E344:E353)</f>
        <v>290.45240186948331</v>
      </c>
      <c r="F354" s="709">
        <f t="shared" si="483"/>
        <v>4583.3501383010152</v>
      </c>
      <c r="G354" s="709">
        <f t="shared" si="483"/>
        <v>15751.174999999996</v>
      </c>
      <c r="H354" s="709">
        <f t="shared" si="483"/>
        <v>23944.274244</v>
      </c>
      <c r="I354" s="709">
        <f t="shared" si="483"/>
        <v>21744.607499999998</v>
      </c>
      <c r="J354" s="709">
        <f t="shared" si="483"/>
        <v>18570.386249999996</v>
      </c>
      <c r="K354" s="709">
        <f t="shared" si="483"/>
        <v>20486.654999999995</v>
      </c>
      <c r="L354" s="709">
        <f t="shared" si="483"/>
        <v>26902.276082499997</v>
      </c>
      <c r="M354" s="709">
        <f t="shared" si="483"/>
        <v>27052.241416199999</v>
      </c>
      <c r="N354" s="709">
        <f t="shared" si="483"/>
        <v>28661.399086414382</v>
      </c>
      <c r="O354" s="709">
        <f t="shared" si="483"/>
        <v>25531.53293592867</v>
      </c>
      <c r="P354" s="709">
        <f t="shared" si="483"/>
        <v>26287.441651766578</v>
      </c>
      <c r="Q354" s="709">
        <f t="shared" si="483"/>
        <v>26796.777178583219</v>
      </c>
      <c r="R354" s="709">
        <f t="shared" si="483"/>
        <v>27817.938870489452</v>
      </c>
      <c r="S354" s="709">
        <f t="shared" si="483"/>
        <v>26801.758455129107</v>
      </c>
      <c r="T354" s="709">
        <f t="shared" si="483"/>
        <v>27135.320630564405</v>
      </c>
      <c r="U354" s="709">
        <f t="shared" si="483"/>
        <v>26473.410413183145</v>
      </c>
      <c r="V354" s="709">
        <f t="shared" si="483"/>
        <v>27405.323820918278</v>
      </c>
      <c r="W354" s="709">
        <f t="shared" si="483"/>
        <v>27701.285821800037</v>
      </c>
      <c r="X354" s="709">
        <f t="shared" si="483"/>
        <v>27379.365010390396</v>
      </c>
      <c r="Y354" s="709">
        <f>SUM(Y344:Y353)</f>
        <v>27346.448499325343</v>
      </c>
      <c r="Z354" s="709">
        <f>SUM(Z344:Z353)</f>
        <v>27967.200666775178</v>
      </c>
      <c r="AA354" s="709">
        <f>SUM(AA344:AA353)</f>
        <v>27780.919028070017</v>
      </c>
      <c r="AB354" s="709">
        <f>SUM(AB344:AB353)</f>
        <v>28244.10364367393</v>
      </c>
      <c r="AC354" s="709">
        <f>SUM(AC344:AC353)</f>
        <v>28315.74389067596</v>
      </c>
      <c r="AD354" s="267"/>
      <c r="AE354" s="267"/>
      <c r="AF354" s="267"/>
      <c r="AG354" s="267"/>
      <c r="AH354" s="709">
        <f>SUM(AH344:AH353)</f>
        <v>27681.646350719235</v>
      </c>
      <c r="AI354" s="709"/>
      <c r="AJ354" s="709"/>
      <c r="AK354" s="709"/>
      <c r="AL354" s="709"/>
      <c r="AM354" s="709">
        <f>SUM(AM344:AM353)</f>
        <v>29195.067600037579</v>
      </c>
      <c r="AN354" s="709">
        <f t="shared" ref="AN354:BA354" si="484">SUM(AN344:AN353)</f>
        <v>27445.667858489742</v>
      </c>
      <c r="AO354" s="709">
        <f t="shared" si="484"/>
        <v>21343.431030403248</v>
      </c>
      <c r="AP354" s="709">
        <f t="shared" si="484"/>
        <v>22174.80164787731</v>
      </c>
      <c r="AQ354" s="709">
        <f t="shared" si="484"/>
        <v>25532.549577465757</v>
      </c>
      <c r="AR354" s="709">
        <f t="shared" si="484"/>
        <v>26599.769687732827</v>
      </c>
      <c r="AS354" s="709">
        <f t="shared" si="484"/>
        <v>24254.874794195024</v>
      </c>
      <c r="AT354" s="709">
        <f t="shared" si="484"/>
        <v>25286.17456665861</v>
      </c>
      <c r="AU354" s="709">
        <f t="shared" si="484"/>
        <v>25175.793891582434</v>
      </c>
      <c r="AV354" s="709">
        <f t="shared" si="484"/>
        <v>25210.23436733631</v>
      </c>
      <c r="AW354" s="709">
        <f t="shared" si="484"/>
        <v>20247.013257165945</v>
      </c>
      <c r="AX354" s="709">
        <f t="shared" si="484"/>
        <v>19552.538385325759</v>
      </c>
      <c r="AY354" s="709">
        <f t="shared" si="484"/>
        <v>13885.863878765766</v>
      </c>
      <c r="AZ354" s="709">
        <f t="shared" si="484"/>
        <v>12777.73798022926</v>
      </c>
      <c r="BA354" s="709">
        <f t="shared" si="484"/>
        <v>12927.152742716729</v>
      </c>
      <c r="BB354" s="135"/>
    </row>
    <row r="355" spans="1:56" s="12" customFormat="1" ht="12.75" customHeight="1">
      <c r="A355" s="374"/>
      <c r="B355" s="226"/>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690"/>
      <c r="AJ355" s="690"/>
      <c r="AK355" s="690"/>
      <c r="AL355" s="690"/>
      <c r="AM355" s="2"/>
      <c r="AN355" s="2"/>
      <c r="AO355" s="2"/>
      <c r="AP355" s="2"/>
      <c r="AQ355" s="2"/>
      <c r="AR355" s="2"/>
      <c r="AS355" s="2"/>
      <c r="AT355" s="2"/>
      <c r="AU355" s="2"/>
      <c r="AV355" s="2"/>
      <c r="AW355" s="2"/>
      <c r="AX355" s="2"/>
      <c r="AY355" s="2"/>
      <c r="AZ355" s="2"/>
      <c r="BA355" s="2"/>
      <c r="BB355" s="2"/>
    </row>
    <row r="356" spans="1:56" s="12" customFormat="1" ht="12.75" customHeight="1">
      <c r="A356" s="374"/>
      <c r="B356" s="370" t="s">
        <v>660</v>
      </c>
      <c r="C356" s="405"/>
      <c r="D356" s="405"/>
      <c r="E356" s="405"/>
      <c r="F356" s="405"/>
      <c r="G356" s="405"/>
      <c r="H356" s="405"/>
      <c r="I356" s="405"/>
      <c r="J356" s="405"/>
      <c r="K356" s="405"/>
      <c r="L356" s="405"/>
      <c r="M356" s="405"/>
      <c r="N356" s="405"/>
      <c r="O356" s="405"/>
      <c r="P356" s="405"/>
      <c r="Q356" s="405"/>
      <c r="R356" s="405"/>
      <c r="S356" s="405"/>
      <c r="T356" s="405"/>
      <c r="U356" s="405"/>
      <c r="V356" s="405"/>
      <c r="W356" s="405"/>
      <c r="X356" s="405"/>
      <c r="Y356" s="405"/>
      <c r="Z356" s="405"/>
      <c r="AA356" s="405"/>
      <c r="AB356" s="405"/>
      <c r="AC356" s="405"/>
      <c r="AD356" s="405"/>
      <c r="AE356" s="405"/>
      <c r="AF356" s="405"/>
      <c r="AG356" s="405"/>
      <c r="AH356" s="405"/>
      <c r="AI356" s="405"/>
      <c r="AJ356" s="405"/>
      <c r="AK356" s="405"/>
      <c r="AL356" s="405"/>
      <c r="AM356" s="405"/>
      <c r="AN356" s="405"/>
      <c r="AO356" s="405"/>
      <c r="AP356" s="405"/>
      <c r="AQ356" s="405"/>
      <c r="AR356" s="405"/>
      <c r="AS356" s="405"/>
      <c r="AT356" s="405"/>
      <c r="AU356" s="405"/>
      <c r="AV356" s="405"/>
      <c r="AW356" s="405"/>
      <c r="AX356" s="405"/>
      <c r="AY356" s="405"/>
      <c r="AZ356" s="405"/>
      <c r="BA356" s="405"/>
      <c r="BB356" s="188"/>
    </row>
    <row r="357" spans="1:56" s="12" customFormat="1" ht="12.75" customHeight="1">
      <c r="A357" s="374"/>
      <c r="B357" s="197"/>
      <c r="C357" s="188"/>
      <c r="D357" s="188"/>
      <c r="E357" s="188"/>
      <c r="F357" s="188"/>
      <c r="G357" s="188"/>
      <c r="H357" s="188"/>
      <c r="I357" s="188"/>
      <c r="J357" s="188"/>
      <c r="K357" s="188"/>
      <c r="L357" s="188"/>
      <c r="M357" s="188"/>
      <c r="N357" s="188"/>
      <c r="O357" s="188"/>
      <c r="P357" s="188"/>
      <c r="Q357" s="188"/>
      <c r="R357" s="188"/>
      <c r="S357" s="188"/>
      <c r="T357" s="188"/>
      <c r="U357" s="188"/>
      <c r="V357" s="188"/>
      <c r="W357" s="188"/>
      <c r="X357" s="188"/>
      <c r="Y357" s="188"/>
      <c r="Z357" s="188"/>
      <c r="AA357" s="188"/>
      <c r="AB357" s="188"/>
      <c r="AC357" s="188"/>
      <c r="AD357" s="188"/>
      <c r="AE357" s="188"/>
      <c r="AF357" s="188"/>
      <c r="AG357" s="188"/>
      <c r="AH357" s="188"/>
      <c r="AI357" s="188"/>
      <c r="AJ357" s="188"/>
      <c r="AK357" s="188"/>
      <c r="AL357" s="188"/>
      <c r="AM357" s="188"/>
      <c r="AN357" s="188"/>
      <c r="AO357" s="188"/>
      <c r="AP357" s="188"/>
      <c r="AQ357" s="188"/>
      <c r="AR357" s="188"/>
      <c r="AS357" s="188"/>
      <c r="AT357" s="188"/>
      <c r="AU357" s="188"/>
      <c r="AV357" s="188"/>
      <c r="AW357" s="188"/>
      <c r="AX357" s="188"/>
      <c r="AY357" s="188"/>
      <c r="AZ357" s="188"/>
      <c r="BA357" s="188"/>
      <c r="BB357" s="188"/>
    </row>
    <row r="358" spans="1:56" s="12" customFormat="1" ht="12.75" customHeight="1">
      <c r="A358" s="374"/>
      <c r="B358" s="201" t="s">
        <v>652</v>
      </c>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690"/>
      <c r="AJ358" s="690"/>
      <c r="AK358" s="690"/>
      <c r="AL358" s="690"/>
      <c r="AM358" s="2"/>
      <c r="AN358" s="2"/>
      <c r="AO358" s="2"/>
      <c r="AP358" s="2"/>
      <c r="AQ358" s="2"/>
      <c r="AR358" s="2"/>
      <c r="AS358" s="2"/>
      <c r="AT358" s="2"/>
      <c r="AU358" s="2"/>
      <c r="AV358" s="2"/>
      <c r="AW358" s="2"/>
      <c r="AX358" s="2"/>
      <c r="AY358" s="2"/>
      <c r="AZ358" s="2"/>
      <c r="BA358" s="2"/>
      <c r="BB358" s="2"/>
    </row>
    <row r="359" spans="1:56" s="12" customFormat="1" ht="12.75" customHeight="1">
      <c r="A359" s="374"/>
      <c r="B359" s="231" t="s">
        <v>640</v>
      </c>
      <c r="D359" s="12">
        <f t="shared" ref="D359:I359" si="485">D290+D344</f>
        <v>0</v>
      </c>
      <c r="E359" s="12">
        <f t="shared" si="485"/>
        <v>14482.399724234179</v>
      </c>
      <c r="F359" s="12">
        <f t="shared" si="485"/>
        <v>46117.345267933742</v>
      </c>
      <c r="G359" s="12">
        <f t="shared" si="485"/>
        <v>79231.013749999984</v>
      </c>
      <c r="H359" s="12">
        <f t="shared" si="485"/>
        <v>147465.04966875</v>
      </c>
      <c r="I359" s="12">
        <f t="shared" si="485"/>
        <v>123322.98824999999</v>
      </c>
      <c r="J359" s="12">
        <f>J290</f>
        <v>96364.173750000002</v>
      </c>
      <c r="K359" s="12">
        <f>K290</f>
        <v>60592.805</v>
      </c>
      <c r="L359" s="12">
        <f>L290</f>
        <v>38164.389900000002</v>
      </c>
      <c r="M359" s="12">
        <f>M290</f>
        <v>36860.090421000001</v>
      </c>
      <c r="N359" s="12">
        <f>N290</f>
        <v>36811.540350083596</v>
      </c>
      <c r="S359" s="12">
        <f>S290</f>
        <v>10791.644538403078</v>
      </c>
      <c r="X359" s="12">
        <f>X290</f>
        <v>11345.590752851629</v>
      </c>
      <c r="AC359" s="12">
        <f>AC290</f>
        <v>9816.7389332079292</v>
      </c>
      <c r="AH359" s="12">
        <f>AH290</f>
        <v>8180.624232849299</v>
      </c>
      <c r="AI359" s="692"/>
      <c r="AJ359" s="692"/>
      <c r="AK359" s="692"/>
      <c r="AL359" s="692"/>
      <c r="AM359" s="12">
        <f t="shared" ref="AM359:BA359" si="486">AM290</f>
        <v>6431.3708521700964</v>
      </c>
      <c r="AN359" s="12">
        <f t="shared" si="486"/>
        <v>4640.4380676042319</v>
      </c>
      <c r="AO359" s="12">
        <f t="shared" si="486"/>
        <v>478.31746711125305</v>
      </c>
      <c r="AP359" s="12">
        <f t="shared" si="486"/>
        <v>345.12102102362877</v>
      </c>
      <c r="AQ359" s="12">
        <f t="shared" si="486"/>
        <v>249.01554367609555</v>
      </c>
      <c r="AR359" s="12">
        <f t="shared" si="486"/>
        <v>179.67240184711864</v>
      </c>
      <c r="AS359" s="12">
        <f t="shared" si="486"/>
        <v>129.63914635727511</v>
      </c>
      <c r="AT359" s="12">
        <f t="shared" si="486"/>
        <v>93.538591173498759</v>
      </c>
      <c r="AU359" s="12">
        <f t="shared" si="486"/>
        <v>67.490921704407654</v>
      </c>
      <c r="AV359" s="12">
        <f t="shared" si="486"/>
        <v>48.696726377467833</v>
      </c>
      <c r="AW359" s="12">
        <f t="shared" si="486"/>
        <v>35.136139899857568</v>
      </c>
      <c r="AX359" s="12">
        <f t="shared" si="486"/>
        <v>25.3517650684004</v>
      </c>
      <c r="AY359" s="12">
        <f t="shared" si="486"/>
        <v>18.292043648579341</v>
      </c>
      <c r="AZ359" s="12">
        <f t="shared" si="486"/>
        <v>13.19824329732408</v>
      </c>
      <c r="BA359" s="12">
        <f t="shared" si="486"/>
        <v>9.5229149242476065</v>
      </c>
    </row>
    <row r="360" spans="1:56" s="12" customFormat="1" ht="12.75" customHeight="1">
      <c r="A360" s="374"/>
      <c r="B360" s="231" t="s">
        <v>641</v>
      </c>
      <c r="J360" s="12">
        <f>+J344</f>
        <v>4529.3624999999984</v>
      </c>
      <c r="K360" s="12">
        <f>+K344</f>
        <v>2787.2999999999993</v>
      </c>
      <c r="L360" s="12">
        <f>+L344</f>
        <v>2094.726725</v>
      </c>
      <c r="M360" s="12">
        <f>+M344</f>
        <v>1261.1767559999998</v>
      </c>
      <c r="N360" s="12">
        <f>+N344</f>
        <v>1252.9573371110112</v>
      </c>
      <c r="S360" s="12">
        <f>+S344</f>
        <v>1270.2255192004316</v>
      </c>
      <c r="X360" s="12">
        <f>+X344</f>
        <v>1287.6832456385841</v>
      </c>
      <c r="AC360" s="12">
        <f>+AC344</f>
        <v>989.19629312405107</v>
      </c>
      <c r="AH360" s="12">
        <f>+AH344</f>
        <v>1013.052016494757</v>
      </c>
      <c r="AI360" s="692"/>
      <c r="AJ360" s="692"/>
      <c r="AK360" s="692"/>
      <c r="AL360" s="692"/>
      <c r="AM360" s="12">
        <f t="shared" ref="AM360:BA360" si="487">+AM344</f>
        <v>1037.1249591487592</v>
      </c>
      <c r="AN360" s="12">
        <f t="shared" si="487"/>
        <v>1061.7279635779396</v>
      </c>
      <c r="AO360" s="12">
        <f t="shared" si="487"/>
        <v>163.030663504035</v>
      </c>
      <c r="AP360" s="12">
        <f t="shared" si="487"/>
        <v>83.442339220610748</v>
      </c>
      <c r="AQ360" s="12">
        <f t="shared" si="487"/>
        <v>8.5411392697135877</v>
      </c>
      <c r="AR360" s="12">
        <f t="shared" si="487"/>
        <v>0.87423274252580385</v>
      </c>
      <c r="AS360" s="12">
        <f t="shared" si="487"/>
        <v>8.9478774847378234E-2</v>
      </c>
      <c r="AT360" s="12">
        <f t="shared" si="487"/>
        <v>9.157869415505256E-3</v>
      </c>
      <c r="AU360" s="12">
        <f t="shared" si="487"/>
        <v>9.3723840367098592E-4</v>
      </c>
      <c r="AV360" s="12">
        <f t="shared" si="487"/>
        <v>9.5915029978135038E-5</v>
      </c>
      <c r="AW360" s="12">
        <f t="shared" si="487"/>
        <v>9.8153087550309721E-6</v>
      </c>
      <c r="AX360" s="12">
        <f t="shared" si="487"/>
        <v>1.0043884545590247E-6</v>
      </c>
      <c r="AY360" s="12">
        <f t="shared" si="487"/>
        <v>1.0277314359702362E-7</v>
      </c>
      <c r="AZ360" s="12">
        <f t="shared" si="487"/>
        <v>1.0515682910125891E-8</v>
      </c>
      <c r="BA360" s="12">
        <f t="shared" si="487"/>
        <v>1.0759075599206378E-9</v>
      </c>
    </row>
    <row r="361" spans="1:56" s="30" customFormat="1" ht="12.75" customHeight="1">
      <c r="A361" s="438"/>
      <c r="B361" s="248" t="s">
        <v>446</v>
      </c>
      <c r="C361" s="261"/>
      <c r="D361" s="261"/>
      <c r="E361" s="261"/>
      <c r="F361" s="261"/>
      <c r="G361" s="261"/>
      <c r="H361" s="261"/>
      <c r="I361" s="261"/>
      <c r="J361" s="261">
        <v>9</v>
      </c>
      <c r="K361" s="261">
        <v>9</v>
      </c>
      <c r="L361" s="261">
        <f>L147</f>
        <v>11</v>
      </c>
      <c r="M361" s="261">
        <f>L361</f>
        <v>11</v>
      </c>
      <c r="N361" s="261">
        <f>M361</f>
        <v>11</v>
      </c>
      <c r="O361" s="261"/>
      <c r="P361" s="261"/>
      <c r="Q361" s="261"/>
      <c r="R361" s="261"/>
      <c r="S361" s="261">
        <f>N361</f>
        <v>11</v>
      </c>
      <c r="T361" s="261"/>
      <c r="U361" s="261"/>
      <c r="V361" s="261"/>
      <c r="W361" s="261"/>
      <c r="X361" s="261">
        <f>S361</f>
        <v>11</v>
      </c>
      <c r="Y361" s="261"/>
      <c r="Z361" s="261"/>
      <c r="AA361" s="261"/>
      <c r="AB361" s="261"/>
      <c r="AC361" s="261">
        <f>X361</f>
        <v>11</v>
      </c>
      <c r="AD361" s="261"/>
      <c r="AE361" s="261"/>
      <c r="AF361" s="261"/>
      <c r="AG361" s="261"/>
      <c r="AH361" s="261">
        <f>AC361</f>
        <v>11</v>
      </c>
      <c r="AI361" s="261"/>
      <c r="AJ361" s="261"/>
      <c r="AK361" s="261"/>
      <c r="AL361" s="261"/>
      <c r="AM361" s="261">
        <f>AH361</f>
        <v>11</v>
      </c>
      <c r="AN361" s="261">
        <f t="shared" ref="AN361:AP362" si="488">AM361</f>
        <v>11</v>
      </c>
      <c r="AO361" s="261">
        <f t="shared" si="488"/>
        <v>11</v>
      </c>
      <c r="AP361" s="261">
        <f t="shared" si="488"/>
        <v>11</v>
      </c>
      <c r="AQ361" s="261">
        <f>AP361</f>
        <v>11</v>
      </c>
      <c r="AR361" s="261">
        <f t="shared" ref="AR361:BA361" si="489">AQ361</f>
        <v>11</v>
      </c>
      <c r="AS361" s="261">
        <f t="shared" si="489"/>
        <v>11</v>
      </c>
      <c r="AT361" s="261">
        <f t="shared" si="489"/>
        <v>11</v>
      </c>
      <c r="AU361" s="261">
        <f t="shared" si="489"/>
        <v>11</v>
      </c>
      <c r="AV361" s="261">
        <f t="shared" si="489"/>
        <v>11</v>
      </c>
      <c r="AW361" s="261">
        <f t="shared" si="489"/>
        <v>11</v>
      </c>
      <c r="AX361" s="261">
        <f t="shared" si="489"/>
        <v>11</v>
      </c>
      <c r="AY361" s="261">
        <f t="shared" si="489"/>
        <v>11</v>
      </c>
      <c r="AZ361" s="261">
        <f t="shared" si="489"/>
        <v>11</v>
      </c>
      <c r="BA361" s="261">
        <f t="shared" si="489"/>
        <v>11</v>
      </c>
      <c r="BB361" s="261"/>
      <c r="BD361" s="272">
        <v>0.03</v>
      </c>
    </row>
    <row r="362" spans="1:56" s="222" customFormat="1" ht="12.75" customHeight="1">
      <c r="A362" s="388"/>
      <c r="B362" s="248" t="s">
        <v>447</v>
      </c>
      <c r="C362" s="261"/>
      <c r="D362" s="261"/>
      <c r="E362" s="261">
        <f>11/12</f>
        <v>0.91666666666666663</v>
      </c>
      <c r="F362" s="261">
        <v>1</v>
      </c>
      <c r="G362" s="261">
        <v>8</v>
      </c>
      <c r="H362" s="261">
        <v>9</v>
      </c>
      <c r="I362" s="261">
        <v>9</v>
      </c>
      <c r="J362" s="261">
        <v>6</v>
      </c>
      <c r="K362" s="261">
        <v>6</v>
      </c>
      <c r="L362" s="261">
        <f>K362</f>
        <v>6</v>
      </c>
      <c r="M362" s="261">
        <f>L362</f>
        <v>6</v>
      </c>
      <c r="N362" s="261">
        <f>M362</f>
        <v>6</v>
      </c>
      <c r="O362" s="261"/>
      <c r="P362" s="261"/>
      <c r="Q362" s="261"/>
      <c r="R362" s="261"/>
      <c r="S362" s="261">
        <f>N362</f>
        <v>6</v>
      </c>
      <c r="T362" s="261"/>
      <c r="U362" s="261"/>
      <c r="V362" s="261"/>
      <c r="W362" s="261"/>
      <c r="X362" s="261">
        <f>S362</f>
        <v>6</v>
      </c>
      <c r="Y362" s="261"/>
      <c r="Z362" s="261"/>
      <c r="AA362" s="261"/>
      <c r="AB362" s="261"/>
      <c r="AC362" s="261">
        <f>X362</f>
        <v>6</v>
      </c>
      <c r="AD362" s="261"/>
      <c r="AE362" s="261"/>
      <c r="AF362" s="261"/>
      <c r="AG362" s="261"/>
      <c r="AH362" s="261">
        <f>AC362</f>
        <v>6</v>
      </c>
      <c r="AI362" s="261"/>
      <c r="AJ362" s="261"/>
      <c r="AK362" s="261"/>
      <c r="AL362" s="261"/>
      <c r="AM362" s="261">
        <f>AH362</f>
        <v>6</v>
      </c>
      <c r="AN362" s="261">
        <f t="shared" si="488"/>
        <v>6</v>
      </c>
      <c r="AO362" s="261">
        <f t="shared" si="488"/>
        <v>6</v>
      </c>
      <c r="AP362" s="261">
        <f t="shared" si="488"/>
        <v>6</v>
      </c>
      <c r="AQ362" s="261">
        <f>AP362</f>
        <v>6</v>
      </c>
      <c r="AR362" s="261">
        <f t="shared" ref="AR362:BA362" si="490">AQ362</f>
        <v>6</v>
      </c>
      <c r="AS362" s="261">
        <f t="shared" si="490"/>
        <v>6</v>
      </c>
      <c r="AT362" s="261">
        <f t="shared" si="490"/>
        <v>6</v>
      </c>
      <c r="AU362" s="261">
        <f t="shared" si="490"/>
        <v>6</v>
      </c>
      <c r="AV362" s="261">
        <f t="shared" si="490"/>
        <v>6</v>
      </c>
      <c r="AW362" s="261">
        <f t="shared" si="490"/>
        <v>6</v>
      </c>
      <c r="AX362" s="261">
        <f t="shared" si="490"/>
        <v>6</v>
      </c>
      <c r="AY362" s="261">
        <f t="shared" si="490"/>
        <v>6</v>
      </c>
      <c r="AZ362" s="261">
        <f t="shared" si="490"/>
        <v>6</v>
      </c>
      <c r="BA362" s="261">
        <f t="shared" si="490"/>
        <v>6</v>
      </c>
      <c r="BB362" s="261"/>
    </row>
    <row r="363" spans="1:56" ht="12.75" customHeight="1">
      <c r="B363" s="253" t="s">
        <v>635</v>
      </c>
      <c r="C363" s="16"/>
      <c r="D363" s="16">
        <f>D149</f>
        <v>289</v>
      </c>
      <c r="E363" s="16">
        <f>E149*E362</f>
        <v>270.11111111111109</v>
      </c>
      <c r="F363" s="16">
        <f>F149*F362</f>
        <v>314.5</v>
      </c>
      <c r="G363" s="16">
        <f>+G149</f>
        <v>330.65</v>
      </c>
      <c r="H363" s="16">
        <f>+H149</f>
        <v>346.25175000000002</v>
      </c>
      <c r="I363" s="16">
        <f>+I149</f>
        <v>370.68287500000002</v>
      </c>
      <c r="J363" s="16">
        <f>I363*1.15</f>
        <v>426.28530625000002</v>
      </c>
      <c r="K363" s="16">
        <f>J363*1.05</f>
        <v>447.59957156250005</v>
      </c>
      <c r="L363" s="16">
        <f>K363*0.97</f>
        <v>434.17158441562503</v>
      </c>
      <c r="M363" s="16">
        <f>L363*0.97</f>
        <v>421.1464368831563</v>
      </c>
      <c r="N363" s="16">
        <f>M363*0.97</f>
        <v>408.51204377666159</v>
      </c>
      <c r="O363" s="16"/>
      <c r="P363" s="16"/>
      <c r="Q363" s="16"/>
      <c r="R363" s="16"/>
      <c r="S363" s="16">
        <f>N363/(1+$BD361)</f>
        <v>396.61363473462291</v>
      </c>
      <c r="T363" s="16"/>
      <c r="U363" s="16"/>
      <c r="V363" s="16"/>
      <c r="W363" s="16"/>
      <c r="X363" s="16">
        <f>S363/(1+$BD361)</f>
        <v>385.06178129575039</v>
      </c>
      <c r="Y363" s="16"/>
      <c r="Z363" s="16"/>
      <c r="AA363" s="16"/>
      <c r="AB363" s="16"/>
      <c r="AC363" s="16">
        <f>X363/(1+$BD361)</f>
        <v>373.84638960752466</v>
      </c>
      <c r="AD363" s="16"/>
      <c r="AE363" s="16"/>
      <c r="AF363" s="16"/>
      <c r="AG363" s="16"/>
      <c r="AH363" s="16">
        <f>AC363/(1+$BD361)</f>
        <v>362.9576598131307</v>
      </c>
      <c r="AI363" s="693"/>
      <c r="AJ363" s="693"/>
      <c r="AK363" s="693"/>
      <c r="AL363" s="693"/>
      <c r="AM363" s="16">
        <f>AH363/(1+$BD361)</f>
        <v>352.38607748847642</v>
      </c>
      <c r="AN363" s="16">
        <f t="shared" ref="AN363:BA363" si="491">AM363/(1+$BD361)</f>
        <v>342.12240532861784</v>
      </c>
      <c r="AO363" s="16">
        <f t="shared" si="491"/>
        <v>332.15767507632802</v>
      </c>
      <c r="AP363" s="16">
        <f t="shared" si="491"/>
        <v>322.48317968575537</v>
      </c>
      <c r="AQ363" s="16">
        <f t="shared" si="491"/>
        <v>313.0904657143256</v>
      </c>
      <c r="AR363" s="16">
        <f t="shared" si="491"/>
        <v>303.97132593623843</v>
      </c>
      <c r="AS363" s="16">
        <f t="shared" si="491"/>
        <v>295.11779217110524</v>
      </c>
      <c r="AT363" s="16">
        <f t="shared" si="491"/>
        <v>286.52212832146137</v>
      </c>
      <c r="AU363" s="16">
        <f t="shared" si="491"/>
        <v>278.1768236130693</v>
      </c>
      <c r="AV363" s="16">
        <f t="shared" si="491"/>
        <v>270.07458603210614</v>
      </c>
      <c r="AW363" s="16">
        <f t="shared" si="491"/>
        <v>262.20833595350109</v>
      </c>
      <c r="AX363" s="16">
        <f t="shared" si="491"/>
        <v>254.57119995485542</v>
      </c>
      <c r="AY363" s="16">
        <f t="shared" si="491"/>
        <v>247.15650481053925</v>
      </c>
      <c r="AZ363" s="16">
        <f t="shared" si="491"/>
        <v>239.9577716607177</v>
      </c>
      <c r="BA363" s="16">
        <f t="shared" si="491"/>
        <v>232.96871035021135</v>
      </c>
      <c r="BB363" s="16"/>
    </row>
    <row r="364" spans="1:56" s="2" customFormat="1" ht="12.75" customHeight="1">
      <c r="A364" s="386"/>
      <c r="B364" s="245" t="s">
        <v>662</v>
      </c>
      <c r="C364" s="246"/>
      <c r="D364" s="246">
        <f>D359*D363/1000000</f>
        <v>0</v>
      </c>
      <c r="E364" s="246">
        <f>E359*E363/1000000</f>
        <v>3.9118570810681428</v>
      </c>
      <c r="F364" s="246">
        <f>F359*F363/1000000</f>
        <v>14.503905086765162</v>
      </c>
      <c r="G364" s="246">
        <f>G359*G363*G362/1000000</f>
        <v>209.58187757149994</v>
      </c>
      <c r="H364" s="246">
        <f>H359*H363*H362/1000000</f>
        <v>459.54028360477446</v>
      </c>
      <c r="I364" s="246">
        <f>I359*I363*I362/1000000</f>
        <v>411.42347854291097</v>
      </c>
      <c r="J364" s="246">
        <f>(J359*J361*J363/1000000)+(J360*J362*J363/1000000)</f>
        <v>381.29248594950127</v>
      </c>
      <c r="K364" s="246">
        <f>(K359*K361*K363/1000000)+(K360*K362*K363/1000000)</f>
        <v>251.57738773482794</v>
      </c>
      <c r="L364" s="246">
        <f>(L359*L361*L363/1000000)+(L360*L362*L363/1000000)</f>
        <v>187.72565486919152</v>
      </c>
      <c r="M364" s="246">
        <f>(M359*M361*M363/1000000)+(M360*M362*M363/1000000)</f>
        <v>173.94529376636177</v>
      </c>
      <c r="N364" s="246">
        <f>(N359*N361*N363/1000000)+(N360*N362*N363/1000000)</f>
        <v>168.48862238806569</v>
      </c>
      <c r="O364" s="246"/>
      <c r="P364" s="246"/>
      <c r="Q364" s="246"/>
      <c r="R364" s="246"/>
      <c r="S364" s="246">
        <f>(S359*S361*S363/1000000)+(S360*S362*S363/1000000)</f>
        <v>50.103979577157489</v>
      </c>
      <c r="T364" s="246"/>
      <c r="U364" s="246"/>
      <c r="V364" s="246"/>
      <c r="W364" s="246"/>
      <c r="X364" s="246">
        <f>(X359*X361*X363/1000000)+(X360*X362*X363/1000000)</f>
        <v>51.031312862463778</v>
      </c>
      <c r="Y364" s="246"/>
      <c r="Z364" s="246"/>
      <c r="AA364" s="246"/>
      <c r="AB364" s="246"/>
      <c r="AC364" s="246">
        <f>(AC359*AC361*AC363/1000000)+(AC360*AC362*AC363/1000000)</f>
        <v>42.588321263678921</v>
      </c>
      <c r="AD364" s="246"/>
      <c r="AE364" s="246"/>
      <c r="AF364" s="246"/>
      <c r="AG364" s="246"/>
      <c r="AH364" s="246">
        <f>(AH359*AH361*AH363/1000000)+(AH360*AH362*AH363/1000000)</f>
        <v>34.867592436076727</v>
      </c>
      <c r="AI364" s="702"/>
      <c r="AJ364" s="702"/>
      <c r="AK364" s="702"/>
      <c r="AL364" s="702"/>
      <c r="AM364" s="246">
        <f>(AM359*AM361*AM363/1000000)+(AM360*AM362*AM363/1000000)</f>
        <v>27.122391399488308</v>
      </c>
      <c r="AN364" s="246">
        <f>(AN359*AN361*AN363/1000000)+(AN360*AN362*AN363/1000000)</f>
        <v>19.643021716363315</v>
      </c>
      <c r="AO364" s="246">
        <f>(AO359*AO361*AO363/1000000)+(AO360*AO362*AO363/1000000)</f>
        <v>2.0725563129986981</v>
      </c>
      <c r="AP364" s="246">
        <f>(AP359*AP361*AP363/1000000)+(AP360*AP362*AP363/1000000)</f>
        <v>1.3857054718307165</v>
      </c>
      <c r="AQ364" s="246">
        <f>(AQ359*AQ361*AQ363/1000000)+(AQ360*AQ362*AQ363/1000000)</f>
        <v>0.87365321356631553</v>
      </c>
      <c r="AR364" s="246">
        <f t="shared" ref="AR364:BA364" si="492">(AR359*AR361*AR363/1000000)+(AR360*AR362*AR363/1000000)</f>
        <v>0.60236229057532487</v>
      </c>
      <c r="AS364" s="246">
        <f t="shared" si="492"/>
        <v>0.42100544584183874</v>
      </c>
      <c r="AT364" s="246">
        <f t="shared" si="492"/>
        <v>0.29482538204885611</v>
      </c>
      <c r="AU364" s="246">
        <f t="shared" si="492"/>
        <v>0.20652007675496789</v>
      </c>
      <c r="AV364" s="246">
        <f t="shared" si="492"/>
        <v>0.14466938581791916</v>
      </c>
      <c r="AW364" s="246">
        <f t="shared" si="492"/>
        <v>0.1013428919666164</v>
      </c>
      <c r="AX364" s="246">
        <f t="shared" si="492"/>
        <v>7.0992123332929272E-2</v>
      </c>
      <c r="AY364" s="246">
        <f t="shared" si="492"/>
        <v>4.973097346667793E-2</v>
      </c>
      <c r="AZ364" s="246">
        <f t="shared" si="492"/>
        <v>3.48372315812207E-2</v>
      </c>
      <c r="BA364" s="246">
        <f t="shared" si="492"/>
        <v>2.4403953296948114E-2</v>
      </c>
      <c r="BB364" s="3"/>
    </row>
    <row r="365" spans="1:56" s="12" customFormat="1" ht="12.75" customHeight="1">
      <c r="A365" s="374"/>
      <c r="B365" s="112"/>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689"/>
      <c r="AJ365" s="689"/>
      <c r="AK365" s="689"/>
      <c r="AL365" s="689"/>
      <c r="AM365" s="1"/>
      <c r="AN365" s="1"/>
      <c r="AO365" s="1"/>
      <c r="AP365" s="1"/>
      <c r="AQ365" s="1"/>
      <c r="AR365" s="1"/>
      <c r="AS365" s="1"/>
      <c r="AT365" s="1"/>
      <c r="AU365" s="1"/>
      <c r="AV365" s="1"/>
      <c r="AW365" s="1"/>
      <c r="AX365" s="1"/>
      <c r="AY365" s="1"/>
      <c r="AZ365" s="1"/>
      <c r="BA365" s="1"/>
      <c r="BB365" s="1"/>
    </row>
    <row r="366" spans="1:56" s="12" customFormat="1" ht="12.75" customHeight="1">
      <c r="A366" s="374"/>
      <c r="B366" s="59"/>
      <c r="C366" s="3"/>
      <c r="D366" s="3"/>
      <c r="E366" s="3"/>
      <c r="AC366" s="3"/>
      <c r="AD366" s="3"/>
      <c r="AE366" s="3"/>
      <c r="AF366" s="3"/>
      <c r="AG366" s="3"/>
      <c r="AH366" s="3"/>
      <c r="AI366" s="691"/>
      <c r="AJ366" s="691"/>
      <c r="AK366" s="691"/>
      <c r="AL366" s="691"/>
      <c r="AM366" s="3"/>
      <c r="AN366" s="3"/>
      <c r="AO366" s="3"/>
      <c r="AP366" s="3"/>
      <c r="AQ366" s="3"/>
      <c r="AR366" s="3"/>
      <c r="AS366" s="3"/>
      <c r="AT366" s="3"/>
      <c r="AU366" s="3"/>
      <c r="AV366" s="3"/>
      <c r="AW366" s="3"/>
      <c r="AX366" s="3"/>
      <c r="AY366" s="3"/>
      <c r="AZ366" s="3"/>
      <c r="BA366" s="3"/>
      <c r="BB366" s="3"/>
    </row>
    <row r="367" spans="1:56" s="3" customFormat="1" ht="12.75" customHeight="1">
      <c r="A367" s="416"/>
      <c r="B367" s="178" t="s">
        <v>653</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689"/>
      <c r="AJ367" s="689"/>
      <c r="AK367" s="689"/>
      <c r="AL367" s="689"/>
      <c r="AM367" s="1"/>
      <c r="AN367" s="1"/>
      <c r="AO367" s="1"/>
      <c r="AP367" s="1"/>
      <c r="AQ367" s="1"/>
      <c r="AR367" s="1"/>
      <c r="AS367" s="1"/>
      <c r="AT367" s="1"/>
      <c r="AU367" s="1"/>
      <c r="AV367" s="1"/>
      <c r="AW367" s="1"/>
      <c r="AX367" s="1"/>
      <c r="AY367" s="1"/>
      <c r="AZ367" s="1"/>
      <c r="BA367" s="1"/>
      <c r="BB367" s="1"/>
    </row>
    <row r="368" spans="1:56" s="3" customFormat="1" ht="12.75" customHeight="1">
      <c r="A368" s="416"/>
      <c r="B368" s="231" t="s">
        <v>640</v>
      </c>
      <c r="C368" s="12"/>
      <c r="D368" s="12"/>
      <c r="E368" s="12"/>
      <c r="F368" s="12"/>
      <c r="G368" s="12"/>
      <c r="H368" s="12">
        <f>H291+H345</f>
        <v>25670.84045625</v>
      </c>
      <c r="I368" s="12">
        <f>I291+I345</f>
        <v>62748.724500000004</v>
      </c>
      <c r="J368" s="12">
        <f t="shared" ref="J368:AC368" si="493">+J291</f>
        <v>106432.07249999999</v>
      </c>
      <c r="K368" s="12">
        <f t="shared" si="493"/>
        <v>125413.015</v>
      </c>
      <c r="L368" s="12">
        <f t="shared" si="493"/>
        <v>168877.42530750003</v>
      </c>
      <c r="M368" s="12">
        <f t="shared" si="493"/>
        <v>174247.70017199998</v>
      </c>
      <c r="N368" s="12">
        <f t="shared" si="493"/>
        <v>185810.63224327911</v>
      </c>
      <c r="O368" s="12">
        <f t="shared" si="493"/>
        <v>143955.67834808293</v>
      </c>
      <c r="P368" s="12">
        <f t="shared" si="493"/>
        <v>143877.84590205349</v>
      </c>
      <c r="Q368" s="12">
        <f t="shared" si="493"/>
        <v>148800.01211042161</v>
      </c>
      <c r="R368" s="12">
        <f t="shared" si="493"/>
        <v>147907.51928879524</v>
      </c>
      <c r="S368" s="12">
        <f t="shared" si="493"/>
        <v>147211.79649425313</v>
      </c>
      <c r="T368" s="12">
        <f t="shared" si="493"/>
        <v>149192.53272679631</v>
      </c>
      <c r="U368" s="12">
        <f t="shared" si="493"/>
        <v>151863.23462418528</v>
      </c>
      <c r="V368" s="12">
        <f t="shared" si="493"/>
        <v>152948.00311242384</v>
      </c>
      <c r="W368" s="12">
        <f t="shared" si="493"/>
        <v>151752.77160066235</v>
      </c>
      <c r="X368" s="12">
        <f t="shared" si="493"/>
        <v>152560.08277631647</v>
      </c>
      <c r="Y368" s="12">
        <f t="shared" si="493"/>
        <v>150129.38506199015</v>
      </c>
      <c r="Z368" s="12">
        <f t="shared" si="493"/>
        <v>150399.72938952272</v>
      </c>
      <c r="AA368" s="12">
        <f t="shared" si="493"/>
        <v>153768.53993105504</v>
      </c>
      <c r="AB368" s="12">
        <f t="shared" si="493"/>
        <v>147530.01606805064</v>
      </c>
      <c r="AC368" s="12">
        <f t="shared" si="493"/>
        <v>153157.69386380166</v>
      </c>
      <c r="AD368" s="692">
        <f t="shared" ref="AD368:AL368" si="494">+AD291</f>
        <v>141863.91411550448</v>
      </c>
      <c r="AE368" s="692">
        <f t="shared" si="494"/>
        <v>142637.52437715451</v>
      </c>
      <c r="AF368" s="692">
        <f t="shared" si="494"/>
        <v>142234.84397043788</v>
      </c>
      <c r="AG368" s="692">
        <f t="shared" si="494"/>
        <v>135197.89986254368</v>
      </c>
      <c r="AH368" s="692">
        <f t="shared" si="494"/>
        <v>142090.20337335678</v>
      </c>
      <c r="AI368" s="692">
        <f t="shared" si="494"/>
        <v>133709.20320735499</v>
      </c>
      <c r="AJ368" s="692">
        <f t="shared" si="494"/>
        <v>131363.33003402915</v>
      </c>
      <c r="AK368" s="692">
        <f t="shared" si="494"/>
        <v>134519.99999999997</v>
      </c>
      <c r="AL368" s="692">
        <f t="shared" si="494"/>
        <v>129959.99999999999</v>
      </c>
      <c r="AM368" s="12">
        <f t="shared" ref="AM368:BA368" si="495">+AM291</f>
        <v>118448.44400526019</v>
      </c>
      <c r="AN368" s="12">
        <f t="shared" si="495"/>
        <v>85464.309436460477</v>
      </c>
      <c r="AO368" s="12">
        <f t="shared" si="495"/>
        <v>22023.282835862308</v>
      </c>
      <c r="AP368" s="12">
        <f t="shared" si="495"/>
        <v>6810.2090418631269</v>
      </c>
      <c r="AQ368" s="12">
        <f t="shared" si="495"/>
        <v>701.96821396469841</v>
      </c>
      <c r="AR368" s="12">
        <f t="shared" si="495"/>
        <v>72.355962294824451</v>
      </c>
      <c r="AS368" s="12">
        <f t="shared" si="495"/>
        <v>7.4581492994453251</v>
      </c>
      <c r="AT368" s="12">
        <f t="shared" si="495"/>
        <v>0.76875454216488237</v>
      </c>
      <c r="AU368" s="12">
        <f t="shared" si="495"/>
        <v>7.9239949391463477E-2</v>
      </c>
      <c r="AV368" s="12">
        <f t="shared" si="495"/>
        <v>8.167714658574363E-3</v>
      </c>
      <c r="AW368" s="12">
        <f t="shared" si="495"/>
        <v>8.4189280487115313E-4</v>
      </c>
      <c r="AX368" s="12">
        <f t="shared" si="495"/>
        <v>8.67786544513578E-5</v>
      </c>
      <c r="AY368" s="12">
        <f t="shared" si="495"/>
        <v>8.9447642611665031E-6</v>
      </c>
      <c r="AZ368" s="12">
        <f t="shared" si="495"/>
        <v>9.2198692052849044E-7</v>
      </c>
      <c r="BA368" s="12">
        <f t="shared" si="495"/>
        <v>9.5034325052312983E-8</v>
      </c>
      <c r="BB368" s="12"/>
    </row>
    <row r="369" spans="1:56" s="16" customFormat="1" ht="12.75" customHeight="1">
      <c r="A369" s="422"/>
      <c r="B369" s="231" t="s">
        <v>641</v>
      </c>
      <c r="C369" s="12"/>
      <c r="D369" s="12"/>
      <c r="E369" s="12"/>
      <c r="F369" s="12"/>
      <c r="G369" s="12"/>
      <c r="H369" s="12">
        <f t="shared" ref="H369:AC369" si="496">+H345</f>
        <v>9585.3780000000006</v>
      </c>
      <c r="I369" s="12">
        <f t="shared" si="496"/>
        <v>12425.489999999998</v>
      </c>
      <c r="J369" s="12">
        <f t="shared" si="496"/>
        <v>13588.087499999998</v>
      </c>
      <c r="K369" s="12">
        <f t="shared" si="496"/>
        <v>13936.499999999995</v>
      </c>
      <c r="L369" s="12">
        <f t="shared" si="496"/>
        <v>17954.800499999998</v>
      </c>
      <c r="M369" s="12">
        <f t="shared" si="496"/>
        <v>17656.474584</v>
      </c>
      <c r="N369" s="12">
        <f t="shared" si="496"/>
        <v>18324.501055248536</v>
      </c>
      <c r="O369" s="12">
        <f t="shared" si="496"/>
        <v>15644.321651917078</v>
      </c>
      <c r="P369" s="12">
        <f t="shared" si="496"/>
        <v>15722.154097946517</v>
      </c>
      <c r="Q369" s="12">
        <f t="shared" si="496"/>
        <v>14219.987889578359</v>
      </c>
      <c r="R369" s="12">
        <f t="shared" si="496"/>
        <v>13972.480711204746</v>
      </c>
      <c r="S369" s="12">
        <f t="shared" si="496"/>
        <v>15004.538945555096</v>
      </c>
      <c r="T369" s="12">
        <f t="shared" si="496"/>
        <v>12687.467273203696</v>
      </c>
      <c r="U369" s="12">
        <f t="shared" si="496"/>
        <v>11156.765375814692</v>
      </c>
      <c r="V369" s="12">
        <f t="shared" si="496"/>
        <v>11211.996887576151</v>
      </c>
      <c r="W369" s="12">
        <f t="shared" si="496"/>
        <v>11267.22839933761</v>
      </c>
      <c r="X369" s="12">
        <f t="shared" si="496"/>
        <v>11669.62941359967</v>
      </c>
      <c r="Y369" s="12">
        <f t="shared" si="496"/>
        <v>10610.614938009832</v>
      </c>
      <c r="Z369" s="12">
        <f t="shared" si="496"/>
        <v>10340.270610477244</v>
      </c>
      <c r="AA369" s="12">
        <f t="shared" si="496"/>
        <v>10391.460068944951</v>
      </c>
      <c r="AB369" s="12">
        <f t="shared" si="496"/>
        <v>9789.9839319493676</v>
      </c>
      <c r="AC369" s="12">
        <f t="shared" si="496"/>
        <v>10468.994102229541</v>
      </c>
      <c r="AD369" s="692">
        <f t="shared" ref="AD369:AL369" si="497">+AD345</f>
        <v>10896.085884495531</v>
      </c>
      <c r="AE369" s="692">
        <f t="shared" si="497"/>
        <v>8982.4756228454698</v>
      </c>
      <c r="AF369" s="692">
        <f t="shared" si="497"/>
        <v>9385.1560295620729</v>
      </c>
      <c r="AG369" s="692">
        <f t="shared" si="497"/>
        <v>8442.1001374563093</v>
      </c>
      <c r="AH369" s="692">
        <f t="shared" si="497"/>
        <v>9539.5731553256301</v>
      </c>
      <c r="AI369" s="692">
        <f t="shared" si="497"/>
        <v>8790.7967926450037</v>
      </c>
      <c r="AJ369" s="692">
        <f t="shared" si="497"/>
        <v>8856.6699659708629</v>
      </c>
      <c r="AK369" s="692">
        <f t="shared" si="497"/>
        <v>0</v>
      </c>
      <c r="AL369" s="692">
        <f t="shared" si="497"/>
        <v>0</v>
      </c>
      <c r="AM369" s="12">
        <f t="shared" ref="AM369:BA369" si="498">+AM345</f>
        <v>9074.8433925516438</v>
      </c>
      <c r="AN369" s="12">
        <f t="shared" si="498"/>
        <v>8582.3010389216797</v>
      </c>
      <c r="AO369" s="12">
        <f t="shared" si="498"/>
        <v>2196.385327762694</v>
      </c>
      <c r="AP369" s="12">
        <f t="shared" si="498"/>
        <v>1124.1537367221172</v>
      </c>
      <c r="AQ369" s="12">
        <f t="shared" si="498"/>
        <v>345.20437881759085</v>
      </c>
      <c r="AR369" s="12">
        <f t="shared" si="498"/>
        <v>106.00072003125372</v>
      </c>
      <c r="AS369" s="12">
        <f t="shared" si="498"/>
        <v>32.547904350733837</v>
      </c>
      <c r="AT369" s="12">
        <f t="shared" si="498"/>
        <v>9.9935249996701092</v>
      </c>
      <c r="AU369" s="12">
        <f t="shared" si="498"/>
        <v>3.0682842240178894</v>
      </c>
      <c r="AV369" s="12">
        <f t="shared" si="498"/>
        <v>0.94200548817275842</v>
      </c>
      <c r="AW369" s="12">
        <f t="shared" si="498"/>
        <v>0.28919580333104367</v>
      </c>
      <c r="AX369" s="12">
        <f t="shared" si="498"/>
        <v>8.8779150984040336E-2</v>
      </c>
      <c r="AY369" s="12">
        <f t="shared" si="498"/>
        <v>2.725273988691122E-2</v>
      </c>
      <c r="AZ369" s="12">
        <f t="shared" si="498"/>
        <v>8.3654492132669792E-3</v>
      </c>
      <c r="BA369" s="12">
        <f t="shared" si="498"/>
        <v>2.5677219808575443E-3</v>
      </c>
      <c r="BB369" s="12"/>
      <c r="BD369" s="190">
        <f>BD361</f>
        <v>0.03</v>
      </c>
    </row>
    <row r="370" spans="1:56" s="3" customFormat="1" ht="12.75" customHeight="1">
      <c r="A370" s="416"/>
      <c r="B370" s="248" t="s">
        <v>446</v>
      </c>
      <c r="H370" s="3">
        <v>8</v>
      </c>
      <c r="I370" s="3">
        <v>9</v>
      </c>
      <c r="J370" s="3">
        <v>10</v>
      </c>
      <c r="K370" s="3">
        <v>10</v>
      </c>
      <c r="L370" s="3">
        <v>9.6</v>
      </c>
      <c r="M370" s="3">
        <v>9.6999999999999993</v>
      </c>
      <c r="N370" s="3">
        <f>M370+0.1</f>
        <v>9.7999999999999989</v>
      </c>
      <c r="O370" s="3">
        <f t="shared" ref="O370:AB370" si="499">O155</f>
        <v>2.75</v>
      </c>
      <c r="P370" s="3">
        <f t="shared" si="499"/>
        <v>2.75</v>
      </c>
      <c r="Q370" s="3">
        <f t="shared" si="499"/>
        <v>2.75</v>
      </c>
      <c r="R370" s="3">
        <f t="shared" si="499"/>
        <v>2.75</v>
      </c>
      <c r="S370" s="3">
        <f t="shared" si="499"/>
        <v>11</v>
      </c>
      <c r="T370" s="3">
        <f t="shared" si="499"/>
        <v>2.75</v>
      </c>
      <c r="U370" s="3">
        <f t="shared" si="499"/>
        <v>2.75</v>
      </c>
      <c r="V370" s="3">
        <f t="shared" si="499"/>
        <v>2.75</v>
      </c>
      <c r="W370" s="3">
        <f t="shared" si="499"/>
        <v>2.75</v>
      </c>
      <c r="X370" s="3">
        <f t="shared" si="499"/>
        <v>11</v>
      </c>
      <c r="Y370" s="3">
        <f t="shared" si="499"/>
        <v>2.75</v>
      </c>
      <c r="Z370" s="3">
        <f t="shared" si="499"/>
        <v>2.75</v>
      </c>
      <c r="AA370" s="3">
        <f t="shared" si="499"/>
        <v>2.75</v>
      </c>
      <c r="AB370" s="3">
        <f t="shared" si="499"/>
        <v>2.75</v>
      </c>
      <c r="AC370" s="3">
        <f>X370</f>
        <v>11</v>
      </c>
      <c r="AD370" s="691">
        <f t="shared" ref="AD370:AG371" si="500">AD155</f>
        <v>2.75</v>
      </c>
      <c r="AE370" s="691">
        <f t="shared" si="500"/>
        <v>2.75</v>
      </c>
      <c r="AF370" s="691">
        <f t="shared" si="500"/>
        <v>2.75</v>
      </c>
      <c r="AG370" s="691">
        <f t="shared" si="500"/>
        <v>2.75</v>
      </c>
      <c r="AH370" s="691">
        <f>AC370</f>
        <v>11</v>
      </c>
      <c r="AI370" s="691">
        <f t="shared" ref="AI370:AL370" si="501">AI155</f>
        <v>2.75</v>
      </c>
      <c r="AJ370" s="691">
        <f t="shared" si="501"/>
        <v>2.75</v>
      </c>
      <c r="AK370" s="691">
        <f t="shared" si="501"/>
        <v>2.75</v>
      </c>
      <c r="AL370" s="691">
        <f t="shared" si="501"/>
        <v>2.75</v>
      </c>
      <c r="AM370" s="3">
        <f>AH370</f>
        <v>11</v>
      </c>
      <c r="AN370" s="3">
        <f t="shared" ref="AN370:AQ371" si="502">AM370</f>
        <v>11</v>
      </c>
      <c r="AO370" s="3">
        <f t="shared" si="502"/>
        <v>11</v>
      </c>
      <c r="AP370" s="3">
        <f t="shared" si="502"/>
        <v>11</v>
      </c>
      <c r="AQ370" s="3">
        <f t="shared" si="502"/>
        <v>11</v>
      </c>
      <c r="AR370" s="3">
        <f t="shared" ref="AR370:BA370" si="503">AQ370</f>
        <v>11</v>
      </c>
      <c r="AS370" s="3">
        <f t="shared" si="503"/>
        <v>11</v>
      </c>
      <c r="AT370" s="3">
        <f t="shared" si="503"/>
        <v>11</v>
      </c>
      <c r="AU370" s="3">
        <f t="shared" si="503"/>
        <v>11</v>
      </c>
      <c r="AV370" s="3">
        <f t="shared" si="503"/>
        <v>11</v>
      </c>
      <c r="AW370" s="3">
        <f t="shared" si="503"/>
        <v>11</v>
      </c>
      <c r="AX370" s="3">
        <f t="shared" si="503"/>
        <v>11</v>
      </c>
      <c r="AY370" s="3">
        <f t="shared" si="503"/>
        <v>11</v>
      </c>
      <c r="AZ370" s="3">
        <f t="shared" si="503"/>
        <v>11</v>
      </c>
      <c r="BA370" s="3">
        <f t="shared" si="503"/>
        <v>11</v>
      </c>
    </row>
    <row r="371" spans="1:56" s="3" customFormat="1" ht="12.75" customHeight="1">
      <c r="A371" s="416"/>
      <c r="B371" s="248" t="s">
        <v>447</v>
      </c>
      <c r="H371" s="3">
        <v>6</v>
      </c>
      <c r="I371" s="3">
        <v>12</v>
      </c>
      <c r="J371" s="3">
        <v>6</v>
      </c>
      <c r="K371" s="3">
        <v>6</v>
      </c>
      <c r="L371" s="3">
        <v>5.8</v>
      </c>
      <c r="M371" s="3">
        <f>L371</f>
        <v>5.8</v>
      </c>
      <c r="N371" s="3">
        <f>M371</f>
        <v>5.8</v>
      </c>
      <c r="O371" s="3">
        <f t="shared" ref="O371:AB371" si="504">O156</f>
        <v>1.5</v>
      </c>
      <c r="P371" s="3">
        <f t="shared" si="504"/>
        <v>1.5</v>
      </c>
      <c r="Q371" s="3">
        <f t="shared" si="504"/>
        <v>1.5</v>
      </c>
      <c r="R371" s="3">
        <f t="shared" si="504"/>
        <v>1.5</v>
      </c>
      <c r="S371" s="3">
        <f t="shared" si="504"/>
        <v>6</v>
      </c>
      <c r="T371" s="3">
        <f t="shared" si="504"/>
        <v>1.5</v>
      </c>
      <c r="U371" s="3">
        <f t="shared" si="504"/>
        <v>1.5</v>
      </c>
      <c r="V371" s="3">
        <f t="shared" si="504"/>
        <v>1.5</v>
      </c>
      <c r="W371" s="3">
        <f t="shared" si="504"/>
        <v>1.5</v>
      </c>
      <c r="X371" s="3">
        <f t="shared" si="504"/>
        <v>6</v>
      </c>
      <c r="Y371" s="3">
        <f t="shared" si="504"/>
        <v>1.5</v>
      </c>
      <c r="Z371" s="3">
        <f t="shared" si="504"/>
        <v>1.5</v>
      </c>
      <c r="AA371" s="3">
        <f t="shared" si="504"/>
        <v>1.5</v>
      </c>
      <c r="AB371" s="3">
        <f t="shared" si="504"/>
        <v>1.5</v>
      </c>
      <c r="AC371" s="3">
        <f>X371</f>
        <v>6</v>
      </c>
      <c r="AD371" s="691">
        <f t="shared" si="500"/>
        <v>1.5</v>
      </c>
      <c r="AE371" s="691">
        <f t="shared" si="500"/>
        <v>1.5</v>
      </c>
      <c r="AF371" s="691">
        <f t="shared" si="500"/>
        <v>1.5</v>
      </c>
      <c r="AG371" s="691">
        <f t="shared" si="500"/>
        <v>1.5</v>
      </c>
      <c r="AH371" s="691">
        <f>AC371</f>
        <v>6</v>
      </c>
      <c r="AI371" s="691">
        <f t="shared" ref="AI371:AL371" si="505">AI156</f>
        <v>1.5</v>
      </c>
      <c r="AJ371" s="691">
        <f t="shared" si="505"/>
        <v>1.5</v>
      </c>
      <c r="AK371" s="691">
        <f t="shared" si="505"/>
        <v>1.5</v>
      </c>
      <c r="AL371" s="691">
        <f t="shared" si="505"/>
        <v>1.5</v>
      </c>
      <c r="AM371" s="3">
        <f>AH371</f>
        <v>6</v>
      </c>
      <c r="AN371" s="3">
        <f t="shared" si="502"/>
        <v>6</v>
      </c>
      <c r="AO371" s="3">
        <f t="shared" si="502"/>
        <v>6</v>
      </c>
      <c r="AP371" s="3">
        <f t="shared" si="502"/>
        <v>6</v>
      </c>
      <c r="AQ371" s="3">
        <f t="shared" si="502"/>
        <v>6</v>
      </c>
      <c r="AR371" s="3">
        <f t="shared" ref="AR371:BA371" si="506">AQ371</f>
        <v>6</v>
      </c>
      <c r="AS371" s="3">
        <f t="shared" si="506"/>
        <v>6</v>
      </c>
      <c r="AT371" s="3">
        <f t="shared" si="506"/>
        <v>6</v>
      </c>
      <c r="AU371" s="3">
        <f t="shared" si="506"/>
        <v>6</v>
      </c>
      <c r="AV371" s="3">
        <f t="shared" si="506"/>
        <v>6</v>
      </c>
      <c r="AW371" s="3">
        <f t="shared" si="506"/>
        <v>6</v>
      </c>
      <c r="AX371" s="3">
        <f t="shared" si="506"/>
        <v>6</v>
      </c>
      <c r="AY371" s="3">
        <f t="shared" si="506"/>
        <v>6</v>
      </c>
      <c r="AZ371" s="3">
        <f t="shared" si="506"/>
        <v>6</v>
      </c>
      <c r="BA371" s="3">
        <f t="shared" si="506"/>
        <v>6</v>
      </c>
    </row>
    <row r="372" spans="1:56" ht="12.75" customHeight="1">
      <c r="B372" s="253" t="s">
        <v>635</v>
      </c>
      <c r="C372" s="16"/>
      <c r="D372" s="16"/>
      <c r="E372" s="16"/>
      <c r="F372" s="16"/>
      <c r="G372" s="16"/>
      <c r="H372" s="413">
        <f t="shared" ref="H372:AC372" si="507">H373*1000000/(H368*H370+H369*H371)</f>
        <v>296.81717626141085</v>
      </c>
      <c r="I372" s="413">
        <f t="shared" si="507"/>
        <v>533.30669783687699</v>
      </c>
      <c r="J372" s="413">
        <f t="shared" si="507"/>
        <v>621.06686372574768</v>
      </c>
      <c r="K372" s="413">
        <f t="shared" si="507"/>
        <v>737.54335781114116</v>
      </c>
      <c r="L372" s="413">
        <f t="shared" si="507"/>
        <v>677.88185468850452</v>
      </c>
      <c r="M372" s="413">
        <f t="shared" si="507"/>
        <v>653.43317308019505</v>
      </c>
      <c r="N372" s="413">
        <f t="shared" si="507"/>
        <v>652.37019577152751</v>
      </c>
      <c r="O372" s="413">
        <f t="shared" si="507"/>
        <v>767.56920581533871</v>
      </c>
      <c r="P372" s="413">
        <f t="shared" si="507"/>
        <v>784.29603294714968</v>
      </c>
      <c r="Q372" s="413">
        <f t="shared" si="507"/>
        <v>766.34842728496699</v>
      </c>
      <c r="R372" s="413">
        <f t="shared" si="507"/>
        <v>783.03379786628739</v>
      </c>
      <c r="S372" s="413">
        <f t="shared" si="507"/>
        <v>769.60693627094247</v>
      </c>
      <c r="T372" s="413">
        <f t="shared" si="507"/>
        <v>773.39564647753059</v>
      </c>
      <c r="U372" s="413">
        <f t="shared" si="507"/>
        <v>748.21050701672129</v>
      </c>
      <c r="V372" s="413">
        <f t="shared" si="507"/>
        <v>717.75275123178039</v>
      </c>
      <c r="W372" s="413">
        <f t="shared" si="507"/>
        <v>747.53184792251352</v>
      </c>
      <c r="X372" s="413">
        <f t="shared" si="507"/>
        <v>741.10044334637189</v>
      </c>
      <c r="Y372" s="413">
        <f t="shared" si="507"/>
        <v>753.74838494927894</v>
      </c>
      <c r="Z372" s="413">
        <f t="shared" si="507"/>
        <v>787.63316265580545</v>
      </c>
      <c r="AA372" s="413">
        <f t="shared" si="507"/>
        <v>744.31405554147204</v>
      </c>
      <c r="AB372" s="413">
        <f t="shared" si="507"/>
        <v>682.6953056679688</v>
      </c>
      <c r="AC372" s="413">
        <f t="shared" si="507"/>
        <v>729.54308801746004</v>
      </c>
      <c r="AD372" s="723">
        <f t="shared" ref="AD372:AL372" si="508">AD373*1000000/(AD368*AD370+AD369*AD371)</f>
        <v>740.5222513327551</v>
      </c>
      <c r="AE372" s="723">
        <f t="shared" si="508"/>
        <v>682.72524268050176</v>
      </c>
      <c r="AF372" s="723">
        <f t="shared" si="508"/>
        <v>661.36333072848936</v>
      </c>
      <c r="AG372" s="723">
        <f t="shared" si="508"/>
        <v>707.4906551644674</v>
      </c>
      <c r="AH372" s="723">
        <f t="shared" si="508"/>
        <v>690.02562817715784</v>
      </c>
      <c r="AI372" s="723">
        <f t="shared" si="508"/>
        <v>658.98895696745774</v>
      </c>
      <c r="AJ372" s="723">
        <f t="shared" si="508"/>
        <v>654.14593514463434</v>
      </c>
      <c r="AK372" s="723">
        <f t="shared" si="508"/>
        <v>586.59746438515401</v>
      </c>
      <c r="AL372" s="723">
        <f t="shared" si="508"/>
        <v>559.61274797839906</v>
      </c>
      <c r="AM372" s="16">
        <f>AH372/(1+$BD380)</f>
        <v>669.92779434675515</v>
      </c>
      <c r="AN372" s="16">
        <f t="shared" ref="AN372:BA372" si="509">AM372/(1+$BD380)</f>
        <v>650.41533431723803</v>
      </c>
      <c r="AO372" s="16">
        <f t="shared" si="509"/>
        <v>631.47119836625052</v>
      </c>
      <c r="AP372" s="16">
        <f t="shared" si="509"/>
        <v>613.07883336529176</v>
      </c>
      <c r="AQ372" s="16">
        <f t="shared" si="509"/>
        <v>595.22216831581727</v>
      </c>
      <c r="AR372" s="16">
        <f t="shared" si="509"/>
        <v>577.8856003066187</v>
      </c>
      <c r="AS372" s="16">
        <f t="shared" si="509"/>
        <v>561.05398088021229</v>
      </c>
      <c r="AT372" s="16">
        <f t="shared" si="509"/>
        <v>544.71260279632259</v>
      </c>
      <c r="AU372" s="16">
        <f t="shared" si="509"/>
        <v>528.84718718089573</v>
      </c>
      <c r="AV372" s="16">
        <f t="shared" si="509"/>
        <v>513.44387104941336</v>
      </c>
      <c r="AW372" s="16">
        <f t="shared" si="509"/>
        <v>498.48919519360521</v>
      </c>
      <c r="AX372" s="16">
        <f t="shared" si="509"/>
        <v>483.9700924209759</v>
      </c>
      <c r="AY372" s="16">
        <f t="shared" si="509"/>
        <v>469.8738761368698</v>
      </c>
      <c r="AZ372" s="16">
        <f t="shared" si="509"/>
        <v>456.18822925909689</v>
      </c>
      <c r="BA372" s="16">
        <f t="shared" si="509"/>
        <v>442.90119345543388</v>
      </c>
      <c r="BB372" s="16"/>
    </row>
    <row r="373" spans="1:56" s="3" customFormat="1" ht="12.75" customHeight="1">
      <c r="A373" s="416"/>
      <c r="B373" s="259" t="s">
        <v>636</v>
      </c>
      <c r="C373" s="260"/>
      <c r="D373" s="260"/>
      <c r="E373" s="260"/>
      <c r="F373" s="260"/>
      <c r="G373" s="260"/>
      <c r="H373" s="260">
        <f>REVS!W10</f>
        <v>78.027000000000001</v>
      </c>
      <c r="I373" s="260">
        <f>REVS!AB10</f>
        <v>380.69800000000004</v>
      </c>
      <c r="J373" s="260">
        <f>REVS!AG10</f>
        <v>711.649</v>
      </c>
      <c r="K373" s="260">
        <f>REVS!AL10</f>
        <v>986.64799999999991</v>
      </c>
      <c r="L373" s="260">
        <f>REVS!AQ10</f>
        <v>1169.5910000000001</v>
      </c>
      <c r="M373" s="260">
        <f>REVS!AV10</f>
        <v>1171.3510000000001</v>
      </c>
      <c r="N373" s="260">
        <f>REVS!BA10</f>
        <v>1257.2649999999999</v>
      </c>
      <c r="O373" s="260">
        <f>REVS!BB10</f>
        <v>321.87599999999998</v>
      </c>
      <c r="P373" s="260">
        <f>REVS!BC10</f>
        <v>328.81400000000002</v>
      </c>
      <c r="Q373" s="260">
        <f>REVS!BD10</f>
        <v>329.93599999999998</v>
      </c>
      <c r="R373" s="260">
        <f>REVS!BE10</f>
        <v>334.90699999999998</v>
      </c>
      <c r="S373" s="260">
        <f>REVS!BF10</f>
        <v>1315.5329999999999</v>
      </c>
      <c r="T373" s="260">
        <f>REVS!BG10</f>
        <v>332.02699999999999</v>
      </c>
      <c r="U373" s="260">
        <f>REVS!BH10</f>
        <v>324.99200000000002</v>
      </c>
      <c r="V373" s="260">
        <f>REVS!BI10</f>
        <v>313.96300000000002</v>
      </c>
      <c r="W373" s="260">
        <f>REVS!BJ10</f>
        <v>324.59399999999999</v>
      </c>
      <c r="X373" s="653">
        <f>REVS!BK10</f>
        <v>1295.576</v>
      </c>
      <c r="Y373" s="653">
        <f>REVS!BL10</f>
        <v>323.18599999999998</v>
      </c>
      <c r="Z373" s="653">
        <f>REVS!BM10</f>
        <v>337.98099999999999</v>
      </c>
      <c r="AA373" s="653">
        <f>REVS!BN10</f>
        <v>326.34500000000003</v>
      </c>
      <c r="AB373" s="653">
        <f>REVS!BO10</f>
        <v>287</v>
      </c>
      <c r="AC373" s="653">
        <f>REVS!BP10</f>
        <v>1274.912</v>
      </c>
      <c r="AD373" s="653">
        <f>REVS!BQ10</f>
        <v>301</v>
      </c>
      <c r="AE373" s="653">
        <f>REVS!BR10</f>
        <v>277</v>
      </c>
      <c r="AF373" s="653">
        <f>REVS!BS10</f>
        <v>268</v>
      </c>
      <c r="AG373" s="653">
        <f>REVS!BT10</f>
        <v>272</v>
      </c>
      <c r="AH373" s="653">
        <f>REVS!BU10</f>
        <v>1118</v>
      </c>
      <c r="AI373" s="653">
        <f>REVS!BV10</f>
        <v>251</v>
      </c>
      <c r="AJ373" s="653">
        <f>REVS!BW10</f>
        <v>245</v>
      </c>
      <c r="AK373" s="653">
        <f>REVS!BX10</f>
        <v>217</v>
      </c>
      <c r="AL373" s="653">
        <f>REVS!BY10</f>
        <v>200</v>
      </c>
      <c r="AM373" s="260">
        <f t="shared" ref="AM373:BA373" si="510">(AM368*AM370*AM372/1000000)+(AM369*AM371*AM372/1000000)</f>
        <v>909.34789210682607</v>
      </c>
      <c r="AN373" s="260">
        <f t="shared" si="510"/>
        <v>644.95263253402902</v>
      </c>
      <c r="AO373" s="260">
        <f t="shared" si="510"/>
        <v>161.29948129750747</v>
      </c>
      <c r="AP373" s="260">
        <f t="shared" si="510"/>
        <v>50.062314326548254</v>
      </c>
      <c r="AQ373" s="260">
        <f t="shared" si="510"/>
        <v>5.8289372596848708</v>
      </c>
      <c r="AR373" s="260">
        <f t="shared" si="510"/>
        <v>0.82748589414075391</v>
      </c>
      <c r="AS373" s="260">
        <f t="shared" si="510"/>
        <v>0.15559545573070604</v>
      </c>
      <c r="AT373" s="260">
        <f t="shared" si="510"/>
        <v>3.7267847245397959E-2</v>
      </c>
      <c r="AU373" s="260">
        <f t="shared" si="510"/>
        <v>1.0196884955888622E-2</v>
      </c>
      <c r="AV373" s="260">
        <f t="shared" si="510"/>
        <v>2.9481319597344608E-3</v>
      </c>
      <c r="AW373" s="260">
        <f t="shared" si="510"/>
        <v>8.6958231866929509E-4</v>
      </c>
      <c r="AX373" s="260">
        <f t="shared" si="510"/>
        <v>2.5826070444837551E-4</v>
      </c>
      <c r="AY373" s="260">
        <f t="shared" si="510"/>
        <v>7.6878335177676878E-5</v>
      </c>
      <c r="AZ373" s="260">
        <f t="shared" si="510"/>
        <v>2.2901943376730445E-5</v>
      </c>
      <c r="BA373" s="260">
        <f t="shared" si="510"/>
        <v>6.8239457776771761E-6</v>
      </c>
    </row>
    <row r="374" spans="1:56" s="3" customFormat="1" ht="12.75" customHeight="1">
      <c r="A374" s="416"/>
      <c r="B374" s="59"/>
      <c r="AI374" s="691"/>
      <c r="AJ374" s="691"/>
      <c r="AK374" s="691"/>
      <c r="AL374" s="691"/>
    </row>
    <row r="375" spans="1:56" s="16" customFormat="1" ht="12.75" customHeight="1">
      <c r="A375" s="422"/>
      <c r="B375" s="178" t="s">
        <v>654</v>
      </c>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689"/>
      <c r="AJ375" s="689"/>
      <c r="AK375" s="689"/>
      <c r="AL375" s="689"/>
      <c r="AM375" s="1"/>
      <c r="AN375" s="1"/>
      <c r="AO375" s="1"/>
      <c r="AP375" s="1"/>
      <c r="AQ375" s="1"/>
      <c r="AR375" s="1"/>
      <c r="AS375" s="1"/>
      <c r="AT375" s="1"/>
      <c r="AU375" s="1"/>
      <c r="AV375" s="1"/>
      <c r="AW375" s="1"/>
      <c r="AX375" s="1"/>
      <c r="AY375" s="1"/>
      <c r="AZ375" s="1"/>
      <c r="BA375" s="1"/>
      <c r="BB375" s="1"/>
      <c r="BD375" s="2"/>
    </row>
    <row r="376" spans="1:56" s="16" customFormat="1" ht="12.75" customHeight="1">
      <c r="A376" s="422"/>
      <c r="B376" s="231" t="s">
        <v>640</v>
      </c>
      <c r="C376" s="12"/>
      <c r="D376" s="12"/>
      <c r="E376" s="12"/>
      <c r="F376" s="12"/>
      <c r="G376" s="12"/>
      <c r="H376" s="12"/>
      <c r="I376" s="12"/>
      <c r="J376" s="12"/>
      <c r="K376" s="12">
        <f t="shared" ref="K376:AC376" si="511">K292</f>
        <v>19727.890000000003</v>
      </c>
      <c r="L376" s="12">
        <f t="shared" si="511"/>
        <v>63607.316500000008</v>
      </c>
      <c r="M376" s="12">
        <f t="shared" si="511"/>
        <v>83772.932774999994</v>
      </c>
      <c r="N376" s="12">
        <f t="shared" si="511"/>
        <v>96060.59100878959</v>
      </c>
      <c r="O376" s="12">
        <f t="shared" si="511"/>
        <v>82550.725607079788</v>
      </c>
      <c r="P376" s="12">
        <f t="shared" si="511"/>
        <v>83967.809114944583</v>
      </c>
      <c r="Q376" s="12">
        <f t="shared" si="511"/>
        <v>84124.006997132485</v>
      </c>
      <c r="R376" s="12">
        <f t="shared" si="511"/>
        <v>84718.646884797403</v>
      </c>
      <c r="S376" s="12">
        <f t="shared" si="511"/>
        <v>84459.764352046855</v>
      </c>
      <c r="T376" s="12">
        <f t="shared" si="511"/>
        <v>86184.706317907854</v>
      </c>
      <c r="U376" s="12">
        <f t="shared" si="511"/>
        <v>88244.705499534452</v>
      </c>
      <c r="V376" s="12">
        <f t="shared" si="511"/>
        <v>87073.14463567076</v>
      </c>
      <c r="W376" s="12">
        <f t="shared" si="511"/>
        <v>85083.504583216709</v>
      </c>
      <c r="X376" s="12">
        <f t="shared" si="511"/>
        <v>87293.76040975294</v>
      </c>
      <c r="Y376" s="12">
        <f t="shared" si="511"/>
        <v>83132.391851994616</v>
      </c>
      <c r="Z376" s="12">
        <f t="shared" si="511"/>
        <v>82609.86469476136</v>
      </c>
      <c r="AA376" s="12">
        <f t="shared" si="511"/>
        <v>81934.803711218454</v>
      </c>
      <c r="AB376" s="12">
        <f t="shared" si="511"/>
        <v>78325.008034025319</v>
      </c>
      <c r="AC376" s="12">
        <f t="shared" si="511"/>
        <v>82971.473372923545</v>
      </c>
      <c r="AD376" s="692">
        <f t="shared" ref="AD376:AL376" si="512">AD292</f>
        <v>74996.680426638806</v>
      </c>
      <c r="AE376" s="692">
        <f t="shared" si="512"/>
        <v>75142.420047413456</v>
      </c>
      <c r="AF376" s="692">
        <f t="shared" si="512"/>
        <v>74503.342704783616</v>
      </c>
      <c r="AG376" s="692">
        <f t="shared" si="512"/>
        <v>66500.843950515715</v>
      </c>
      <c r="AH376" s="692">
        <f t="shared" si="512"/>
        <v>73632.910611985673</v>
      </c>
      <c r="AI376" s="692">
        <f t="shared" si="512"/>
        <v>69539.999999999985</v>
      </c>
      <c r="AJ376" s="692">
        <f t="shared" si="512"/>
        <v>66119.999999999985</v>
      </c>
      <c r="AK376" s="692">
        <f t="shared" si="512"/>
        <v>61559.999999999993</v>
      </c>
      <c r="AL376" s="692">
        <f t="shared" si="512"/>
        <v>60419.999999999993</v>
      </c>
      <c r="AM376" s="12">
        <f t="shared" ref="AM376:BA376" si="513">AM292</f>
        <v>67894.297443909352</v>
      </c>
      <c r="AN376" s="12">
        <f t="shared" si="513"/>
        <v>29742.646988017364</v>
      </c>
      <c r="AO376" s="12">
        <f t="shared" si="513"/>
        <v>15328.754920586014</v>
      </c>
      <c r="AP376" s="12">
        <f t="shared" si="513"/>
        <v>4740.0755890347427</v>
      </c>
      <c r="AQ376" s="12">
        <f t="shared" si="513"/>
        <v>488.58740970190297</v>
      </c>
      <c r="AR376" s="12">
        <f t="shared" si="513"/>
        <v>50.361556963453452</v>
      </c>
      <c r="AS376" s="12">
        <f t="shared" si="513"/>
        <v>5.1910581916595246</v>
      </c>
      <c r="AT376" s="12">
        <f t="shared" si="513"/>
        <v>0.53507236222493848</v>
      </c>
      <c r="AU376" s="12">
        <f t="shared" si="513"/>
        <v>5.5152983921337509E-2</v>
      </c>
      <c r="AV376" s="12">
        <f t="shared" si="513"/>
        <v>5.6849334041466984E-3</v>
      </c>
      <c r="AW376" s="12">
        <f t="shared" si="513"/>
        <v>5.859784198139666E-4</v>
      </c>
      <c r="AX376" s="12">
        <f t="shared" si="513"/>
        <v>6.0400110934278918E-5</v>
      </c>
      <c r="AY376" s="12">
        <f t="shared" si="513"/>
        <v>6.2257793356114526E-6</v>
      </c>
      <c r="AZ376" s="12">
        <f t="shared" si="513"/>
        <v>6.4172592479052542E-7</v>
      </c>
      <c r="BA376" s="12">
        <f t="shared" si="513"/>
        <v>6.6146263871163477E-8</v>
      </c>
      <c r="BB376" s="12"/>
      <c r="BD376" s="191"/>
    </row>
    <row r="377" spans="1:56" s="16" customFormat="1" ht="12.75" customHeight="1">
      <c r="A377" s="422"/>
      <c r="B377" s="231" t="s">
        <v>641</v>
      </c>
      <c r="C377" s="12"/>
      <c r="D377" s="12"/>
      <c r="E377" s="12"/>
      <c r="F377" s="12"/>
      <c r="G377" s="12"/>
      <c r="H377" s="12"/>
      <c r="I377" s="12"/>
      <c r="J377" s="12"/>
      <c r="K377" s="12">
        <f t="shared" ref="K377:AC377" si="514">+K346</f>
        <v>3344.7599999999984</v>
      </c>
      <c r="L377" s="12">
        <f t="shared" si="514"/>
        <v>6583.4268499999989</v>
      </c>
      <c r="M377" s="12">
        <f t="shared" si="514"/>
        <v>7882.3547249999983</v>
      </c>
      <c r="N377" s="12">
        <f t="shared" si="514"/>
        <v>8770.7013597770783</v>
      </c>
      <c r="O377" s="12">
        <f t="shared" si="514"/>
        <v>7509.274392920197</v>
      </c>
      <c r="P377" s="12">
        <f t="shared" si="514"/>
        <v>7232.1908850553982</v>
      </c>
      <c r="Q377" s="12">
        <f t="shared" si="514"/>
        <v>8215.9930028674971</v>
      </c>
      <c r="R377" s="12">
        <f t="shared" si="514"/>
        <v>7621.353115202588</v>
      </c>
      <c r="S377" s="12">
        <f t="shared" si="514"/>
        <v>7700.7422101526154</v>
      </c>
      <c r="T377" s="12">
        <f t="shared" si="514"/>
        <v>7295.293682092125</v>
      </c>
      <c r="U377" s="12">
        <f t="shared" si="514"/>
        <v>6375.2945004655385</v>
      </c>
      <c r="V377" s="12">
        <f t="shared" si="514"/>
        <v>6406.8553643292298</v>
      </c>
      <c r="W377" s="12">
        <f t="shared" si="514"/>
        <v>6116.4954167832739</v>
      </c>
      <c r="X377" s="12">
        <f t="shared" si="514"/>
        <v>6599.3766338977448</v>
      </c>
      <c r="Y377" s="12">
        <f t="shared" si="514"/>
        <v>5787.6081480053626</v>
      </c>
      <c r="Z377" s="12">
        <f t="shared" si="514"/>
        <v>5170.1353052386221</v>
      </c>
      <c r="AA377" s="12">
        <f t="shared" si="514"/>
        <v>5845.1962887815343</v>
      </c>
      <c r="AB377" s="12">
        <f t="shared" si="514"/>
        <v>4894.9919659746838</v>
      </c>
      <c r="AC377" s="12">
        <f t="shared" si="514"/>
        <v>5523.0126366092854</v>
      </c>
      <c r="AD377" s="692">
        <f t="shared" ref="AD377:AL377" si="515">+AD346</f>
        <v>5943.3195733611983</v>
      </c>
      <c r="AE377" s="692">
        <f t="shared" si="515"/>
        <v>4657.5799525865405</v>
      </c>
      <c r="AF377" s="692">
        <f t="shared" si="515"/>
        <v>3016.6572952163806</v>
      </c>
      <c r="AG377" s="692">
        <f t="shared" si="515"/>
        <v>3039.1560494842711</v>
      </c>
      <c r="AH377" s="692">
        <f t="shared" si="515"/>
        <v>4221.0500687281547</v>
      </c>
      <c r="AI377" s="692">
        <f t="shared" si="515"/>
        <v>0</v>
      </c>
      <c r="AJ377" s="692">
        <f t="shared" si="515"/>
        <v>0</v>
      </c>
      <c r="AK377" s="692">
        <f t="shared" si="515"/>
        <v>0</v>
      </c>
      <c r="AL377" s="692">
        <f t="shared" si="515"/>
        <v>0</v>
      </c>
      <c r="AM377" s="12">
        <f t="shared" ref="AM377:BA377" si="516">+AM346</f>
        <v>3457.0831971625312</v>
      </c>
      <c r="AN377" s="12">
        <f t="shared" si="516"/>
        <v>3185.1838907338192</v>
      </c>
      <c r="AO377" s="12">
        <f t="shared" si="516"/>
        <v>815.15331752017516</v>
      </c>
      <c r="AP377" s="12">
        <f t="shared" si="516"/>
        <v>417.21169610305378</v>
      </c>
      <c r="AQ377" s="12">
        <f t="shared" si="516"/>
        <v>128.11708904570384</v>
      </c>
      <c r="AR377" s="12">
        <f t="shared" si="516"/>
        <v>39.340473413661179</v>
      </c>
      <c r="AS377" s="12">
        <f t="shared" si="516"/>
        <v>12.079634604396063</v>
      </c>
      <c r="AT377" s="12">
        <f t="shared" si="516"/>
        <v>3.7089371132796285</v>
      </c>
      <c r="AU377" s="12">
        <f t="shared" si="516"/>
        <v>1.1387446604602478</v>
      </c>
      <c r="AV377" s="12">
        <f t="shared" si="516"/>
        <v>0.34961028427030222</v>
      </c>
      <c r="AW377" s="12">
        <f t="shared" si="516"/>
        <v>0.10733040123626365</v>
      </c>
      <c r="AX377" s="12">
        <f t="shared" si="516"/>
        <v>3.2948963251808801E-2</v>
      </c>
      <c r="AY377" s="12">
        <f t="shared" si="516"/>
        <v>1.0114418927101076E-2</v>
      </c>
      <c r="AZ377" s="12">
        <f t="shared" si="516"/>
        <v>3.1047028008001176E-3</v>
      </c>
      <c r="BA377" s="12">
        <f t="shared" si="516"/>
        <v>9.5296898258630562E-4</v>
      </c>
      <c r="BB377" s="12"/>
      <c r="BD377" s="2"/>
    </row>
    <row r="378" spans="1:56" s="3" customFormat="1" ht="12.75" customHeight="1">
      <c r="A378" s="416"/>
      <c r="B378" s="248" t="s">
        <v>446</v>
      </c>
      <c r="K378" s="3">
        <v>10</v>
      </c>
      <c r="L378" s="3">
        <v>10</v>
      </c>
      <c r="M378" s="3">
        <v>9.9600000000000009</v>
      </c>
      <c r="N378" s="3">
        <v>10</v>
      </c>
      <c r="O378" s="3">
        <f t="shared" ref="O378:W378" si="517">O166</f>
        <v>2.75</v>
      </c>
      <c r="P378" s="3">
        <f t="shared" si="517"/>
        <v>2.75</v>
      </c>
      <c r="Q378" s="3">
        <f t="shared" si="517"/>
        <v>2.75</v>
      </c>
      <c r="R378" s="3">
        <f t="shared" si="517"/>
        <v>2.75</v>
      </c>
      <c r="S378" s="3">
        <f t="shared" si="517"/>
        <v>11</v>
      </c>
      <c r="T378" s="3">
        <f t="shared" si="517"/>
        <v>2.75</v>
      </c>
      <c r="U378" s="3">
        <f t="shared" si="517"/>
        <v>2.75</v>
      </c>
      <c r="V378" s="3">
        <f t="shared" si="517"/>
        <v>2.75</v>
      </c>
      <c r="W378" s="3">
        <f t="shared" si="517"/>
        <v>2.75</v>
      </c>
      <c r="X378" s="3">
        <f>S378</f>
        <v>11</v>
      </c>
      <c r="Y378" s="3">
        <f t="shared" ref="Y378:AB379" si="518">Y166</f>
        <v>2.75</v>
      </c>
      <c r="Z378" s="3">
        <f t="shared" si="518"/>
        <v>2.75</v>
      </c>
      <c r="AA378" s="3">
        <f t="shared" si="518"/>
        <v>2.75</v>
      </c>
      <c r="AB378" s="3">
        <f t="shared" si="518"/>
        <v>2.75</v>
      </c>
      <c r="AC378" s="3">
        <f>X378</f>
        <v>11</v>
      </c>
      <c r="AD378" s="691">
        <f t="shared" ref="AD378:AG379" si="519">AD166</f>
        <v>2.75</v>
      </c>
      <c r="AE378" s="691">
        <f t="shared" si="519"/>
        <v>2.75</v>
      </c>
      <c r="AF378" s="691">
        <f t="shared" si="519"/>
        <v>2.75</v>
      </c>
      <c r="AG378" s="691">
        <f t="shared" si="519"/>
        <v>2.75</v>
      </c>
      <c r="AH378" s="691">
        <f>AC378</f>
        <v>11</v>
      </c>
      <c r="AI378" s="691">
        <f t="shared" ref="AI378:AL378" si="520">AI166</f>
        <v>2.75</v>
      </c>
      <c r="AJ378" s="691">
        <f t="shared" si="520"/>
        <v>2.75</v>
      </c>
      <c r="AK378" s="691">
        <f t="shared" si="520"/>
        <v>2.75</v>
      </c>
      <c r="AL378" s="691">
        <f t="shared" si="520"/>
        <v>2.75</v>
      </c>
      <c r="AM378" s="3">
        <f>AH378</f>
        <v>11</v>
      </c>
      <c r="AN378" s="3">
        <f t="shared" ref="AN378:AP379" si="521">AM378</f>
        <v>11</v>
      </c>
      <c r="AO378" s="3">
        <f t="shared" si="521"/>
        <v>11</v>
      </c>
      <c r="AP378" s="3">
        <f t="shared" si="521"/>
        <v>11</v>
      </c>
      <c r="AQ378" s="3">
        <f>AP378</f>
        <v>11</v>
      </c>
      <c r="AR378" s="3">
        <f t="shared" ref="AR378:BA378" si="522">AQ378</f>
        <v>11</v>
      </c>
      <c r="AS378" s="3">
        <f t="shared" si="522"/>
        <v>11</v>
      </c>
      <c r="AT378" s="3">
        <f t="shared" si="522"/>
        <v>11</v>
      </c>
      <c r="AU378" s="3">
        <f t="shared" si="522"/>
        <v>11</v>
      </c>
      <c r="AV378" s="3">
        <f t="shared" si="522"/>
        <v>11</v>
      </c>
      <c r="AW378" s="3">
        <f t="shared" si="522"/>
        <v>11</v>
      </c>
      <c r="AX378" s="3">
        <f t="shared" si="522"/>
        <v>11</v>
      </c>
      <c r="AY378" s="3">
        <f t="shared" si="522"/>
        <v>11</v>
      </c>
      <c r="AZ378" s="3">
        <f t="shared" si="522"/>
        <v>11</v>
      </c>
      <c r="BA378" s="3">
        <f t="shared" si="522"/>
        <v>11</v>
      </c>
    </row>
    <row r="379" spans="1:56" s="3" customFormat="1" ht="12.75" customHeight="1">
      <c r="A379" s="416"/>
      <c r="B379" s="248" t="s">
        <v>447</v>
      </c>
      <c r="K379" s="3">
        <v>4.5</v>
      </c>
      <c r="L379" s="3">
        <v>5.6</v>
      </c>
      <c r="M379" s="3">
        <v>5.8</v>
      </c>
      <c r="N379" s="3">
        <f>M379</f>
        <v>5.8</v>
      </c>
      <c r="O379" s="3">
        <f t="shared" ref="O379:W379" si="523">O167</f>
        <v>1.5</v>
      </c>
      <c r="P379" s="3">
        <f t="shared" si="523"/>
        <v>1.5</v>
      </c>
      <c r="Q379" s="3">
        <f t="shared" si="523"/>
        <v>1.5</v>
      </c>
      <c r="R379" s="3">
        <f t="shared" si="523"/>
        <v>1.5</v>
      </c>
      <c r="S379" s="3">
        <f t="shared" si="523"/>
        <v>6</v>
      </c>
      <c r="T379" s="3">
        <f t="shared" si="523"/>
        <v>1.5</v>
      </c>
      <c r="U379" s="3">
        <f t="shared" si="523"/>
        <v>1.5</v>
      </c>
      <c r="V379" s="3">
        <f t="shared" si="523"/>
        <v>1.5</v>
      </c>
      <c r="W379" s="3">
        <f t="shared" si="523"/>
        <v>1.5</v>
      </c>
      <c r="X379" s="3">
        <f>S379</f>
        <v>6</v>
      </c>
      <c r="Y379" s="3">
        <f t="shared" si="518"/>
        <v>1.5</v>
      </c>
      <c r="Z379" s="3">
        <f t="shared" si="518"/>
        <v>1.5</v>
      </c>
      <c r="AA379" s="3">
        <f t="shared" si="518"/>
        <v>1.5</v>
      </c>
      <c r="AB379" s="3">
        <f t="shared" si="518"/>
        <v>1.5</v>
      </c>
      <c r="AC379" s="3">
        <f>X379</f>
        <v>6</v>
      </c>
      <c r="AD379" s="691">
        <f t="shared" si="519"/>
        <v>1.5</v>
      </c>
      <c r="AE379" s="691">
        <f t="shared" si="519"/>
        <v>1.5</v>
      </c>
      <c r="AF379" s="691">
        <f t="shared" si="519"/>
        <v>1.5</v>
      </c>
      <c r="AG379" s="691">
        <f t="shared" si="519"/>
        <v>1.5</v>
      </c>
      <c r="AH379" s="691">
        <f>AC379</f>
        <v>6</v>
      </c>
      <c r="AI379" s="691">
        <f t="shared" ref="AI379:AL379" si="524">AI167</f>
        <v>1.5</v>
      </c>
      <c r="AJ379" s="691">
        <f t="shared" si="524"/>
        <v>1.5</v>
      </c>
      <c r="AK379" s="691">
        <f t="shared" si="524"/>
        <v>1.5</v>
      </c>
      <c r="AL379" s="691">
        <f t="shared" si="524"/>
        <v>1.5</v>
      </c>
      <c r="AM379" s="3">
        <f>AH379</f>
        <v>6</v>
      </c>
      <c r="AN379" s="3">
        <f t="shared" si="521"/>
        <v>6</v>
      </c>
      <c r="AO379" s="3">
        <f t="shared" si="521"/>
        <v>6</v>
      </c>
      <c r="AP379" s="3">
        <f t="shared" si="521"/>
        <v>6</v>
      </c>
      <c r="AQ379" s="3">
        <f>AP379</f>
        <v>6</v>
      </c>
      <c r="AR379" s="3">
        <f t="shared" ref="AR379:BA379" si="525">AQ379</f>
        <v>6</v>
      </c>
      <c r="AS379" s="3">
        <f t="shared" si="525"/>
        <v>6</v>
      </c>
      <c r="AT379" s="3">
        <f t="shared" si="525"/>
        <v>6</v>
      </c>
      <c r="AU379" s="3">
        <f t="shared" si="525"/>
        <v>6</v>
      </c>
      <c r="AV379" s="3">
        <f t="shared" si="525"/>
        <v>6</v>
      </c>
      <c r="AW379" s="3">
        <f t="shared" si="525"/>
        <v>6</v>
      </c>
      <c r="AX379" s="3">
        <f t="shared" si="525"/>
        <v>6</v>
      </c>
      <c r="AY379" s="3">
        <f t="shared" si="525"/>
        <v>6</v>
      </c>
      <c r="AZ379" s="3">
        <f t="shared" si="525"/>
        <v>6</v>
      </c>
      <c r="BA379" s="3">
        <f t="shared" si="525"/>
        <v>6</v>
      </c>
    </row>
    <row r="380" spans="1:56" ht="12.75" customHeight="1">
      <c r="B380" s="253" t="s">
        <v>635</v>
      </c>
      <c r="C380" s="16"/>
      <c r="D380" s="16"/>
      <c r="E380" s="16"/>
      <c r="F380" s="16"/>
      <c r="G380" s="16"/>
      <c r="H380" s="16"/>
      <c r="I380" s="16"/>
      <c r="J380" s="16"/>
      <c r="K380" s="413">
        <f t="shared" ref="K380:X380" si="526">K381*1000000/(K376*K378+K377*K379)</f>
        <v>1063.2207402127026</v>
      </c>
      <c r="L380" s="413">
        <f t="shared" si="526"/>
        <v>1006.8633789060387</v>
      </c>
      <c r="M380" s="413">
        <f t="shared" si="526"/>
        <v>1034.1893723371727</v>
      </c>
      <c r="N380" s="413">
        <f t="shared" si="526"/>
        <v>1030.8381243891295</v>
      </c>
      <c r="O380" s="413">
        <f t="shared" si="526"/>
        <v>1136.0492266088813</v>
      </c>
      <c r="P380" s="413">
        <f t="shared" si="526"/>
        <v>1158.6915803736483</v>
      </c>
      <c r="Q380" s="413">
        <f t="shared" si="526"/>
        <v>1109.1990655140623</v>
      </c>
      <c r="R380" s="413">
        <f t="shared" si="526"/>
        <v>1151.6629758023446</v>
      </c>
      <c r="S380" s="413">
        <f t="shared" si="526"/>
        <v>1130.5373909717068</v>
      </c>
      <c r="T380" s="413">
        <f t="shared" si="526"/>
        <v>1122.0569039681141</v>
      </c>
      <c r="U380" s="413">
        <f t="shared" si="526"/>
        <v>1073.5189537181493</v>
      </c>
      <c r="V380" s="413">
        <f t="shared" si="526"/>
        <v>1031.2837245837459</v>
      </c>
      <c r="W380" s="413">
        <f t="shared" si="526"/>
        <v>1052.380792946409</v>
      </c>
      <c r="X380" s="413">
        <f t="shared" si="526"/>
        <v>1061.9220495453062</v>
      </c>
      <c r="Y380" s="413">
        <f t="shared" ref="Y380:AH380" si="527">Y381*1000000/(Y376*Y378+Y377*Y379)</f>
        <v>996.68139577533816</v>
      </c>
      <c r="Z380" s="413">
        <f t="shared" si="527"/>
        <v>997.42763856205875</v>
      </c>
      <c r="AA380" s="413">
        <f t="shared" si="527"/>
        <v>951.44783099644621</v>
      </c>
      <c r="AB380" s="723">
        <f t="shared" si="527"/>
        <v>870.98526285282674</v>
      </c>
      <c r="AC380" s="723">
        <f t="shared" si="527"/>
        <v>938.39734930274449</v>
      </c>
      <c r="AD380" s="723">
        <f t="shared" si="527"/>
        <v>901.67197182479435</v>
      </c>
      <c r="AE380" s="723">
        <f t="shared" si="527"/>
        <v>833.22401145925244</v>
      </c>
      <c r="AF380" s="723">
        <f t="shared" si="527"/>
        <v>768.82972009513173</v>
      </c>
      <c r="AG380" s="723">
        <f t="shared" si="527"/>
        <v>858.95960653424584</v>
      </c>
      <c r="AH380" s="723">
        <f t="shared" si="527"/>
        <v>830.85084007009027</v>
      </c>
      <c r="AI380" s="723">
        <f t="shared" ref="AI380:AL380" si="528">AI381*1000000/(AI376*AI378+AI377*AI379)</f>
        <v>747.77106701179184</v>
      </c>
      <c r="AJ380" s="723">
        <f t="shared" si="528"/>
        <v>769.94995325303864</v>
      </c>
      <c r="AK380" s="723">
        <f t="shared" si="528"/>
        <v>762.00602516392007</v>
      </c>
      <c r="AL380" s="723">
        <f t="shared" si="528"/>
        <v>649.99548614245748</v>
      </c>
      <c r="AM380" s="16">
        <f>AH380/(1+$BD$380)</f>
        <v>806.65130103892261</v>
      </c>
      <c r="AN380" s="16">
        <f t="shared" ref="AN380:BA380" si="529">AM380/(1+$BD$380)</f>
        <v>783.15660295041027</v>
      </c>
      <c r="AO380" s="16">
        <f t="shared" si="529"/>
        <v>760.34621645670893</v>
      </c>
      <c r="AP380" s="16">
        <f t="shared" si="529"/>
        <v>738.20021015214456</v>
      </c>
      <c r="AQ380" s="16">
        <f t="shared" si="529"/>
        <v>716.69923315742187</v>
      </c>
      <c r="AR380" s="16">
        <f t="shared" si="529"/>
        <v>695.82449821108924</v>
      </c>
      <c r="AS380" s="16">
        <f t="shared" si="529"/>
        <v>675.55776525348472</v>
      </c>
      <c r="AT380" s="16">
        <f t="shared" si="529"/>
        <v>655.88132548882015</v>
      </c>
      <c r="AU380" s="16">
        <f t="shared" si="529"/>
        <v>636.77798591147587</v>
      </c>
      <c r="AV380" s="16">
        <f t="shared" si="529"/>
        <v>618.23105428298629</v>
      </c>
      <c r="AW380" s="16">
        <f t="shared" si="529"/>
        <v>600.2243245465886</v>
      </c>
      <c r="AX380" s="16">
        <f t="shared" si="529"/>
        <v>582.74206266659087</v>
      </c>
      <c r="AY380" s="16">
        <f t="shared" si="529"/>
        <v>565.76899288018535</v>
      </c>
      <c r="AZ380" s="16">
        <f t="shared" si="529"/>
        <v>549.2902843496945</v>
      </c>
      <c r="BA380" s="16">
        <f t="shared" si="529"/>
        <v>533.29153820358692</v>
      </c>
      <c r="BB380" s="16"/>
      <c r="BD380" s="190">
        <v>0.03</v>
      </c>
    </row>
    <row r="381" spans="1:56" s="3" customFormat="1" ht="12.75" customHeight="1">
      <c r="A381" s="416"/>
      <c r="B381" s="259" t="s">
        <v>637</v>
      </c>
      <c r="C381" s="260"/>
      <c r="D381" s="260"/>
      <c r="E381" s="260"/>
      <c r="F381" s="260"/>
      <c r="G381" s="260"/>
      <c r="H381" s="260"/>
      <c r="I381" s="260"/>
      <c r="J381" s="260"/>
      <c r="K381" s="260">
        <f>REVS!AL5</f>
        <v>225.75399999999999</v>
      </c>
      <c r="L381" s="260">
        <f>REVS!AQ5</f>
        <v>677.55900000000008</v>
      </c>
      <c r="M381" s="260">
        <f>REVS!AV5</f>
        <v>910.18600000000004</v>
      </c>
      <c r="N381" s="260">
        <f>REVS!BA5</f>
        <v>1042.6680000000001</v>
      </c>
      <c r="O381" s="260">
        <f>REVS!BB5</f>
        <v>270.69600000000003</v>
      </c>
      <c r="P381" s="260">
        <f>REVS!BC5</f>
        <v>280.125</v>
      </c>
      <c r="Q381" s="260">
        <f>REVS!BD5</f>
        <v>270.27300000000002</v>
      </c>
      <c r="R381" s="260">
        <f>REVS!BE5</f>
        <v>281.476</v>
      </c>
      <c r="S381" s="260">
        <f>REVS!BF5</f>
        <v>1102.5700000000002</v>
      </c>
      <c r="T381" s="260">
        <f>REVS!BG5</f>
        <v>278.21499999999997</v>
      </c>
      <c r="U381" s="260">
        <f>REVS!BH5</f>
        <v>270.77999999999997</v>
      </c>
      <c r="V381" s="260">
        <f>REVS!BI5</f>
        <v>256.85300000000001</v>
      </c>
      <c r="W381" s="260">
        <f>REVS!BJ5</f>
        <v>255.89099999999999</v>
      </c>
      <c r="X381" s="260">
        <f>REVS!BK5</f>
        <v>1061.739</v>
      </c>
      <c r="Y381" s="260">
        <f>REVS!BL5</f>
        <v>236.50800000000001</v>
      </c>
      <c r="Z381" s="260">
        <f>REVS!BM5</f>
        <v>234.328</v>
      </c>
      <c r="AA381" s="260">
        <f>REVS!BN5</f>
        <v>222.72300000000001</v>
      </c>
      <c r="AB381" s="708">
        <f>REVS!BO5</f>
        <v>194</v>
      </c>
      <c r="AC381" s="708">
        <f>REVS!BP5</f>
        <v>887.55899999999997</v>
      </c>
      <c r="AD381" s="708">
        <f>REVS!BQ5</f>
        <v>194</v>
      </c>
      <c r="AE381" s="708">
        <f>REVS!BR5</f>
        <v>178</v>
      </c>
      <c r="AF381" s="708">
        <f>REVS!BS5</f>
        <v>161</v>
      </c>
      <c r="AG381" s="708">
        <f>REVS!BT5</f>
        <v>161</v>
      </c>
      <c r="AH381" s="708">
        <f>REVS!BU5</f>
        <v>694</v>
      </c>
      <c r="AI381" s="708">
        <f>REVS!BV5</f>
        <v>143</v>
      </c>
      <c r="AJ381" s="708">
        <f>REVS!BW5</f>
        <v>140</v>
      </c>
      <c r="AK381" s="708">
        <f>REVS!BX5</f>
        <v>129</v>
      </c>
      <c r="AL381" s="708">
        <f>REVS!BY5</f>
        <v>108</v>
      </c>
      <c r="AM381" s="260">
        <f>+(AM380*AM378*AM376/1000000)+(AM380*AM379*AM377/1000000)</f>
        <v>619.16922098152952</v>
      </c>
      <c r="AN381" s="260">
        <f>+(AN380*AN378*AN376/1000000)+(AN380*AN379*AN377/1000000)</f>
        <v>271.19164093061505</v>
      </c>
      <c r="AO381" s="260">
        <f>+(AO380*AO378*AO376/1000000)+(AO380*AO379*AO377/1000000)</f>
        <v>131.9255613203087</v>
      </c>
      <c r="AP381" s="260">
        <f>+(AP380*AP378*AP376/1000000)+(AP380*AP379*AP377/1000000)</f>
        <v>40.338287326034717</v>
      </c>
      <c r="AQ381" s="260">
        <f>+(AQ380*AQ378*AQ376/1000000)+(AQ380*AQ379*AQ377/1000000)</f>
        <v>4.4028009573414773</v>
      </c>
      <c r="AR381" s="260">
        <f t="shared" ref="AR381:BA381" si="530">+(AR380*AR378*AR376/1000000)+(AR380*AR379*AR377/1000000)</f>
        <v>0.54971524717015097</v>
      </c>
      <c r="AS381" s="260">
        <f t="shared" si="530"/>
        <v>8.7538402134388127E-2</v>
      </c>
      <c r="AT381" s="260">
        <f t="shared" si="530"/>
        <v>1.8456119211928922E-2</v>
      </c>
      <c r="AU381" s="260">
        <f t="shared" si="530"/>
        <v>4.7370874543347548E-3</v>
      </c>
      <c r="AV381" s="260">
        <f t="shared" si="530"/>
        <v>1.3355002338873369E-3</v>
      </c>
      <c r="AW381" s="260">
        <f t="shared" si="530"/>
        <v>3.9040280902565304E-4</v>
      </c>
      <c r="AX381" s="260">
        <f t="shared" si="530"/>
        <v>1.1559165538605105E-4</v>
      </c>
      <c r="AY381" s="260">
        <f t="shared" si="530"/>
        <v>3.43732935416762E-5</v>
      </c>
      <c r="AZ381" s="260">
        <f t="shared" si="530"/>
        <v>1.0236175937609469E-5</v>
      </c>
      <c r="BA381" s="260">
        <f t="shared" si="530"/>
        <v>3.049649795173418E-6</v>
      </c>
    </row>
    <row r="382" spans="1:56" s="3" customFormat="1" ht="12.75" customHeight="1">
      <c r="A382" s="416"/>
      <c r="B382" s="59"/>
      <c r="AI382" s="691"/>
      <c r="AJ382" s="691"/>
      <c r="AK382" s="691"/>
      <c r="AL382" s="691"/>
      <c r="BD382" s="192"/>
    </row>
    <row r="383" spans="1:56" s="12" customFormat="1" ht="12.75" customHeight="1">
      <c r="A383" s="374"/>
      <c r="B383" s="140" t="s">
        <v>655</v>
      </c>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691"/>
      <c r="AJ383" s="691"/>
      <c r="AK383" s="691"/>
      <c r="AL383" s="691"/>
      <c r="AM383" s="3"/>
      <c r="AN383" s="3"/>
      <c r="AO383" s="3"/>
      <c r="AP383" s="3"/>
      <c r="AQ383" s="3"/>
      <c r="AR383" s="3"/>
      <c r="AS383" s="3"/>
      <c r="AT383" s="3"/>
      <c r="AU383" s="3"/>
      <c r="AV383" s="3"/>
      <c r="AW383" s="3"/>
      <c r="AX383" s="3"/>
      <c r="AY383" s="3"/>
      <c r="AZ383" s="3"/>
      <c r="BA383" s="3"/>
      <c r="BB383" s="3"/>
    </row>
    <row r="384" spans="1:56" s="3" customFormat="1" ht="12.75" customHeight="1">
      <c r="A384" s="416"/>
      <c r="B384" s="231" t="s">
        <v>640</v>
      </c>
      <c r="C384" s="12"/>
      <c r="D384" s="12"/>
      <c r="E384" s="12"/>
      <c r="F384" s="12"/>
      <c r="G384" s="12"/>
      <c r="H384" s="12"/>
      <c r="I384" s="12"/>
      <c r="J384" s="12"/>
      <c r="K384" s="12"/>
      <c r="L384" s="12"/>
      <c r="M384" s="12"/>
      <c r="N384" s="12">
        <f t="shared" ref="N384:AA384" si="531">N293</f>
        <v>70.117219714444943</v>
      </c>
      <c r="O384" s="12">
        <f t="shared" si="531"/>
        <v>61.340700884975377</v>
      </c>
      <c r="P384" s="12">
        <f t="shared" si="531"/>
        <v>1113.341508246418</v>
      </c>
      <c r="Q384" s="12">
        <f t="shared" si="531"/>
        <v>4156.0024220843279</v>
      </c>
      <c r="R384" s="12">
        <f t="shared" si="531"/>
        <v>5554.2106827984899</v>
      </c>
      <c r="S384" s="12">
        <f t="shared" si="531"/>
        <v>2729.3267371121487</v>
      </c>
      <c r="T384" s="12">
        <f t="shared" si="531"/>
        <v>2925.0130907185221</v>
      </c>
      <c r="U384" s="12">
        <f t="shared" si="531"/>
        <v>4624.7054995344615</v>
      </c>
      <c r="V384" s="12">
        <f t="shared" si="531"/>
        <v>10272.801867454309</v>
      </c>
      <c r="W384" s="12">
        <f t="shared" si="531"/>
        <v>15561.58377180708</v>
      </c>
      <c r="X384" s="12">
        <f t="shared" si="531"/>
        <v>8381.038809996382</v>
      </c>
      <c r="Y384" s="12">
        <f t="shared" si="531"/>
        <v>19961.65534999255</v>
      </c>
      <c r="Z384" s="12">
        <f t="shared" si="531"/>
        <v>23598.530128987237</v>
      </c>
      <c r="AA384" s="12">
        <f t="shared" si="531"/>
        <v>30531.138075445815</v>
      </c>
      <c r="AB384" s="692">
        <f t="shared" ref="AB384:AH384" si="532">AB293</f>
        <v>33494.345652172153</v>
      </c>
      <c r="AC384" s="692">
        <f t="shared" si="532"/>
        <v>27348.860229976799</v>
      </c>
      <c r="AD384" s="692">
        <f t="shared" si="532"/>
        <v>35745.389481442777</v>
      </c>
      <c r="AE384" s="692">
        <f t="shared" si="532"/>
        <v>40013.630071120191</v>
      </c>
      <c r="AF384" s="692">
        <f t="shared" si="532"/>
        <v>44631.501265654311</v>
      </c>
      <c r="AG384" s="692">
        <f t="shared" si="532"/>
        <v>48597.055912027965</v>
      </c>
      <c r="AH384" s="692">
        <f t="shared" si="532"/>
        <v>42683.421213640213</v>
      </c>
      <c r="AI384" s="692">
        <f t="shared" ref="AI384:AL384" si="533">AI293</f>
        <v>49928.386465781732</v>
      </c>
      <c r="AJ384" s="692">
        <f t="shared" si="533"/>
        <v>51890.382711939885</v>
      </c>
      <c r="AK384" s="692">
        <f t="shared" si="533"/>
        <v>58000</v>
      </c>
      <c r="AL384" s="692">
        <f t="shared" si="533"/>
        <v>57000</v>
      </c>
      <c r="AM384" s="12">
        <f t="shared" ref="AM384:BA384" si="534">AM293</f>
        <v>48021.326116519289</v>
      </c>
      <c r="AN384" s="12">
        <f t="shared" si="534"/>
        <v>32998.96189505775</v>
      </c>
      <c r="AO384" s="12">
        <f t="shared" si="534"/>
        <v>30612.588029182269</v>
      </c>
      <c r="AP384" s="12">
        <f t="shared" si="534"/>
        <v>31554.200365273744</v>
      </c>
      <c r="AQ384" s="12">
        <f t="shared" si="534"/>
        <v>32524.766181679006</v>
      </c>
      <c r="AR384" s="12">
        <f t="shared" si="534"/>
        <v>33525.175480494006</v>
      </c>
      <c r="AS384" s="12">
        <f t="shared" si="534"/>
        <v>3455.6345613209091</v>
      </c>
      <c r="AT384" s="12">
        <f t="shared" si="534"/>
        <v>356.19222120894932</v>
      </c>
      <c r="AU384" s="12">
        <f t="shared" si="534"/>
        <v>36.714779600191925</v>
      </c>
      <c r="AV384" s="12">
        <f t="shared" si="534"/>
        <v>3.784402259589533</v>
      </c>
      <c r="AW384" s="12">
        <f t="shared" si="534"/>
        <v>0.39007986520952659</v>
      </c>
      <c r="AX384" s="12">
        <f t="shared" si="534"/>
        <v>4.0207738604715097E-2</v>
      </c>
      <c r="AY384" s="12">
        <f t="shared" si="534"/>
        <v>4.1444378870310198E-3</v>
      </c>
      <c r="AZ384" s="12">
        <f t="shared" si="534"/>
        <v>4.2719041142030216E-4</v>
      </c>
      <c r="BA384" s="12">
        <f t="shared" si="534"/>
        <v>4.4032894083657236E-5</v>
      </c>
      <c r="BB384" s="12"/>
    </row>
    <row r="385" spans="1:56" s="3" customFormat="1" ht="12.75" customHeight="1">
      <c r="A385" s="416"/>
      <c r="B385" s="231" t="s">
        <v>641</v>
      </c>
      <c r="C385" s="12"/>
      <c r="D385" s="12"/>
      <c r="E385" s="12"/>
      <c r="F385" s="12"/>
      <c r="G385" s="12"/>
      <c r="H385" s="12"/>
      <c r="I385" s="12"/>
      <c r="J385" s="12"/>
      <c r="K385" s="12"/>
      <c r="L385" s="12"/>
      <c r="M385" s="12"/>
      <c r="N385" s="12">
        <f t="shared" ref="N385:AA385" si="535">N347</f>
        <v>62.647866855550561</v>
      </c>
      <c r="O385" s="12">
        <f t="shared" si="535"/>
        <v>938.65929911502462</v>
      </c>
      <c r="P385" s="12">
        <f t="shared" si="535"/>
        <v>1886.658491753582</v>
      </c>
      <c r="Q385" s="12">
        <f t="shared" si="535"/>
        <v>2843.9975779156716</v>
      </c>
      <c r="R385" s="12">
        <f t="shared" si="535"/>
        <v>4445.7893172015101</v>
      </c>
      <c r="S385" s="12">
        <f t="shared" si="535"/>
        <v>2540.4510384008631</v>
      </c>
      <c r="T385" s="12">
        <f t="shared" si="535"/>
        <v>5074.9869092814779</v>
      </c>
      <c r="U385" s="12">
        <f t="shared" si="535"/>
        <v>6375.2945004655385</v>
      </c>
      <c r="V385" s="12">
        <f t="shared" si="535"/>
        <v>6727.1981325456909</v>
      </c>
      <c r="W385" s="12">
        <f t="shared" si="535"/>
        <v>6438.4162281929202</v>
      </c>
      <c r="X385" s="12">
        <f t="shared" si="535"/>
        <v>6196.9756196356866</v>
      </c>
      <c r="Y385" s="12">
        <f t="shared" si="535"/>
        <v>8038.3446500074488</v>
      </c>
      <c r="Z385" s="12">
        <f t="shared" si="535"/>
        <v>8401.4698710127614</v>
      </c>
      <c r="AA385" s="12">
        <f t="shared" si="535"/>
        <v>7468.861924554184</v>
      </c>
      <c r="AB385" s="692">
        <f t="shared" ref="AB385:AH385" si="536">AB347</f>
        <v>7505.65434782785</v>
      </c>
      <c r="AC385" s="692">
        <f t="shared" si="536"/>
        <v>7996.0033694194126</v>
      </c>
      <c r="AD385" s="692">
        <f t="shared" si="536"/>
        <v>8254.6105185572196</v>
      </c>
      <c r="AE385" s="692">
        <f t="shared" si="536"/>
        <v>6986.3699288798098</v>
      </c>
      <c r="AF385" s="692">
        <f t="shared" si="536"/>
        <v>6368.4987343456924</v>
      </c>
      <c r="AG385" s="692">
        <f t="shared" si="536"/>
        <v>5402.9440879720378</v>
      </c>
      <c r="AH385" s="692">
        <f t="shared" si="536"/>
        <v>6838.1011113396098</v>
      </c>
      <c r="AI385" s="692">
        <f t="shared" ref="AI385:AL385" si="537">AI347</f>
        <v>5071.6135342182706</v>
      </c>
      <c r="AJ385" s="692">
        <f t="shared" si="537"/>
        <v>5109.6172880601134</v>
      </c>
      <c r="AK385" s="692">
        <f t="shared" si="537"/>
        <v>0</v>
      </c>
      <c r="AL385" s="692">
        <f t="shared" si="537"/>
        <v>0</v>
      </c>
      <c r="AM385" s="12">
        <f t="shared" ref="AM385:BA385" si="538">AM347</f>
        <v>6395.6039147506826</v>
      </c>
      <c r="AN385" s="12">
        <f t="shared" si="538"/>
        <v>5308.639817889698</v>
      </c>
      <c r="AO385" s="12">
        <f t="shared" si="538"/>
        <v>5162.6376776277748</v>
      </c>
      <c r="AP385" s="12">
        <f t="shared" si="538"/>
        <v>4491.9792613762111</v>
      </c>
      <c r="AQ385" s="12">
        <f t="shared" si="538"/>
        <v>4138.1819761762326</v>
      </c>
      <c r="AR385" s="12">
        <f t="shared" si="538"/>
        <v>3812.0918737837669</v>
      </c>
      <c r="AS385" s="12">
        <f t="shared" si="538"/>
        <v>390.17219772199275</v>
      </c>
      <c r="AT385" s="12">
        <f t="shared" si="538"/>
        <v>39.932889586310658</v>
      </c>
      <c r="AU385" s="12">
        <f t="shared" si="538"/>
        <v>4.0868280592073329</v>
      </c>
      <c r="AV385" s="12">
        <f t="shared" si="538"/>
        <v>0.41823748821965778</v>
      </c>
      <c r="AW385" s="12">
        <f t="shared" si="538"/>
        <v>4.2799653826312546E-2</v>
      </c>
      <c r="AX385" s="12">
        <f t="shared" si="538"/>
        <v>4.3796358561046262E-3</v>
      </c>
      <c r="AY385" s="12">
        <f t="shared" si="538"/>
        <v>4.4814229265482139E-4</v>
      </c>
      <c r="AZ385" s="12">
        <f t="shared" si="538"/>
        <v>4.5853635329603938E-5</v>
      </c>
      <c r="BA385" s="12">
        <f t="shared" si="538"/>
        <v>4.6914949150339399E-6</v>
      </c>
      <c r="BB385" s="12"/>
    </row>
    <row r="386" spans="1:56" s="16" customFormat="1" ht="12.75" customHeight="1">
      <c r="A386" s="422"/>
      <c r="B386" s="248" t="s">
        <v>446</v>
      </c>
      <c r="C386" s="3"/>
      <c r="D386" s="3"/>
      <c r="E386" s="3"/>
      <c r="F386" s="3"/>
      <c r="G386" s="3"/>
      <c r="H386" s="3"/>
      <c r="I386" s="3"/>
      <c r="J386" s="3"/>
      <c r="K386" s="3"/>
      <c r="L386" s="12"/>
      <c r="M386" s="12"/>
      <c r="N386" s="3">
        <v>3</v>
      </c>
      <c r="O386" s="3">
        <v>2</v>
      </c>
      <c r="P386" s="3">
        <v>2.1</v>
      </c>
      <c r="Q386" s="3">
        <v>2.2000000000000002</v>
      </c>
      <c r="R386" s="3">
        <v>2.2999999999999998</v>
      </c>
      <c r="S386" s="3">
        <f>SUM(O386:R386)</f>
        <v>8.6</v>
      </c>
      <c r="T386" s="3">
        <v>2.2999999999999998</v>
      </c>
      <c r="U386" s="3">
        <v>2.2999999999999998</v>
      </c>
      <c r="V386" s="3">
        <v>2.2999999999999998</v>
      </c>
      <c r="W386" s="3">
        <v>2.2999999999999998</v>
      </c>
      <c r="X386" s="3">
        <f>SUM(T386:W386)</f>
        <v>9.1999999999999993</v>
      </c>
      <c r="Y386" s="3">
        <v>2.2999999999999998</v>
      </c>
      <c r="Z386" s="3">
        <v>2.2999999999999998</v>
      </c>
      <c r="AA386" s="3">
        <v>2.2999999999999998</v>
      </c>
      <c r="AB386" s="691">
        <v>2.2999999999999998</v>
      </c>
      <c r="AC386" s="691">
        <f>SUM(Y386:AB386)</f>
        <v>9.1999999999999993</v>
      </c>
      <c r="AD386" s="691">
        <v>2.2999999999999998</v>
      </c>
      <c r="AE386" s="691">
        <v>2.2999999999999998</v>
      </c>
      <c r="AF386" s="691">
        <v>2.2999999999999998</v>
      </c>
      <c r="AG386" s="691">
        <v>2.2999999999999998</v>
      </c>
      <c r="AH386" s="691">
        <f>SUM(AD386:AG386)</f>
        <v>9.1999999999999993</v>
      </c>
      <c r="AI386" s="691">
        <v>2.2999999999999998</v>
      </c>
      <c r="AJ386" s="691">
        <v>2.2999999999999998</v>
      </c>
      <c r="AK386" s="691">
        <v>2.2999999999999998</v>
      </c>
      <c r="AL386" s="691">
        <v>2.2999999999999998</v>
      </c>
      <c r="AM386" s="3">
        <f t="shared" ref="AM386:BA386" si="539">AM176</f>
        <v>11</v>
      </c>
      <c r="AN386" s="3">
        <f t="shared" si="539"/>
        <v>11</v>
      </c>
      <c r="AO386" s="3">
        <f t="shared" si="539"/>
        <v>11</v>
      </c>
      <c r="AP386" s="3">
        <f t="shared" si="539"/>
        <v>11</v>
      </c>
      <c r="AQ386" s="3">
        <f t="shared" si="539"/>
        <v>11</v>
      </c>
      <c r="AR386" s="3">
        <f t="shared" si="539"/>
        <v>11</v>
      </c>
      <c r="AS386" s="3">
        <f t="shared" si="539"/>
        <v>11</v>
      </c>
      <c r="AT386" s="3">
        <f t="shared" si="539"/>
        <v>11</v>
      </c>
      <c r="AU386" s="3">
        <f t="shared" si="539"/>
        <v>11</v>
      </c>
      <c r="AV386" s="3">
        <f t="shared" si="539"/>
        <v>11</v>
      </c>
      <c r="AW386" s="3">
        <f t="shared" si="539"/>
        <v>11</v>
      </c>
      <c r="AX386" s="3">
        <f t="shared" si="539"/>
        <v>11</v>
      </c>
      <c r="AY386" s="3">
        <f t="shared" si="539"/>
        <v>11</v>
      </c>
      <c r="AZ386" s="3">
        <f t="shared" si="539"/>
        <v>11</v>
      </c>
      <c r="BA386" s="3">
        <f t="shared" si="539"/>
        <v>11</v>
      </c>
      <c r="BB386" s="3"/>
      <c r="BD386" s="192">
        <f>BD382</f>
        <v>0</v>
      </c>
    </row>
    <row r="387" spans="1:56" s="3" customFormat="1" ht="12.75" customHeight="1">
      <c r="A387" s="416"/>
      <c r="B387" s="248" t="s">
        <v>447</v>
      </c>
      <c r="L387" s="12"/>
      <c r="M387" s="12"/>
      <c r="N387" s="3">
        <v>3</v>
      </c>
      <c r="O387" s="3">
        <v>1</v>
      </c>
      <c r="P387" s="3">
        <v>1.5</v>
      </c>
      <c r="Q387" s="3">
        <v>1.5</v>
      </c>
      <c r="R387" s="3">
        <v>1.5</v>
      </c>
      <c r="S387" s="3">
        <f>SUM(O387:R387)</f>
        <v>5.5</v>
      </c>
      <c r="T387" s="3">
        <v>1</v>
      </c>
      <c r="U387" s="3">
        <v>1.5</v>
      </c>
      <c r="V387" s="3">
        <v>1.5</v>
      </c>
      <c r="W387" s="3">
        <v>1.5</v>
      </c>
      <c r="X387" s="3">
        <v>6</v>
      </c>
      <c r="Y387" s="3">
        <v>1</v>
      </c>
      <c r="Z387" s="3">
        <v>1.5</v>
      </c>
      <c r="AA387" s="3">
        <v>1.5</v>
      </c>
      <c r="AB387" s="691">
        <v>1.5</v>
      </c>
      <c r="AC387" s="691">
        <v>6</v>
      </c>
      <c r="AD387" s="691">
        <v>1</v>
      </c>
      <c r="AE387" s="691">
        <v>1.5</v>
      </c>
      <c r="AF387" s="691">
        <v>1.5</v>
      </c>
      <c r="AG387" s="691">
        <v>1.5</v>
      </c>
      <c r="AH387" s="691">
        <v>6</v>
      </c>
      <c r="AI387" s="691">
        <v>1</v>
      </c>
      <c r="AJ387" s="691">
        <v>1.5</v>
      </c>
      <c r="AK387" s="691">
        <v>1.5</v>
      </c>
      <c r="AL387" s="691">
        <v>1.5</v>
      </c>
      <c r="AM387" s="3">
        <f t="shared" ref="AM387:BA387" si="540">AM177</f>
        <v>6</v>
      </c>
      <c r="AN387" s="3">
        <f t="shared" si="540"/>
        <v>6</v>
      </c>
      <c r="AO387" s="3">
        <f t="shared" si="540"/>
        <v>6</v>
      </c>
      <c r="AP387" s="3">
        <f t="shared" si="540"/>
        <v>6</v>
      </c>
      <c r="AQ387" s="3">
        <f t="shared" si="540"/>
        <v>6</v>
      </c>
      <c r="AR387" s="3">
        <f t="shared" si="540"/>
        <v>6</v>
      </c>
      <c r="AS387" s="3">
        <f t="shared" si="540"/>
        <v>6</v>
      </c>
      <c r="AT387" s="3">
        <f t="shared" si="540"/>
        <v>6</v>
      </c>
      <c r="AU387" s="3">
        <f t="shared" si="540"/>
        <v>6</v>
      </c>
      <c r="AV387" s="3">
        <f t="shared" si="540"/>
        <v>6</v>
      </c>
      <c r="AW387" s="3">
        <f t="shared" si="540"/>
        <v>6</v>
      </c>
      <c r="AX387" s="3">
        <f t="shared" si="540"/>
        <v>6</v>
      </c>
      <c r="AY387" s="3">
        <f t="shared" si="540"/>
        <v>6</v>
      </c>
      <c r="AZ387" s="3">
        <f t="shared" si="540"/>
        <v>6</v>
      </c>
      <c r="BA387" s="3">
        <f t="shared" si="540"/>
        <v>6</v>
      </c>
    </row>
    <row r="388" spans="1:56" s="3" customFormat="1" ht="12.75" customHeight="1">
      <c r="A388" s="416"/>
      <c r="B388" s="253" t="s">
        <v>635</v>
      </c>
      <c r="C388" s="16"/>
      <c r="D388" s="16"/>
      <c r="E388" s="16"/>
      <c r="F388" s="16"/>
      <c r="G388" s="16"/>
      <c r="H388" s="16"/>
      <c r="I388" s="16"/>
      <c r="J388" s="16"/>
      <c r="K388" s="16"/>
      <c r="L388" s="12"/>
      <c r="M388" s="12"/>
      <c r="N388" s="413">
        <f t="shared" ref="N388:X388" si="541">N389*1000000/(N384*N386+N385*N387)</f>
        <v>213.40951951547612</v>
      </c>
      <c r="O388" s="413">
        <f t="shared" si="541"/>
        <v>3078.1821494981627</v>
      </c>
      <c r="P388" s="413">
        <f t="shared" si="541"/>
        <v>1392.8005356784067</v>
      </c>
      <c r="Q388" s="413">
        <f t="shared" si="541"/>
        <v>1066.8793209997482</v>
      </c>
      <c r="R388" s="413">
        <f t="shared" si="541"/>
        <v>1436.5823459846563</v>
      </c>
      <c r="S388" s="413">
        <f t="shared" si="541"/>
        <v>1407.4892617514606</v>
      </c>
      <c r="T388" s="413">
        <f t="shared" si="541"/>
        <v>3301.1602474960837</v>
      </c>
      <c r="U388" s="413">
        <f t="shared" si="541"/>
        <v>2935.7273098241362</v>
      </c>
      <c r="V388" s="413">
        <f t="shared" si="541"/>
        <v>2195.3991880997901</v>
      </c>
      <c r="W388" s="413">
        <f t="shared" si="541"/>
        <v>2096.3594410318569</v>
      </c>
      <c r="X388" s="413">
        <f t="shared" si="541"/>
        <v>2341.167747154424</v>
      </c>
      <c r="Y388" s="413">
        <f t="shared" ref="Y388:AH388" si="542">Y389*1000000/(Y384*Y386+Y385*Y387)</f>
        <v>2020.2723449404152</v>
      </c>
      <c r="Z388" s="413">
        <f t="shared" si="542"/>
        <v>1975.6926317383918</v>
      </c>
      <c r="AA388" s="413">
        <f t="shared" si="542"/>
        <v>1649.507493967611</v>
      </c>
      <c r="AB388" s="723">
        <f t="shared" si="542"/>
        <v>1562.9339739281588</v>
      </c>
      <c r="AC388" s="723">
        <f t="shared" si="542"/>
        <v>1713.8244045872088</v>
      </c>
      <c r="AD388" s="723">
        <f t="shared" si="542"/>
        <v>1602.7588440365976</v>
      </c>
      <c r="AE388" s="723">
        <f t="shared" si="542"/>
        <v>1414.4836720932763</v>
      </c>
      <c r="AF388" s="723">
        <f t="shared" si="542"/>
        <v>1220.9772698924105</v>
      </c>
      <c r="AG388" s="723">
        <f t="shared" si="542"/>
        <v>1242.9339960428947</v>
      </c>
      <c r="AH388" s="723">
        <f t="shared" si="542"/>
        <v>1328.0577412877324</v>
      </c>
      <c r="AI388" s="723">
        <f t="shared" ref="AI388:AL388" si="543">AI389*1000000/(AI384*AI386+AI385*AI387)</f>
        <v>1217.6113056964714</v>
      </c>
      <c r="AJ388" s="723">
        <f t="shared" si="543"/>
        <v>1228.2274427152886</v>
      </c>
      <c r="AK388" s="723">
        <f t="shared" si="543"/>
        <v>1071.9640179910045</v>
      </c>
      <c r="AL388" s="723">
        <f t="shared" si="543"/>
        <v>1029.7482837528605</v>
      </c>
      <c r="AM388" s="120">
        <f>AH388/(1+$BD393)</f>
        <v>1302.0173934193454</v>
      </c>
      <c r="AN388" s="120">
        <f t="shared" ref="AN388:BA388" si="544">AM388/(1+$BD393)</f>
        <v>1276.4876406072012</v>
      </c>
      <c r="AO388" s="120">
        <f t="shared" si="544"/>
        <v>1251.4584711835305</v>
      </c>
      <c r="AP388" s="120">
        <f t="shared" si="544"/>
        <v>1226.920069787775</v>
      </c>
      <c r="AQ388" s="120">
        <f t="shared" si="544"/>
        <v>1202.8628135174265</v>
      </c>
      <c r="AR388" s="120">
        <f t="shared" si="544"/>
        <v>1179.2772681543397</v>
      </c>
      <c r="AS388" s="120">
        <f t="shared" si="544"/>
        <v>1156.154184465039</v>
      </c>
      <c r="AT388" s="120">
        <f t="shared" si="544"/>
        <v>1133.4844945735676</v>
      </c>
      <c r="AU388" s="120">
        <f t="shared" si="544"/>
        <v>1111.2593084054586</v>
      </c>
      <c r="AV388" s="120">
        <f t="shared" si="544"/>
        <v>1089.4699102014299</v>
      </c>
      <c r="AW388" s="120">
        <f t="shared" si="544"/>
        <v>1068.107755099441</v>
      </c>
      <c r="AX388" s="120">
        <f t="shared" si="544"/>
        <v>1047.1644657837655</v>
      </c>
      <c r="AY388" s="120">
        <f t="shared" si="544"/>
        <v>1026.6318291997702</v>
      </c>
      <c r="AZ388" s="120">
        <f t="shared" si="544"/>
        <v>1006.501793333108</v>
      </c>
      <c r="BA388" s="120">
        <f t="shared" si="544"/>
        <v>986.76646405206668</v>
      </c>
      <c r="BB388" s="120"/>
    </row>
    <row r="389" spans="1:56" s="3" customFormat="1" ht="12.75" customHeight="1">
      <c r="A389" s="416"/>
      <c r="B389" s="259" t="s">
        <v>668</v>
      </c>
      <c r="C389" s="260"/>
      <c r="D389" s="260"/>
      <c r="E389" s="260"/>
      <c r="F389" s="260"/>
      <c r="G389" s="260"/>
      <c r="H389" s="260"/>
      <c r="I389" s="260"/>
      <c r="J389" s="260"/>
      <c r="K389" s="260"/>
      <c r="L389" s="260"/>
      <c r="M389" s="260"/>
      <c r="N389" s="260">
        <f>REVS!BA20</f>
        <v>8.5000000000000006E-2</v>
      </c>
      <c r="O389" s="260">
        <f>REVS!BB20</f>
        <v>3.2669999999999999</v>
      </c>
      <c r="P389" s="260">
        <f>REVS!BC20</f>
        <v>7.1980000000000004</v>
      </c>
      <c r="Q389" s="260">
        <f>REVS!BD20</f>
        <v>14.305999999999999</v>
      </c>
      <c r="R389" s="260">
        <f>REVS!BE20</f>
        <v>27.931999999999999</v>
      </c>
      <c r="S389" s="260">
        <f>REVS!BF20</f>
        <v>52.703000000000003</v>
      </c>
      <c r="T389" s="260">
        <f>REVS!BG20</f>
        <v>38.962000000000003</v>
      </c>
      <c r="U389" s="260">
        <f>REVS!BH20</f>
        <v>59.301000000000002</v>
      </c>
      <c r="V389" s="260">
        <f>REVS!BI20</f>
        <v>74.025000000000006</v>
      </c>
      <c r="W389" s="260">
        <f>REVS!BJ20</f>
        <v>95.278000000000006</v>
      </c>
      <c r="X389" s="260">
        <f>REVS!BK20</f>
        <v>267.56600000000003</v>
      </c>
      <c r="Y389" s="260">
        <f>REVS!BL20</f>
        <v>108.994</v>
      </c>
      <c r="Z389" s="260">
        <f>REVS!BM20</f>
        <v>132.13200000000001</v>
      </c>
      <c r="AA389" s="260">
        <f>REVS!BN20</f>
        <v>134.31100000000001</v>
      </c>
      <c r="AB389" s="708">
        <f>REVS!BO20</f>
        <v>138</v>
      </c>
      <c r="AC389" s="708">
        <f>REVS!BP20</f>
        <v>513.43700000000001</v>
      </c>
      <c r="AD389" s="708">
        <f>REVS!BQ20</f>
        <v>145</v>
      </c>
      <c r="AE389" s="708">
        <f>REVS!BR20</f>
        <v>145</v>
      </c>
      <c r="AF389" s="708">
        <f>REVS!BS20</f>
        <v>137</v>
      </c>
      <c r="AG389" s="708">
        <f>REVS!BT20</f>
        <v>149</v>
      </c>
      <c r="AH389" s="708">
        <f>REVS!BU20</f>
        <v>576</v>
      </c>
      <c r="AI389" s="708">
        <f>REVS!BV20</f>
        <v>146</v>
      </c>
      <c r="AJ389" s="708">
        <f>REVS!BW20</f>
        <v>156</v>
      </c>
      <c r="AK389" s="708">
        <f>REVS!BX20</f>
        <v>143</v>
      </c>
      <c r="AL389" s="708">
        <f>REVS!BY20</f>
        <v>135</v>
      </c>
      <c r="AM389" s="260">
        <f t="shared" ref="AM389:BA389" si="545">(AM386*AM384*AM388/1000000)+(AM385*AM387*AM388/1000000)</f>
        <v>737.73374567703604</v>
      </c>
      <c r="AN389" s="260">
        <f t="shared" si="545"/>
        <v>504.00891582683005</v>
      </c>
      <c r="AO389" s="260">
        <f t="shared" si="545"/>
        <v>460.17916868559985</v>
      </c>
      <c r="AP389" s="260">
        <f t="shared" si="545"/>
        <v>458.92709590996765</v>
      </c>
      <c r="AQ389" s="260">
        <f t="shared" si="545"/>
        <v>460.21714062946216</v>
      </c>
      <c r="AR389" s="260">
        <f t="shared" si="545"/>
        <v>461.86333065056459</v>
      </c>
      <c r="AS389" s="260">
        <f t="shared" si="545"/>
        <v>46.654305252934179</v>
      </c>
      <c r="AT389" s="260">
        <f t="shared" si="545"/>
        <v>4.7127018251262944</v>
      </c>
      <c r="AU389" s="260">
        <f t="shared" si="545"/>
        <v>0.47604520079032991</v>
      </c>
      <c r="AV389" s="260">
        <f t="shared" si="545"/>
        <v>4.8086859241533317E-2</v>
      </c>
      <c r="AW389" s="260">
        <f t="shared" si="545"/>
        <v>4.8574084735275745E-3</v>
      </c>
      <c r="AX389" s="260">
        <f t="shared" si="545"/>
        <v>4.9066246052968893E-4</v>
      </c>
      <c r="AY389" s="260">
        <f t="shared" si="545"/>
        <v>4.9563393188542339E-5</v>
      </c>
      <c r="AZ389" s="260">
        <f t="shared" si="545"/>
        <v>5.0065576642221973E-6</v>
      </c>
      <c r="BA389" s="260">
        <f t="shared" si="545"/>
        <v>5.0572847425656367E-7</v>
      </c>
    </row>
    <row r="390" spans="1:56" s="12" customFormat="1" ht="12.75" customHeight="1">
      <c r="A390" s="374"/>
      <c r="B390" s="59"/>
      <c r="C390" s="3"/>
      <c r="D390" s="3"/>
      <c r="E390" s="3"/>
      <c r="F390" s="3"/>
      <c r="G390" s="3"/>
      <c r="H390" s="3"/>
      <c r="I390" s="3"/>
      <c r="J390" s="3"/>
      <c r="K390" s="3"/>
      <c r="L390" s="3"/>
      <c r="M390" s="3"/>
      <c r="N390" s="3"/>
      <c r="T390" s="3"/>
      <c r="U390" s="3"/>
      <c r="V390" s="3"/>
      <c r="W390" s="3"/>
      <c r="X390" s="3"/>
      <c r="Y390" s="3"/>
      <c r="Z390" s="3"/>
      <c r="AA390" s="3"/>
      <c r="AB390" s="3"/>
      <c r="AC390" s="3"/>
      <c r="AD390" s="3"/>
      <c r="AE390" s="3"/>
      <c r="AF390" s="3"/>
      <c r="AG390" s="3"/>
      <c r="AH390" s="3"/>
      <c r="AI390" s="691"/>
      <c r="AJ390" s="691"/>
      <c r="AK390" s="691"/>
      <c r="AL390" s="691"/>
      <c r="AM390" s="3"/>
      <c r="AN390" s="3"/>
      <c r="AO390" s="3"/>
      <c r="AP390" s="3"/>
      <c r="AQ390" s="3"/>
      <c r="AR390" s="3"/>
      <c r="AS390" s="3"/>
      <c r="AT390" s="3"/>
      <c r="AU390" s="3"/>
      <c r="AV390" s="3"/>
      <c r="AW390" s="3"/>
      <c r="AX390" s="3"/>
      <c r="AY390" s="3"/>
      <c r="AZ390" s="3"/>
      <c r="BA390" s="3"/>
      <c r="BB390" s="3"/>
    </row>
    <row r="391" spans="1:56" s="3" customFormat="1" ht="12.75" customHeight="1">
      <c r="A391" s="416"/>
      <c r="B391" s="140" t="s">
        <v>656</v>
      </c>
      <c r="AI391" s="691"/>
      <c r="AJ391" s="691"/>
      <c r="AK391" s="691"/>
      <c r="AL391" s="691"/>
    </row>
    <row r="392" spans="1:56" s="3" customFormat="1" ht="12.75" customHeight="1">
      <c r="A392" s="416"/>
      <c r="B392" s="231" t="s">
        <v>640</v>
      </c>
      <c r="C392" s="12"/>
      <c r="D392" s="12"/>
      <c r="E392" s="12"/>
      <c r="F392" s="12"/>
      <c r="G392" s="12"/>
      <c r="H392" s="12"/>
      <c r="I392" s="12"/>
      <c r="J392" s="12"/>
      <c r="K392" s="12"/>
      <c r="L392" s="12"/>
      <c r="M392" s="12"/>
      <c r="N392" s="12"/>
      <c r="O392" s="12"/>
      <c r="P392" s="12"/>
      <c r="Q392" s="12"/>
      <c r="R392" s="12"/>
      <c r="S392" s="12"/>
      <c r="T392" s="12">
        <f t="shared" ref="T392:AC392" si="546">T294</f>
        <v>115.62663633981526</v>
      </c>
      <c r="U392" s="12">
        <f t="shared" si="546"/>
        <v>134.32346241853065</v>
      </c>
      <c r="V392" s="12">
        <f t="shared" si="546"/>
        <v>398.28615891769255</v>
      </c>
      <c r="W392" s="12">
        <f t="shared" si="546"/>
        <v>585.59391442765491</v>
      </c>
      <c r="X392" s="12">
        <f t="shared" si="546"/>
        <v>309.71196971241227</v>
      </c>
      <c r="Y392" s="12">
        <f t="shared" si="546"/>
        <v>2231.5641769983613</v>
      </c>
      <c r="Z392" s="12">
        <f t="shared" si="546"/>
        <v>2091.7988908032753</v>
      </c>
      <c r="AA392" s="12">
        <f t="shared" si="546"/>
        <v>3077.4018556092328</v>
      </c>
      <c r="AB392" s="12">
        <f t="shared" si="546"/>
        <v>3105.0080340253162</v>
      </c>
      <c r="AC392" s="12">
        <f t="shared" si="546"/>
        <v>2671.2765284354173</v>
      </c>
      <c r="AD392" s="692">
        <f t="shared" ref="AD392:AL392" si="547">AD294</f>
        <v>4882.1414784945237</v>
      </c>
      <c r="AE392" s="692">
        <f t="shared" si="547"/>
        <v>8677.051482758241</v>
      </c>
      <c r="AF392" s="692">
        <f t="shared" si="547"/>
        <v>11966.685409567239</v>
      </c>
      <c r="AG392" s="692">
        <f t="shared" si="547"/>
        <v>17246.319890034953</v>
      </c>
      <c r="AH392" s="692">
        <f t="shared" si="547"/>
        <v>10775.68500159772</v>
      </c>
      <c r="AI392" s="692">
        <f t="shared" si="547"/>
        <v>16575.956189990189</v>
      </c>
      <c r="AJ392" s="692">
        <f t="shared" si="547"/>
        <v>18527.818101790523</v>
      </c>
      <c r="AK392" s="692">
        <f t="shared" si="547"/>
        <v>24000</v>
      </c>
      <c r="AL392" s="692">
        <f t="shared" si="547"/>
        <v>25000</v>
      </c>
      <c r="AM392" s="12">
        <f t="shared" ref="AM392:BA392" si="548">AM294</f>
        <v>7003.1100586590637</v>
      </c>
      <c r="AN392" s="12">
        <f t="shared" si="548"/>
        <v>6806.0358908556609</v>
      </c>
      <c r="AO392" s="12">
        <f t="shared" si="548"/>
        <v>5952.4476723409962</v>
      </c>
      <c r="AP392" s="12">
        <f t="shared" si="548"/>
        <v>5697.2861770633144</v>
      </c>
      <c r="AQ392" s="12">
        <f t="shared" si="548"/>
        <v>5725.714046566407</v>
      </c>
      <c r="AR392" s="12">
        <f t="shared" si="548"/>
        <v>5754.2820727066646</v>
      </c>
      <c r="AS392" s="12">
        <f t="shared" si="548"/>
        <v>5782.9909397980337</v>
      </c>
      <c r="AT392" s="12">
        <f t="shared" si="548"/>
        <v>5811.8413354687955</v>
      </c>
      <c r="AU392" s="12">
        <f t="shared" si="548"/>
        <v>5990.5989237718022</v>
      </c>
      <c r="AV392" s="12">
        <f t="shared" si="548"/>
        <v>6020.4815176707925</v>
      </c>
      <c r="AW392" s="12">
        <f t="shared" si="548"/>
        <v>6050.511405426244</v>
      </c>
      <c r="AX392" s="12">
        <f t="shared" si="548"/>
        <v>6080.6893060595039</v>
      </c>
      <c r="AY392" s="12">
        <f t="shared" si="548"/>
        <v>6111.01594207378</v>
      </c>
      <c r="AZ392" s="12">
        <f t="shared" si="548"/>
        <v>629.89661943291287</v>
      </c>
      <c r="BA392" s="12">
        <f t="shared" si="548"/>
        <v>64.926951508408877</v>
      </c>
      <c r="BB392" s="12"/>
    </row>
    <row r="393" spans="1:56" s="16" customFormat="1" ht="12.75" customHeight="1">
      <c r="A393" s="422"/>
      <c r="B393" s="231" t="s">
        <v>641</v>
      </c>
      <c r="C393" s="12"/>
      <c r="D393" s="12"/>
      <c r="E393" s="12"/>
      <c r="F393" s="12"/>
      <c r="G393" s="12"/>
      <c r="H393" s="12"/>
      <c r="I393" s="12"/>
      <c r="J393" s="12"/>
      <c r="K393" s="12"/>
      <c r="L393" s="12"/>
      <c r="M393" s="12"/>
      <c r="N393" s="12"/>
      <c r="O393" s="12"/>
      <c r="P393" s="12"/>
      <c r="Q393" s="12"/>
      <c r="R393" s="12"/>
      <c r="S393" s="12"/>
      <c r="T393" s="12">
        <f t="shared" ref="T393:AC393" si="549">T348</f>
        <v>634.37336366018474</v>
      </c>
      <c r="U393" s="12">
        <f t="shared" si="549"/>
        <v>1115.6765375814693</v>
      </c>
      <c r="V393" s="12">
        <f t="shared" si="549"/>
        <v>1601.7138410823075</v>
      </c>
      <c r="W393" s="12">
        <f t="shared" si="549"/>
        <v>2414.4060855723451</v>
      </c>
      <c r="X393" s="12">
        <f t="shared" si="549"/>
        <v>1448.6436513434071</v>
      </c>
      <c r="Y393" s="12">
        <f t="shared" si="549"/>
        <v>1768.4358230016387</v>
      </c>
      <c r="Z393" s="12">
        <f t="shared" si="549"/>
        <v>2908.2011091967247</v>
      </c>
      <c r="AA393" s="12">
        <f t="shared" si="549"/>
        <v>2922.5981443907672</v>
      </c>
      <c r="AB393" s="12">
        <f t="shared" si="549"/>
        <v>4894.9919659746838</v>
      </c>
      <c r="AC393" s="12">
        <f t="shared" si="549"/>
        <v>3173.6714404396639</v>
      </c>
      <c r="AD393" s="692">
        <f t="shared" ref="AD393:AL393" si="550">AD348</f>
        <v>5117.8585215054763</v>
      </c>
      <c r="AE393" s="692">
        <f t="shared" si="550"/>
        <v>5322.9485172417599</v>
      </c>
      <c r="AF393" s="692">
        <f t="shared" si="550"/>
        <v>6033.3145904327612</v>
      </c>
      <c r="AG393" s="692">
        <f t="shared" si="550"/>
        <v>6753.6801099650474</v>
      </c>
      <c r="AH393" s="692">
        <f t="shared" si="550"/>
        <v>5867.2595955321358</v>
      </c>
      <c r="AI393" s="692">
        <f t="shared" si="550"/>
        <v>6424.0438100098099</v>
      </c>
      <c r="AJ393" s="692">
        <f t="shared" si="550"/>
        <v>6472.1818982094774</v>
      </c>
      <c r="AK393" s="692">
        <f t="shared" si="550"/>
        <v>0</v>
      </c>
      <c r="AL393" s="692">
        <f t="shared" si="550"/>
        <v>0</v>
      </c>
      <c r="AM393" s="12">
        <f t="shared" ref="AM393:BA393" si="551">AM348</f>
        <v>8642.7079929063275</v>
      </c>
      <c r="AN393" s="12">
        <f t="shared" si="551"/>
        <v>5308.639817889698</v>
      </c>
      <c r="AO393" s="12">
        <f t="shared" si="551"/>
        <v>362.29036334230005</v>
      </c>
      <c r="AP393" s="12">
        <f t="shared" si="551"/>
        <v>296.68387278439377</v>
      </c>
      <c r="AQ393" s="12">
        <f t="shared" si="551"/>
        <v>242.94796144963095</v>
      </c>
      <c r="AR393" s="12">
        <f t="shared" si="551"/>
        <v>198.93651741031627</v>
      </c>
      <c r="AS393" s="12">
        <f t="shared" si="551"/>
        <v>162.89113856660504</v>
      </c>
      <c r="AT393" s="12">
        <f t="shared" si="551"/>
        <v>166.71392500404235</v>
      </c>
      <c r="AU393" s="12">
        <f t="shared" si="551"/>
        <v>170.6190445082826</v>
      </c>
      <c r="AV393" s="12">
        <f t="shared" si="551"/>
        <v>174.60798346241828</v>
      </c>
      <c r="AW393" s="12">
        <f t="shared" si="551"/>
        <v>178.68224293603049</v>
      </c>
      <c r="AX393" s="12">
        <f t="shared" si="551"/>
        <v>182.84333821661178</v>
      </c>
      <c r="AY393" s="12">
        <f t="shared" si="551"/>
        <v>18.709279829929276</v>
      </c>
      <c r="AZ393" s="12">
        <f t="shared" si="551"/>
        <v>1.9143216533278067</v>
      </c>
      <c r="BA393" s="12">
        <f t="shared" si="551"/>
        <v>0.19586299401933033</v>
      </c>
      <c r="BB393" s="12"/>
      <c r="BD393" s="192">
        <v>0.02</v>
      </c>
    </row>
    <row r="394" spans="1:56" s="3" customFormat="1" ht="12.75" customHeight="1">
      <c r="A394" s="416"/>
      <c r="B394" s="248" t="s">
        <v>446</v>
      </c>
      <c r="T394" s="3">
        <v>1.25</v>
      </c>
      <c r="U394" s="3">
        <v>1.25</v>
      </c>
      <c r="V394" s="3">
        <v>1.25</v>
      </c>
      <c r="W394" s="3">
        <v>1.25</v>
      </c>
      <c r="X394" s="3">
        <f>SUM(T394:W394)</f>
        <v>5</v>
      </c>
      <c r="Y394" s="3">
        <v>1.25</v>
      </c>
      <c r="Z394" s="3">
        <v>1.25</v>
      </c>
      <c r="AA394" s="3">
        <v>1.25</v>
      </c>
      <c r="AB394" s="3">
        <v>1.25</v>
      </c>
      <c r="AC394" s="3">
        <f>AC186</f>
        <v>7</v>
      </c>
      <c r="AD394" s="691">
        <v>1.25</v>
      </c>
      <c r="AE394" s="691">
        <v>1.25</v>
      </c>
      <c r="AF394" s="691">
        <v>1.25</v>
      </c>
      <c r="AG394" s="691">
        <v>1.25</v>
      </c>
      <c r="AH394" s="691">
        <v>11</v>
      </c>
      <c r="AI394" s="691">
        <v>1.25</v>
      </c>
      <c r="AJ394" s="691">
        <v>1.25</v>
      </c>
      <c r="AK394" s="691">
        <v>1.25</v>
      </c>
      <c r="AL394" s="691">
        <v>1.25</v>
      </c>
      <c r="AM394" s="3">
        <f t="shared" ref="AM394:BA394" si="552">AM186</f>
        <v>7</v>
      </c>
      <c r="AN394" s="3">
        <f t="shared" si="552"/>
        <v>8</v>
      </c>
      <c r="AO394" s="3">
        <f t="shared" si="552"/>
        <v>8</v>
      </c>
      <c r="AP394" s="3">
        <f t="shared" si="552"/>
        <v>8</v>
      </c>
      <c r="AQ394" s="3">
        <f t="shared" si="552"/>
        <v>8</v>
      </c>
      <c r="AR394" s="3">
        <f t="shared" si="552"/>
        <v>8</v>
      </c>
      <c r="AS394" s="3">
        <f t="shared" si="552"/>
        <v>8</v>
      </c>
      <c r="AT394" s="3">
        <f t="shared" si="552"/>
        <v>8</v>
      </c>
      <c r="AU394" s="3">
        <f t="shared" si="552"/>
        <v>8</v>
      </c>
      <c r="AV394" s="3">
        <f t="shared" si="552"/>
        <v>8</v>
      </c>
      <c r="AW394" s="3">
        <f t="shared" si="552"/>
        <v>8</v>
      </c>
      <c r="AX394" s="3">
        <f t="shared" si="552"/>
        <v>8</v>
      </c>
      <c r="AY394" s="3">
        <f t="shared" si="552"/>
        <v>8</v>
      </c>
      <c r="AZ394" s="3">
        <f t="shared" si="552"/>
        <v>8</v>
      </c>
      <c r="BA394" s="3">
        <f t="shared" si="552"/>
        <v>8</v>
      </c>
    </row>
    <row r="395" spans="1:56" s="3" customFormat="1" ht="12.75" customHeight="1">
      <c r="A395" s="416"/>
      <c r="B395" s="248" t="s">
        <v>447</v>
      </c>
      <c r="T395" s="3">
        <v>1.25</v>
      </c>
      <c r="U395" s="3">
        <v>1.25</v>
      </c>
      <c r="V395" s="3">
        <v>1.25</v>
      </c>
      <c r="W395" s="3">
        <v>1.25</v>
      </c>
      <c r="X395" s="3">
        <f>SUM(T395:W395)</f>
        <v>5</v>
      </c>
      <c r="Y395" s="3">
        <v>1.25</v>
      </c>
      <c r="Z395" s="3">
        <v>1.25</v>
      </c>
      <c r="AA395" s="3">
        <v>1.25</v>
      </c>
      <c r="AB395" s="3">
        <v>1.25</v>
      </c>
      <c r="AC395" s="3">
        <v>5.5</v>
      </c>
      <c r="AD395" s="691">
        <v>1.25</v>
      </c>
      <c r="AE395" s="691">
        <v>1.25</v>
      </c>
      <c r="AF395" s="691">
        <v>1.25</v>
      </c>
      <c r="AG395" s="691">
        <v>1.25</v>
      </c>
      <c r="AH395" s="691">
        <v>5.5</v>
      </c>
      <c r="AI395" s="691">
        <v>1.25</v>
      </c>
      <c r="AJ395" s="691">
        <v>1.25</v>
      </c>
      <c r="AK395" s="691">
        <v>1.25</v>
      </c>
      <c r="AL395" s="691">
        <v>1.25</v>
      </c>
      <c r="AM395" s="3">
        <f>AH395</f>
        <v>5.5</v>
      </c>
      <c r="AN395" s="3">
        <f t="shared" ref="AN395:BA395" si="553">AM395</f>
        <v>5.5</v>
      </c>
      <c r="AO395" s="3">
        <f t="shared" si="553"/>
        <v>5.5</v>
      </c>
      <c r="AP395" s="3">
        <f t="shared" si="553"/>
        <v>5.5</v>
      </c>
      <c r="AQ395" s="3">
        <f t="shared" si="553"/>
        <v>5.5</v>
      </c>
      <c r="AR395" s="3">
        <f t="shared" si="553"/>
        <v>5.5</v>
      </c>
      <c r="AS395" s="3">
        <f t="shared" si="553"/>
        <v>5.5</v>
      </c>
      <c r="AT395" s="3">
        <f t="shared" si="553"/>
        <v>5.5</v>
      </c>
      <c r="AU395" s="3">
        <f t="shared" si="553"/>
        <v>5.5</v>
      </c>
      <c r="AV395" s="3">
        <f t="shared" si="553"/>
        <v>5.5</v>
      </c>
      <c r="AW395" s="3">
        <f t="shared" si="553"/>
        <v>5.5</v>
      </c>
      <c r="AX395" s="3">
        <f t="shared" si="553"/>
        <v>5.5</v>
      </c>
      <c r="AY395" s="3">
        <f t="shared" si="553"/>
        <v>5.5</v>
      </c>
      <c r="AZ395" s="3">
        <f t="shared" si="553"/>
        <v>5.5</v>
      </c>
      <c r="BA395" s="3">
        <f t="shared" si="553"/>
        <v>5.5</v>
      </c>
    </row>
    <row r="396" spans="1:56" ht="12.75" customHeight="1">
      <c r="B396" s="253" t="s">
        <v>635</v>
      </c>
      <c r="C396" s="16"/>
      <c r="D396" s="16"/>
      <c r="E396" s="16"/>
      <c r="F396" s="16"/>
      <c r="G396" s="16"/>
      <c r="H396" s="16"/>
      <c r="I396" s="16"/>
      <c r="J396" s="16"/>
      <c r="K396" s="16"/>
      <c r="L396" s="16"/>
      <c r="M396" s="16"/>
      <c r="N396" s="16"/>
      <c r="O396" s="16"/>
      <c r="P396" s="16"/>
      <c r="Q396" s="16"/>
      <c r="R396" s="16"/>
      <c r="S396" s="120"/>
      <c r="T396" s="413">
        <f t="shared" ref="T396:AB396" si="554">T397*1000000/(T392*T394+T393*T395)</f>
        <v>0</v>
      </c>
      <c r="U396" s="413">
        <f t="shared" si="554"/>
        <v>1182.72</v>
      </c>
      <c r="V396" s="413">
        <f t="shared" si="554"/>
        <v>3164.4</v>
      </c>
      <c r="W396" s="413">
        <f t="shared" si="554"/>
        <v>3858.4</v>
      </c>
      <c r="X396" s="413">
        <f t="shared" si="554"/>
        <v>2755.7565386519591</v>
      </c>
      <c r="Y396" s="413">
        <f t="shared" si="554"/>
        <v>4726</v>
      </c>
      <c r="Z396" s="413">
        <f t="shared" si="554"/>
        <v>5009.28</v>
      </c>
      <c r="AA396" s="413">
        <f>AA397*1000000/(AA392*AA394+AA393*AA395)</f>
        <v>5112.3999999999996</v>
      </c>
      <c r="AB396" s="413">
        <f t="shared" si="554"/>
        <v>5200</v>
      </c>
      <c r="AC396" s="413">
        <f t="shared" ref="AC396:AH396" si="555">AC397*1000000/(AC392*AC394+AC393*AC395)</f>
        <v>4007.3154996184494</v>
      </c>
      <c r="AD396" s="723">
        <f t="shared" si="555"/>
        <v>4880</v>
      </c>
      <c r="AE396" s="723">
        <f t="shared" si="555"/>
        <v>3714.2857142857142</v>
      </c>
      <c r="AF396" s="723">
        <f t="shared" si="555"/>
        <v>3244.4444444444443</v>
      </c>
      <c r="AG396" s="723">
        <f t="shared" si="555"/>
        <v>2766.6666666666665</v>
      </c>
      <c r="AH396" s="723">
        <f t="shared" si="555"/>
        <v>1869.9959853247626</v>
      </c>
      <c r="AI396" s="723">
        <f t="shared" ref="AI396:AL396" si="556">AI397*1000000/(AI392*AI394+AI393*AI395)</f>
        <v>2817.391304347826</v>
      </c>
      <c r="AJ396" s="723">
        <f t="shared" si="556"/>
        <v>2688</v>
      </c>
      <c r="AK396" s="723">
        <f t="shared" si="556"/>
        <v>2600</v>
      </c>
      <c r="AL396" s="723">
        <f t="shared" si="556"/>
        <v>2272</v>
      </c>
      <c r="AM396" s="120">
        <f>AH396/(1+$BD393)</f>
        <v>1833.3293973772181</v>
      </c>
      <c r="AN396" s="120">
        <f t="shared" ref="AN396:BA396" si="557">AM396/(1+$BD393)</f>
        <v>1797.3817621345274</v>
      </c>
      <c r="AO396" s="120">
        <f t="shared" si="557"/>
        <v>1762.1389824848309</v>
      </c>
      <c r="AP396" s="120">
        <f t="shared" si="557"/>
        <v>1727.5872377302262</v>
      </c>
      <c r="AQ396" s="120">
        <f t="shared" si="557"/>
        <v>1693.7129781668884</v>
      </c>
      <c r="AR396" s="120">
        <f t="shared" si="557"/>
        <v>1660.5029197714591</v>
      </c>
      <c r="AS396" s="120">
        <f t="shared" si="557"/>
        <v>1627.9440389916265</v>
      </c>
      <c r="AT396" s="120">
        <f t="shared" si="557"/>
        <v>1596.0235676388495</v>
      </c>
      <c r="AU396" s="120">
        <f t="shared" si="557"/>
        <v>1564.7289878812251</v>
      </c>
      <c r="AV396" s="120">
        <f t="shared" si="557"/>
        <v>1534.0480273345343</v>
      </c>
      <c r="AW396" s="120">
        <f t="shared" si="557"/>
        <v>1503.9686542495433</v>
      </c>
      <c r="AX396" s="120">
        <f t="shared" si="557"/>
        <v>1474.47907279367</v>
      </c>
      <c r="AY396" s="120">
        <f t="shared" si="557"/>
        <v>1445.5677184251665</v>
      </c>
      <c r="AZ396" s="120">
        <f t="shared" si="557"/>
        <v>1417.2232533580063</v>
      </c>
      <c r="BA396" s="120">
        <f t="shared" si="557"/>
        <v>1389.4345621156924</v>
      </c>
      <c r="BB396" s="120"/>
    </row>
    <row r="397" spans="1:56" s="3" customFormat="1" ht="12.75" customHeight="1">
      <c r="A397" s="416"/>
      <c r="B397" s="259" t="s">
        <v>639</v>
      </c>
      <c r="C397" s="260"/>
      <c r="D397" s="260"/>
      <c r="E397" s="260"/>
      <c r="F397" s="260"/>
      <c r="G397" s="260"/>
      <c r="H397" s="260"/>
      <c r="I397" s="260"/>
      <c r="J397" s="260"/>
      <c r="K397" s="260"/>
      <c r="L397" s="260"/>
      <c r="M397" s="260"/>
      <c r="N397" s="260"/>
      <c r="O397" s="260"/>
      <c r="P397" s="260"/>
      <c r="Q397" s="260"/>
      <c r="R397" s="260"/>
      <c r="S397" s="260"/>
      <c r="T397" s="260">
        <f>REVS!BG25</f>
        <v>0</v>
      </c>
      <c r="U397" s="260">
        <f>REVS!BH25</f>
        <v>1.8480000000000001</v>
      </c>
      <c r="V397" s="260">
        <f>REVS!BI25</f>
        <v>7.9109999999999996</v>
      </c>
      <c r="W397" s="260">
        <f>REVS!BJ25</f>
        <v>14.468999999999999</v>
      </c>
      <c r="X397" s="260">
        <f>REVS!BK25</f>
        <v>24.228000000000002</v>
      </c>
      <c r="Y397" s="260">
        <f>REVS!BL25</f>
        <v>23.63</v>
      </c>
      <c r="Z397" s="260">
        <f>REVS!BM25</f>
        <v>31.308</v>
      </c>
      <c r="AA397" s="260">
        <f>REVS!BN25</f>
        <v>38.343000000000004</v>
      </c>
      <c r="AB397" s="260">
        <f>REVS!BO25</f>
        <v>52</v>
      </c>
      <c r="AC397" s="260">
        <f>REVS!BP25</f>
        <v>144.881</v>
      </c>
      <c r="AD397" s="708">
        <f>REVS!BQ25</f>
        <v>61</v>
      </c>
      <c r="AE397" s="708">
        <f>REVS!BR25</f>
        <v>65</v>
      </c>
      <c r="AF397" s="708">
        <f>REVS!BS25</f>
        <v>73</v>
      </c>
      <c r="AG397" s="708">
        <f>REVS!BT25</f>
        <v>83</v>
      </c>
      <c r="AH397" s="708">
        <f>REVS!BU25</f>
        <v>282</v>
      </c>
      <c r="AI397" s="708">
        <f>REVS!BV25</f>
        <v>81</v>
      </c>
      <c r="AJ397" s="708">
        <f>REVS!BW25</f>
        <v>84</v>
      </c>
      <c r="AK397" s="708">
        <f>REVS!BX25</f>
        <v>78</v>
      </c>
      <c r="AL397" s="708">
        <f>REVS!BY25</f>
        <v>71</v>
      </c>
      <c r="AM397" s="260">
        <f>(AM394*AM392*AM396/1000000)+(AM393*AM395*AM396/1000000)</f>
        <v>177.02017130513653</v>
      </c>
      <c r="AN397" s="260">
        <f>(AN394*AN392*AN396/1000000)+(AN393*AN395*AN396/1000000)</f>
        <v>150.34344640854445</v>
      </c>
      <c r="AO397" s="260">
        <f>(AO394*AO392*AO396/1000000)+(AO393*AO395*AO396/1000000)</f>
        <v>87.423553524297631</v>
      </c>
      <c r="AP397" s="260">
        <f>(AP394*AP392*AP396/1000000)+(AP393*AP395*AP396/1000000)</f>
        <v>81.559481110976122</v>
      </c>
      <c r="AQ397" s="260">
        <f>(AQ394*AQ392*AQ396/1000000)+(AQ393*AQ395*AQ396/1000000)</f>
        <v>79.844892153831154</v>
      </c>
      <c r="AR397" s="260">
        <f t="shared" ref="AR397:BA397" si="558">(AR394*AR392*AR396/1000000)+(AR393*AR395*AR396/1000000)</f>
        <v>78.256858137393323</v>
      </c>
      <c r="AS397" s="260">
        <f t="shared" si="558"/>
        <v>76.773562143081691</v>
      </c>
      <c r="AT397" s="260">
        <f t="shared" si="558"/>
        <v>75.670122385766888</v>
      </c>
      <c r="AU397" s="260">
        <f t="shared" si="558"/>
        <v>76.457659432913346</v>
      </c>
      <c r="AV397" s="260">
        <f t="shared" si="558"/>
        <v>75.358876045525832</v>
      </c>
      <c r="AW397" s="260">
        <f t="shared" si="558"/>
        <v>74.276264675980727</v>
      </c>
      <c r="AX397" s="260">
        <f t="shared" si="558"/>
        <v>73.209585756460726</v>
      </c>
      <c r="AY397" s="260">
        <f t="shared" si="558"/>
        <v>70.819849401411517</v>
      </c>
      <c r="AZ397" s="260">
        <f t="shared" si="558"/>
        <v>7.1565547065636474</v>
      </c>
      <c r="BA397" s="260">
        <f t="shared" si="558"/>
        <v>0.72319076698205753</v>
      </c>
    </row>
    <row r="398" spans="1:56" s="691" customFormat="1" ht="12.75" customHeight="1">
      <c r="A398" s="416"/>
      <c r="B398" s="600"/>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row>
    <row r="399" spans="1:56" s="691" customFormat="1" ht="12.75" customHeight="1">
      <c r="A399" s="416"/>
      <c r="B399" s="140" t="s">
        <v>842</v>
      </c>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row>
    <row r="400" spans="1:56" s="691" customFormat="1" ht="12.75" customHeight="1">
      <c r="A400" s="416"/>
      <c r="B400" s="699" t="s">
        <v>640</v>
      </c>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692">
        <f t="shared" ref="AM400:BA400" si="559">AM295</f>
        <v>5002.2214704707594</v>
      </c>
      <c r="AN400" s="692">
        <f t="shared" si="559"/>
        <v>28874.091658175534</v>
      </c>
      <c r="AO400" s="692">
        <f t="shared" si="559"/>
        <v>48895.105879943898</v>
      </c>
      <c r="AP400" s="692">
        <f t="shared" si="559"/>
        <v>68038.744537621518</v>
      </c>
      <c r="AQ400" s="692">
        <f t="shared" si="559"/>
        <v>94677.561556981236</v>
      </c>
      <c r="AR400" s="692">
        <f t="shared" si="559"/>
        <v>78071.752400200421</v>
      </c>
      <c r="AS400" s="692">
        <f t="shared" si="559"/>
        <v>64378.471877408534</v>
      </c>
      <c r="AT400" s="692">
        <f t="shared" si="559"/>
        <v>53086.888648981811</v>
      </c>
      <c r="AU400" s="692">
        <f t="shared" si="559"/>
        <v>51983.722140319747</v>
      </c>
      <c r="AV400" s="692">
        <f t="shared" si="559"/>
        <v>50903.46497742246</v>
      </c>
      <c r="AW400" s="692">
        <f t="shared" si="559"/>
        <v>49845.641729646013</v>
      </c>
      <c r="AX400" s="692">
        <f t="shared" si="559"/>
        <v>48809.786825697767</v>
      </c>
      <c r="AY400" s="692">
        <f t="shared" si="559"/>
        <v>47795.444349331519</v>
      </c>
      <c r="AZ400" s="692">
        <f t="shared" si="559"/>
        <v>4926.5439830813575</v>
      </c>
      <c r="BA400" s="692">
        <f t="shared" si="559"/>
        <v>1015.6126336462555</v>
      </c>
    </row>
    <row r="401" spans="1:56" s="691" customFormat="1" ht="12.75" customHeight="1">
      <c r="A401" s="416"/>
      <c r="B401" s="699" t="s">
        <v>641</v>
      </c>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692">
        <f>AM349</f>
        <v>0</v>
      </c>
      <c r="AN401" s="692">
        <f>AN349</f>
        <v>1769.5466059632327</v>
      </c>
      <c r="AO401" s="692">
        <f t="shared" ref="AO401:BA401" si="560">AO349</f>
        <v>9057.2590835575011</v>
      </c>
      <c r="AP401" s="692">
        <f t="shared" si="560"/>
        <v>10198.508126963538</v>
      </c>
      <c r="AQ401" s="692">
        <f t="shared" si="560"/>
        <v>11483.087240392713</v>
      </c>
      <c r="AR401" s="692">
        <f t="shared" si="560"/>
        <v>10578.216184562229</v>
      </c>
      <c r="AS401" s="692">
        <f t="shared" si="560"/>
        <v>9744.2385808794916</v>
      </c>
      <c r="AT401" s="692">
        <f t="shared" si="560"/>
        <v>8975.627814136702</v>
      </c>
      <c r="AU401" s="692">
        <f t="shared" si="560"/>
        <v>8267.2862349414008</v>
      </c>
      <c r="AV401" s="692">
        <f t="shared" si="560"/>
        <v>7614.5119914071838</v>
      </c>
      <c r="AW401" s="692">
        <f t="shared" si="560"/>
        <v>7012.9684167774694</v>
      </c>
      <c r="AX401" s="692">
        <f t="shared" si="560"/>
        <v>6458.6557766195629</v>
      </c>
      <c r="AY401" s="692">
        <f t="shared" si="560"/>
        <v>660.87613269678457</v>
      </c>
      <c r="AZ401" s="692">
        <f t="shared" si="560"/>
        <v>67.620427001426592</v>
      </c>
      <c r="BA401" s="692">
        <f t="shared" si="560"/>
        <v>6.9185548135765815</v>
      </c>
      <c r="BD401" s="192">
        <v>0.02</v>
      </c>
    </row>
    <row r="402" spans="1:56" s="691" customFormat="1" ht="12.75" customHeight="1">
      <c r="A402" s="416"/>
      <c r="B402" s="703" t="s">
        <v>446</v>
      </c>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692">
        <v>11</v>
      </c>
      <c r="AN402" s="692">
        <v>11</v>
      </c>
      <c r="AO402" s="692">
        <v>10</v>
      </c>
      <c r="AP402" s="692">
        <v>10.5</v>
      </c>
      <c r="AQ402" s="692">
        <v>11</v>
      </c>
      <c r="AR402" s="692">
        <v>11</v>
      </c>
      <c r="AS402" s="692">
        <v>11</v>
      </c>
      <c r="AT402" s="692">
        <v>11</v>
      </c>
      <c r="AU402" s="692">
        <v>11</v>
      </c>
      <c r="AV402" s="692">
        <v>11</v>
      </c>
      <c r="AW402" s="692">
        <v>11</v>
      </c>
      <c r="AX402" s="692">
        <v>11</v>
      </c>
      <c r="AY402" s="692">
        <v>11</v>
      </c>
      <c r="AZ402" s="692">
        <v>11</v>
      </c>
      <c r="BA402" s="692">
        <v>11</v>
      </c>
    </row>
    <row r="403" spans="1:56" s="691" customFormat="1" ht="12.75" customHeight="1">
      <c r="A403" s="416"/>
      <c r="B403" s="703" t="s">
        <v>447</v>
      </c>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692">
        <v>5</v>
      </c>
      <c r="AN403" s="692">
        <v>5</v>
      </c>
      <c r="AO403" s="692">
        <v>5</v>
      </c>
      <c r="AP403" s="692">
        <v>5</v>
      </c>
      <c r="AQ403" s="692">
        <v>6</v>
      </c>
      <c r="AR403" s="692">
        <v>6</v>
      </c>
      <c r="AS403" s="692">
        <v>6</v>
      </c>
      <c r="AT403" s="692">
        <v>6</v>
      </c>
      <c r="AU403" s="692">
        <v>6</v>
      </c>
      <c r="AV403" s="692">
        <v>6</v>
      </c>
      <c r="AW403" s="692">
        <v>6</v>
      </c>
      <c r="AX403" s="692">
        <v>6</v>
      </c>
      <c r="AY403" s="692">
        <v>6</v>
      </c>
      <c r="AZ403" s="692">
        <v>6</v>
      </c>
      <c r="BA403" s="692">
        <v>6</v>
      </c>
    </row>
    <row r="404" spans="1:56" s="691" customFormat="1" ht="12.75" customHeight="1">
      <c r="A404" s="416"/>
      <c r="B404" s="705" t="s">
        <v>635</v>
      </c>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691">
        <f>AM396</f>
        <v>1833.3293973772181</v>
      </c>
      <c r="AN404" s="120">
        <f>AN396</f>
        <v>1797.3817621345274</v>
      </c>
      <c r="AO404" s="120">
        <f t="shared" ref="AO404:BA404" si="561">AN404/(1+$BD401)</f>
        <v>1762.1389824848309</v>
      </c>
      <c r="AP404" s="120">
        <f t="shared" si="561"/>
        <v>1727.5872377302262</v>
      </c>
      <c r="AQ404" s="120">
        <f t="shared" si="561"/>
        <v>1693.7129781668884</v>
      </c>
      <c r="AR404" s="120">
        <f t="shared" si="561"/>
        <v>1660.5029197714591</v>
      </c>
      <c r="AS404" s="120">
        <f t="shared" si="561"/>
        <v>1627.9440389916265</v>
      </c>
      <c r="AT404" s="120">
        <f t="shared" si="561"/>
        <v>1596.0235676388495</v>
      </c>
      <c r="AU404" s="120">
        <f t="shared" si="561"/>
        <v>1564.7289878812251</v>
      </c>
      <c r="AV404" s="120">
        <f t="shared" si="561"/>
        <v>1534.0480273345343</v>
      </c>
      <c r="AW404" s="120">
        <f t="shared" si="561"/>
        <v>1503.9686542495433</v>
      </c>
      <c r="AX404" s="120">
        <f t="shared" si="561"/>
        <v>1474.47907279367</v>
      </c>
      <c r="AY404" s="120">
        <f t="shared" si="561"/>
        <v>1445.5677184251665</v>
      </c>
      <c r="AZ404" s="120">
        <f t="shared" si="561"/>
        <v>1417.2232533580063</v>
      </c>
      <c r="BA404" s="120">
        <f t="shared" si="561"/>
        <v>1389.4345621156924</v>
      </c>
    </row>
    <row r="405" spans="1:56" s="691" customFormat="1" ht="12.75" customHeight="1">
      <c r="A405" s="416"/>
      <c r="B405" s="259" t="s">
        <v>890</v>
      </c>
      <c r="C405" s="708"/>
      <c r="D405" s="708"/>
      <c r="E405" s="708"/>
      <c r="F405" s="708"/>
      <c r="G405" s="708"/>
      <c r="H405" s="708"/>
      <c r="I405" s="708"/>
      <c r="J405" s="708"/>
      <c r="K405" s="708"/>
      <c r="L405" s="708"/>
      <c r="M405" s="708"/>
      <c r="N405" s="708"/>
      <c r="O405" s="708"/>
      <c r="P405" s="708"/>
      <c r="Q405" s="708"/>
      <c r="R405" s="708"/>
      <c r="S405" s="708"/>
      <c r="T405" s="708"/>
      <c r="U405" s="708"/>
      <c r="V405" s="708"/>
      <c r="W405" s="708"/>
      <c r="X405" s="708"/>
      <c r="Y405" s="708"/>
      <c r="Z405" s="708"/>
      <c r="AA405" s="708"/>
      <c r="AB405" s="708"/>
      <c r="AC405" s="708"/>
      <c r="AD405" s="708"/>
      <c r="AE405" s="708"/>
      <c r="AF405" s="708"/>
      <c r="AG405" s="708"/>
      <c r="AH405" s="708"/>
      <c r="AI405" s="708"/>
      <c r="AJ405" s="708"/>
      <c r="AK405" s="708"/>
      <c r="AL405" s="708"/>
      <c r="AM405" s="734">
        <f>(AM402*AM400*AM404/1000000)+(AM401*AM403*AM404/1000000)</f>
        <v>100.87791641406092</v>
      </c>
      <c r="AN405" s="734">
        <f>(AN402*AN400*AN404/1000000)+(AN401*AN403*AN404/1000000)</f>
        <v>586.77817717468622</v>
      </c>
      <c r="AO405" s="734">
        <f t="shared" ref="AO405:BA405" si="562">(AO402*AO400*AO404/1000000)+(AO401*AO403*AO404/1000000)</f>
        <v>941.40046776573172</v>
      </c>
      <c r="AP405" s="734">
        <f t="shared" si="562"/>
        <v>1322.2941631311626</v>
      </c>
      <c r="AQ405" s="734">
        <f t="shared" si="562"/>
        <v>1880.617085583644</v>
      </c>
      <c r="AR405" s="734">
        <f t="shared" si="562"/>
        <v>1531.4130540969152</v>
      </c>
      <c r="AS405" s="734">
        <f t="shared" si="562"/>
        <v>1248.0284955279201</v>
      </c>
      <c r="AT405" s="734">
        <f t="shared" si="562"/>
        <v>1017.9590607346388</v>
      </c>
      <c r="AU405" s="734">
        <f t="shared" si="562"/>
        <v>972.36118077768037</v>
      </c>
      <c r="AV405" s="734">
        <f t="shared" si="562"/>
        <v>929.05812296138242</v>
      </c>
      <c r="AW405" s="734">
        <f t="shared" si="562"/>
        <v>887.91281786819866</v>
      </c>
      <c r="AX405" s="734">
        <f t="shared" si="562"/>
        <v>848.79801812814765</v>
      </c>
      <c r="AY405" s="734">
        <f t="shared" si="562"/>
        <v>765.73911305080685</v>
      </c>
      <c r="AZ405" s="734">
        <f t="shared" si="562"/>
        <v>77.377139055943118</v>
      </c>
      <c r="BA405" s="734">
        <f t="shared" si="562"/>
        <v>15.580077519071203</v>
      </c>
    </row>
    <row r="406" spans="1:56" s="691" customFormat="1" ht="12.75" customHeight="1">
      <c r="A406" s="416"/>
      <c r="B406" s="600"/>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row>
    <row r="407" spans="1:56" s="691" customFormat="1" ht="12.75" customHeight="1">
      <c r="A407" s="416"/>
      <c r="B407" s="140" t="s">
        <v>898</v>
      </c>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row>
    <row r="408" spans="1:56" s="691" customFormat="1" ht="12.75" customHeight="1">
      <c r="A408" s="416"/>
      <c r="B408" s="699" t="s">
        <v>640</v>
      </c>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692">
        <f t="shared" ref="AM408:BA408" si="563">AM296</f>
        <v>0</v>
      </c>
      <c r="AN408" s="692">
        <f t="shared" si="563"/>
        <v>16499.480947528875</v>
      </c>
      <c r="AO408" s="692">
        <f t="shared" si="563"/>
        <v>25510.490024318555</v>
      </c>
      <c r="AP408" s="692">
        <f t="shared" si="563"/>
        <v>35060.222628081938</v>
      </c>
      <c r="AQ408" s="692">
        <f t="shared" si="563"/>
        <v>40655.95772709875</v>
      </c>
      <c r="AR408" s="692">
        <f t="shared" si="563"/>
        <v>46562.743722908337</v>
      </c>
      <c r="AS408" s="692">
        <f t="shared" si="563"/>
        <v>52794.416909069434</v>
      </c>
      <c r="AT408" s="692">
        <f t="shared" si="563"/>
        <v>54418.256018033913</v>
      </c>
      <c r="AU408" s="692">
        <f t="shared" si="563"/>
        <v>56092.024389182101</v>
      </c>
      <c r="AV408" s="692">
        <f t="shared" si="563"/>
        <v>28908.628371864481</v>
      </c>
      <c r="AW408" s="692">
        <f t="shared" si="563"/>
        <v>2979.7767481283272</v>
      </c>
      <c r="AX408" s="692">
        <f t="shared" si="563"/>
        <v>614.28489534981372</v>
      </c>
      <c r="AY408" s="692">
        <f t="shared" si="563"/>
        <v>126.63560210372555</v>
      </c>
      <c r="AZ408" s="692">
        <f t="shared" si="563"/>
        <v>26.106080697907348</v>
      </c>
      <c r="BA408" s="692">
        <f t="shared" si="563"/>
        <v>5.3817981657803262</v>
      </c>
    </row>
    <row r="409" spans="1:56" s="691" customFormat="1" ht="12.75" customHeight="1">
      <c r="A409" s="416"/>
      <c r="B409" s="699" t="s">
        <v>641</v>
      </c>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692">
        <f>AM350</f>
        <v>0</v>
      </c>
      <c r="AN409" s="692">
        <f>AN350</f>
        <v>1238.6826241742631</v>
      </c>
      <c r="AO409" s="692">
        <f t="shared" ref="AO409:BA409" si="564">AO350</f>
        <v>1811.4518167115002</v>
      </c>
      <c r="AP409" s="692">
        <f t="shared" si="564"/>
        <v>2225.1290458829531</v>
      </c>
      <c r="AQ409" s="692">
        <f t="shared" si="564"/>
        <v>1935.9915678017464</v>
      </c>
      <c r="AR409" s="692">
        <f t="shared" si="564"/>
        <v>1684.3550839330485</v>
      </c>
      <c r="AS409" s="692">
        <f t="shared" si="564"/>
        <v>1465.3640694172307</v>
      </c>
      <c r="AT409" s="692">
        <f t="shared" si="564"/>
        <v>1274.7906857540236</v>
      </c>
      <c r="AU409" s="692">
        <f t="shared" si="564"/>
        <v>1108.953756767562</v>
      </c>
      <c r="AV409" s="692">
        <f t="shared" si="564"/>
        <v>964.64818926429245</v>
      </c>
      <c r="AW409" s="692">
        <f t="shared" si="564"/>
        <v>98.715705137860027</v>
      </c>
      <c r="AX409" s="692">
        <f t="shared" si="564"/>
        <v>10.101456510300755</v>
      </c>
      <c r="AY409" s="692">
        <f t="shared" si="564"/>
        <v>1.0336224353833603</v>
      </c>
      <c r="AZ409" s="692">
        <f t="shared" si="564"/>
        <v>0.10575959242720183</v>
      </c>
      <c r="BA409" s="692">
        <f t="shared" si="564"/>
        <v>1.082074706883584E-2</v>
      </c>
      <c r="BD409" s="192">
        <v>0.02</v>
      </c>
    </row>
    <row r="410" spans="1:56" s="691" customFormat="1" ht="12.75" customHeight="1">
      <c r="A410" s="416"/>
      <c r="B410" s="703" t="s">
        <v>446</v>
      </c>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692">
        <v>0</v>
      </c>
      <c r="AN410" s="692">
        <v>5</v>
      </c>
      <c r="AO410" s="692">
        <v>6</v>
      </c>
      <c r="AP410" s="692">
        <v>7.5</v>
      </c>
      <c r="AQ410" s="692">
        <v>9</v>
      </c>
      <c r="AR410" s="692">
        <v>10</v>
      </c>
      <c r="AS410" s="692">
        <v>11</v>
      </c>
      <c r="AT410" s="692">
        <v>11</v>
      </c>
      <c r="AU410" s="692">
        <v>11</v>
      </c>
      <c r="AV410" s="692">
        <v>11</v>
      </c>
      <c r="AW410" s="692">
        <v>11</v>
      </c>
      <c r="AX410" s="692">
        <v>11</v>
      </c>
      <c r="AY410" s="692">
        <v>11</v>
      </c>
      <c r="AZ410" s="692">
        <v>11</v>
      </c>
      <c r="BA410" s="692">
        <v>11</v>
      </c>
    </row>
    <row r="411" spans="1:56" s="691" customFormat="1" ht="12.75" customHeight="1">
      <c r="A411" s="416"/>
      <c r="B411" s="703" t="s">
        <v>447</v>
      </c>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692">
        <v>0</v>
      </c>
      <c r="AN411" s="692">
        <v>2</v>
      </c>
      <c r="AO411" s="692">
        <v>3</v>
      </c>
      <c r="AP411" s="692">
        <v>4</v>
      </c>
      <c r="AQ411" s="692">
        <v>5</v>
      </c>
      <c r="AR411" s="692">
        <v>6</v>
      </c>
      <c r="AS411" s="692">
        <v>6</v>
      </c>
      <c r="AT411" s="692">
        <v>6</v>
      </c>
      <c r="AU411" s="692">
        <v>6</v>
      </c>
      <c r="AV411" s="692">
        <v>6</v>
      </c>
      <c r="AW411" s="692">
        <v>6</v>
      </c>
      <c r="AX411" s="692">
        <v>6</v>
      </c>
      <c r="AY411" s="692">
        <v>6</v>
      </c>
      <c r="AZ411" s="692">
        <v>6</v>
      </c>
      <c r="BA411" s="692">
        <v>6</v>
      </c>
    </row>
    <row r="412" spans="1:56" s="691" customFormat="1" ht="12.75" customHeight="1">
      <c r="A412" s="416"/>
      <c r="B412" s="705" t="s">
        <v>635</v>
      </c>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691">
        <f>AM404</f>
        <v>1833.3293973772181</v>
      </c>
      <c r="AN412" s="120">
        <f t="shared" ref="AN412:BA412" si="565">AM412/(1+$BD409)</f>
        <v>1797.3817621345274</v>
      </c>
      <c r="AO412" s="120">
        <f t="shared" si="565"/>
        <v>1762.1389824848309</v>
      </c>
      <c r="AP412" s="120">
        <f t="shared" si="565"/>
        <v>1727.5872377302262</v>
      </c>
      <c r="AQ412" s="120">
        <f t="shared" si="565"/>
        <v>1693.7129781668884</v>
      </c>
      <c r="AR412" s="120">
        <f t="shared" si="565"/>
        <v>1660.5029197714591</v>
      </c>
      <c r="AS412" s="120">
        <f t="shared" si="565"/>
        <v>1627.9440389916265</v>
      </c>
      <c r="AT412" s="120">
        <f t="shared" si="565"/>
        <v>1596.0235676388495</v>
      </c>
      <c r="AU412" s="120">
        <f t="shared" si="565"/>
        <v>1564.7289878812251</v>
      </c>
      <c r="AV412" s="120">
        <f t="shared" si="565"/>
        <v>1534.0480273345343</v>
      </c>
      <c r="AW412" s="120">
        <f t="shared" si="565"/>
        <v>1503.9686542495433</v>
      </c>
      <c r="AX412" s="120">
        <f t="shared" si="565"/>
        <v>1474.47907279367</v>
      </c>
      <c r="AY412" s="120">
        <f t="shared" si="565"/>
        <v>1445.5677184251665</v>
      </c>
      <c r="AZ412" s="120">
        <f t="shared" si="565"/>
        <v>1417.2232533580063</v>
      </c>
      <c r="BA412" s="120">
        <f t="shared" si="565"/>
        <v>1389.4345621156924</v>
      </c>
    </row>
    <row r="413" spans="1:56" s="691" customFormat="1" ht="12.75" customHeight="1">
      <c r="A413" s="416"/>
      <c r="B413" s="259" t="s">
        <v>892</v>
      </c>
      <c r="C413" s="708"/>
      <c r="D413" s="708"/>
      <c r="E413" s="708"/>
      <c r="F413" s="708"/>
      <c r="G413" s="708"/>
      <c r="H413" s="708"/>
      <c r="I413" s="708"/>
      <c r="J413" s="708"/>
      <c r="K413" s="708"/>
      <c r="L413" s="708"/>
      <c r="M413" s="708"/>
      <c r="N413" s="708"/>
      <c r="O413" s="708"/>
      <c r="P413" s="708"/>
      <c r="Q413" s="708"/>
      <c r="R413" s="708"/>
      <c r="S413" s="708"/>
      <c r="T413" s="708"/>
      <c r="U413" s="708"/>
      <c r="V413" s="708"/>
      <c r="W413" s="708"/>
      <c r="X413" s="708"/>
      <c r="Y413" s="708"/>
      <c r="Z413" s="708"/>
      <c r="AA413" s="708"/>
      <c r="AB413" s="708"/>
      <c r="AC413" s="708"/>
      <c r="AD413" s="708"/>
      <c r="AE413" s="708"/>
      <c r="AF413" s="708"/>
      <c r="AG413" s="708"/>
      <c r="AH413" s="708"/>
      <c r="AI413" s="708"/>
      <c r="AJ413" s="708"/>
      <c r="AK413" s="708"/>
      <c r="AL413" s="708"/>
      <c r="AM413" s="734">
        <f>(AM410*AM408*AM412/1000000)+(AM409*AM411*AM412/1000000)</f>
        <v>0</v>
      </c>
      <c r="AN413" s="734">
        <f>(AN410*AN408*AN412/1000000)+(AN409*AN411*AN412/1000000)</f>
        <v>152.7321018144001</v>
      </c>
      <c r="AO413" s="734">
        <f t="shared" ref="AO413:BA413" si="566">(AO410*AO408*AO412/1000000)+(AO409*AO411*AO412/1000000)</f>
        <v>279.29426318821362</v>
      </c>
      <c r="AP413" s="734">
        <f t="shared" si="566"/>
        <v>469.64836689979228</v>
      </c>
      <c r="AQ413" s="734">
        <f t="shared" si="566"/>
        <v>636.1307793997612</v>
      </c>
      <c r="AR413" s="734">
        <f t="shared" si="566"/>
        <v>789.95697825341108</v>
      </c>
      <c r="AS413" s="734">
        <f t="shared" si="566"/>
        <v>959.72310350130329</v>
      </c>
      <c r="AT413" s="734">
        <f t="shared" si="566"/>
        <v>967.58858613007419</v>
      </c>
      <c r="AU413" s="734">
        <f t="shared" si="566"/>
        <v>975.86825459423687</v>
      </c>
      <c r="AV413" s="734">
        <f t="shared" si="566"/>
        <v>496.69836750574075</v>
      </c>
      <c r="AW413" s="734">
        <f t="shared" si="566"/>
        <v>50.187191041569946</v>
      </c>
      <c r="AX413" s="734">
        <f t="shared" si="566"/>
        <v>10.052618769567092</v>
      </c>
      <c r="AY413" s="734">
        <f t="shared" si="566"/>
        <v>2.0226287498030588</v>
      </c>
      <c r="AZ413" s="734">
        <f t="shared" si="566"/>
        <v>0.4078789005321849</v>
      </c>
      <c r="BA413" s="734">
        <f t="shared" si="566"/>
        <v>8.2344428476318385E-2</v>
      </c>
    </row>
    <row r="414" spans="1:56" s="691" customFormat="1" ht="12.75" customHeight="1">
      <c r="A414" s="416"/>
      <c r="B414" s="600"/>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row>
    <row r="415" spans="1:56" s="691" customFormat="1" ht="12.75" customHeight="1">
      <c r="A415" s="416"/>
      <c r="B415" s="140" t="s">
        <v>899</v>
      </c>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row>
    <row r="416" spans="1:56" s="691" customFormat="1" ht="12.75" customHeight="1">
      <c r="A416" s="416"/>
      <c r="B416" s="699" t="s">
        <v>640</v>
      </c>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692">
        <f t="shared" ref="AM416:BA416" si="567">AM297</f>
        <v>6002.6657645649111</v>
      </c>
      <c r="AN416" s="692">
        <f t="shared" si="567"/>
        <v>20624.351184411094</v>
      </c>
      <c r="AO416" s="692">
        <f t="shared" si="567"/>
        <v>34013.986699091409</v>
      </c>
      <c r="AP416" s="692">
        <f t="shared" si="567"/>
        <v>37251.486542337057</v>
      </c>
      <c r="AQ416" s="692">
        <f t="shared" si="567"/>
        <v>40655.95772709875</v>
      </c>
      <c r="AR416" s="692">
        <f t="shared" si="567"/>
        <v>44234.60653676292</v>
      </c>
      <c r="AS416" s="692">
        <f t="shared" si="567"/>
        <v>47994.924462790397</v>
      </c>
      <c r="AT416" s="692">
        <f t="shared" si="567"/>
        <v>49471.141834576287</v>
      </c>
      <c r="AU416" s="692">
        <f t="shared" si="567"/>
        <v>50992.749444711</v>
      </c>
      <c r="AV416" s="692">
        <f t="shared" si="567"/>
        <v>26280.571247149528</v>
      </c>
      <c r="AW416" s="692">
        <f t="shared" si="567"/>
        <v>2708.8879528439343</v>
      </c>
      <c r="AX416" s="692">
        <f t="shared" si="567"/>
        <v>558.44081395437615</v>
      </c>
      <c r="AY416" s="692">
        <f t="shared" si="567"/>
        <v>115.12327463975052</v>
      </c>
      <c r="AZ416" s="692">
        <f t="shared" si="567"/>
        <v>23.732800634461228</v>
      </c>
      <c r="BA416" s="692">
        <f t="shared" si="567"/>
        <v>4.8925437870730244</v>
      </c>
    </row>
    <row r="417" spans="1:56" s="691" customFormat="1" ht="12.75" customHeight="1">
      <c r="A417" s="416"/>
      <c r="B417" s="699" t="s">
        <v>641</v>
      </c>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692">
        <f>AM351</f>
        <v>345.70831971625313</v>
      </c>
      <c r="AN417" s="692">
        <f>AN351</f>
        <v>707.81864238529306</v>
      </c>
      <c r="AO417" s="692">
        <f t="shared" ref="AO417:BA417" si="568">AO351</f>
        <v>1449.1614533692002</v>
      </c>
      <c r="AP417" s="692">
        <f t="shared" si="568"/>
        <v>2225.1290458829531</v>
      </c>
      <c r="AQ417" s="692">
        <f t="shared" si="568"/>
        <v>3036.8495181203866</v>
      </c>
      <c r="AR417" s="692">
        <f t="shared" si="568"/>
        <v>3885.4788556702392</v>
      </c>
      <c r="AS417" s="692">
        <f t="shared" si="568"/>
        <v>3976.8344376612549</v>
      </c>
      <c r="AT417" s="692">
        <f t="shared" si="568"/>
        <v>4070.1641846690022</v>
      </c>
      <c r="AU417" s="692">
        <f t="shared" si="568"/>
        <v>4165.5040163154927</v>
      </c>
      <c r="AV417" s="692">
        <f t="shared" si="568"/>
        <v>4262.8902212504463</v>
      </c>
      <c r="AW417" s="692">
        <f t="shared" si="568"/>
        <v>436.23594466804315</v>
      </c>
      <c r="AX417" s="692">
        <f t="shared" si="568"/>
        <v>44.639486869289989</v>
      </c>
      <c r="AY417" s="692">
        <f t="shared" si="568"/>
        <v>4.5676952709788274</v>
      </c>
      <c r="AZ417" s="692">
        <f t="shared" si="568"/>
        <v>0.4673636848944841</v>
      </c>
      <c r="BA417" s="692">
        <f t="shared" si="568"/>
        <v>4.7818113774250562E-2</v>
      </c>
      <c r="BD417" s="192">
        <v>0.02</v>
      </c>
    </row>
    <row r="418" spans="1:56" s="691" customFormat="1" ht="12.75" customHeight="1">
      <c r="A418" s="416"/>
      <c r="B418" s="703" t="s">
        <v>446</v>
      </c>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692">
        <v>3</v>
      </c>
      <c r="AN418" s="692">
        <v>6</v>
      </c>
      <c r="AO418" s="692">
        <v>7</v>
      </c>
      <c r="AP418" s="692">
        <v>8</v>
      </c>
      <c r="AQ418" s="692">
        <v>9</v>
      </c>
      <c r="AR418" s="692">
        <v>10</v>
      </c>
      <c r="AS418" s="692">
        <v>11</v>
      </c>
      <c r="AT418" s="692">
        <v>11</v>
      </c>
      <c r="AU418" s="692">
        <v>11</v>
      </c>
      <c r="AV418" s="692">
        <v>11</v>
      </c>
      <c r="AW418" s="692">
        <v>11</v>
      </c>
      <c r="AX418" s="692">
        <v>11</v>
      </c>
      <c r="AY418" s="692">
        <v>11</v>
      </c>
      <c r="AZ418" s="692">
        <v>11</v>
      </c>
      <c r="BA418" s="692">
        <v>11</v>
      </c>
    </row>
    <row r="419" spans="1:56" s="691" customFormat="1" ht="12.75" customHeight="1">
      <c r="A419" s="416"/>
      <c r="B419" s="703" t="s">
        <v>447</v>
      </c>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692">
        <v>6</v>
      </c>
      <c r="AN419" s="692">
        <v>2</v>
      </c>
      <c r="AO419" s="692">
        <v>3</v>
      </c>
      <c r="AP419" s="692">
        <v>4</v>
      </c>
      <c r="AQ419" s="692">
        <v>5</v>
      </c>
      <c r="AR419" s="692">
        <v>6</v>
      </c>
      <c r="AS419" s="692">
        <v>6</v>
      </c>
      <c r="AT419" s="692">
        <v>6</v>
      </c>
      <c r="AU419" s="692">
        <v>6</v>
      </c>
      <c r="AV419" s="692">
        <v>6</v>
      </c>
      <c r="AW419" s="692">
        <v>6</v>
      </c>
      <c r="AX419" s="692">
        <v>6</v>
      </c>
      <c r="AY419" s="692">
        <v>6</v>
      </c>
      <c r="AZ419" s="692">
        <v>6</v>
      </c>
      <c r="BA419" s="692">
        <v>6</v>
      </c>
    </row>
    <row r="420" spans="1:56" s="691" customFormat="1" ht="12.75" customHeight="1">
      <c r="A420" s="416"/>
      <c r="B420" s="705" t="s">
        <v>635</v>
      </c>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f>AM412</f>
        <v>1833.3293973772181</v>
      </c>
      <c r="AN420" s="120">
        <f>AM420/(1+BD417)</f>
        <v>1797.3817621345274</v>
      </c>
      <c r="AO420" s="120">
        <f t="shared" ref="AO420:BA420" si="569">AN420/(1+BE417)</f>
        <v>1797.3817621345274</v>
      </c>
      <c r="AP420" s="120">
        <f t="shared" si="569"/>
        <v>1797.3817621345274</v>
      </c>
      <c r="AQ420" s="120">
        <f t="shared" si="569"/>
        <v>1797.3817621345274</v>
      </c>
      <c r="AR420" s="120">
        <f t="shared" si="569"/>
        <v>1797.3817621345274</v>
      </c>
      <c r="AS420" s="120">
        <f t="shared" si="569"/>
        <v>1797.3817621345274</v>
      </c>
      <c r="AT420" s="120">
        <f t="shared" si="569"/>
        <v>1797.3817621345274</v>
      </c>
      <c r="AU420" s="120">
        <f t="shared" si="569"/>
        <v>1797.3817621345274</v>
      </c>
      <c r="AV420" s="120">
        <f t="shared" si="569"/>
        <v>1797.3817621345274</v>
      </c>
      <c r="AW420" s="120">
        <f t="shared" si="569"/>
        <v>1797.3817621345274</v>
      </c>
      <c r="AX420" s="120">
        <f t="shared" si="569"/>
        <v>1797.3817621345274</v>
      </c>
      <c r="AY420" s="120">
        <f t="shared" si="569"/>
        <v>1797.3817621345274</v>
      </c>
      <c r="AZ420" s="120">
        <f t="shared" si="569"/>
        <v>1797.3817621345274</v>
      </c>
      <c r="BA420" s="120">
        <f t="shared" si="569"/>
        <v>1797.3817621345274</v>
      </c>
    </row>
    <row r="421" spans="1:56" s="691" customFormat="1" ht="12.75" customHeight="1">
      <c r="A421" s="416"/>
      <c r="B421" s="259" t="s">
        <v>895</v>
      </c>
      <c r="C421" s="708"/>
      <c r="D421" s="708"/>
      <c r="E421" s="708"/>
      <c r="F421" s="708"/>
      <c r="G421" s="708"/>
      <c r="H421" s="708"/>
      <c r="I421" s="708"/>
      <c r="J421" s="708"/>
      <c r="K421" s="708"/>
      <c r="L421" s="708"/>
      <c r="M421" s="708"/>
      <c r="N421" s="708"/>
      <c r="O421" s="708"/>
      <c r="P421" s="708"/>
      <c r="Q421" s="708"/>
      <c r="R421" s="708"/>
      <c r="S421" s="708"/>
      <c r="T421" s="708"/>
      <c r="U421" s="708"/>
      <c r="V421" s="708"/>
      <c r="W421" s="708"/>
      <c r="X421" s="708"/>
      <c r="Y421" s="708"/>
      <c r="Z421" s="708"/>
      <c r="AA421" s="708"/>
      <c r="AB421" s="708"/>
      <c r="AC421" s="708"/>
      <c r="AD421" s="708"/>
      <c r="AE421" s="708"/>
      <c r="AF421" s="708"/>
      <c r="AG421" s="708"/>
      <c r="AH421" s="708"/>
      <c r="AI421" s="708"/>
      <c r="AJ421" s="708"/>
      <c r="AK421" s="708"/>
      <c r="AL421" s="708"/>
      <c r="AM421" s="734">
        <f>(AM418*AM416*AM420/1000000)+(AM417*AM419*AM420/1000000)</f>
        <v>36.817374179142078</v>
      </c>
      <c r="AN421" s="734">
        <f>(AN418*AN416*AN420/1000000)+(AN417*AN419*AN420/1000000)</f>
        <v>224.96343668575315</v>
      </c>
      <c r="AO421" s="734">
        <f t="shared" ref="AO421:BA421" si="570">(AO418*AO416*AO420/1000000)+(AO417*AO419*AO420/1000000)</f>
        <v>435.7669245530555</v>
      </c>
      <c r="AP421" s="734">
        <f t="shared" si="570"/>
        <v>551.63876565063458</v>
      </c>
      <c r="AQ421" s="734">
        <f t="shared" si="570"/>
        <v>684.96038215827946</v>
      </c>
      <c r="AR421" s="734">
        <f t="shared" si="570"/>
        <v>836.96688343779033</v>
      </c>
      <c r="AS421" s="734">
        <f t="shared" si="570"/>
        <v>991.80455908456645</v>
      </c>
      <c r="AT421" s="734">
        <f t="shared" si="570"/>
        <v>1021.9976421863198</v>
      </c>
      <c r="AU421" s="734">
        <f t="shared" si="570"/>
        <v>1053.1098220773517</v>
      </c>
      <c r="AV421" s="734">
        <f t="shared" si="570"/>
        <v>565.57066086508269</v>
      </c>
      <c r="AW421" s="734">
        <f t="shared" si="570"/>
        <v>58.262459008787062</v>
      </c>
      <c r="AX421" s="734">
        <f t="shared" si="570"/>
        <v>11.522449873984154</v>
      </c>
      <c r="AY421" s="734">
        <f t="shared" si="570"/>
        <v>2.325384569631884</v>
      </c>
      <c r="AZ421" s="734">
        <f t="shared" si="570"/>
        <v>0.47426611905338883</v>
      </c>
      <c r="BA421" s="734">
        <f t="shared" si="570"/>
        <v>9.7247143140211184E-2</v>
      </c>
    </row>
    <row r="422" spans="1:56" s="691" customFormat="1" ht="12.75" customHeight="1">
      <c r="A422" s="416"/>
      <c r="B422" s="600"/>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row>
    <row r="423" spans="1:56" s="691" customFormat="1" ht="12.75" customHeight="1">
      <c r="A423" s="416"/>
      <c r="B423" s="140" t="s">
        <v>865</v>
      </c>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row>
    <row r="424" spans="1:56" s="691" customFormat="1" ht="12.75" customHeight="1">
      <c r="A424" s="416"/>
      <c r="B424" s="699" t="s">
        <v>640</v>
      </c>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692">
        <f t="shared" ref="AM424:BA424" si="571">AM298</f>
        <v>0</v>
      </c>
      <c r="AN424" s="692">
        <f t="shared" si="571"/>
        <v>0</v>
      </c>
      <c r="AO424" s="692">
        <f t="shared" si="571"/>
        <v>0</v>
      </c>
      <c r="AP424" s="692">
        <f t="shared" si="571"/>
        <v>10956.319571275606</v>
      </c>
      <c r="AQ424" s="692">
        <f t="shared" si="571"/>
        <v>22586.643181721531</v>
      </c>
      <c r="AR424" s="692">
        <f t="shared" si="571"/>
        <v>34922.057792181258</v>
      </c>
      <c r="AS424" s="692">
        <f t="shared" si="571"/>
        <v>46795.051351220638</v>
      </c>
      <c r="AT424" s="692">
        <f t="shared" si="571"/>
        <v>57881.235946454261</v>
      </c>
      <c r="AU424" s="692">
        <f t="shared" si="571"/>
        <v>65627.66853534308</v>
      </c>
      <c r="AV424" s="692">
        <f t="shared" si="571"/>
        <v>71028.499909671038</v>
      </c>
      <c r="AW424" s="692">
        <f t="shared" si="571"/>
        <v>73945.245848528139</v>
      </c>
      <c r="AX424" s="692">
        <f t="shared" si="571"/>
        <v>76981.743871538492</v>
      </c>
      <c r="AY424" s="692">
        <f t="shared" si="571"/>
        <v>80142.909711476095</v>
      </c>
      <c r="AZ424" s="692">
        <f t="shared" si="571"/>
        <v>83433.860852376311</v>
      </c>
      <c r="BA424" s="692">
        <f t="shared" si="571"/>
        <v>86859.924808367796</v>
      </c>
    </row>
    <row r="425" spans="1:56" s="691" customFormat="1" ht="12.75" customHeight="1">
      <c r="A425" s="416"/>
      <c r="B425" s="699" t="s">
        <v>641</v>
      </c>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692">
        <f>AM352</f>
        <v>0</v>
      </c>
      <c r="AN425" s="692">
        <f>AN352</f>
        <v>0</v>
      </c>
      <c r="AO425" s="692">
        <f t="shared" ref="AO425:BA425" si="572">AO352</f>
        <v>0</v>
      </c>
      <c r="AP425" s="692">
        <f t="shared" si="572"/>
        <v>741.70968196098443</v>
      </c>
      <c r="AQ425" s="692">
        <f t="shared" si="572"/>
        <v>3796.0618976504834</v>
      </c>
      <c r="AR425" s="692">
        <f t="shared" si="572"/>
        <v>5828.2182835053582</v>
      </c>
      <c r="AS425" s="692">
        <f t="shared" si="572"/>
        <v>7953.6688753225098</v>
      </c>
      <c r="AT425" s="692">
        <f t="shared" si="572"/>
        <v>10175.410461672505</v>
      </c>
      <c r="AU425" s="692">
        <f t="shared" si="572"/>
        <v>10830.310442420281</v>
      </c>
      <c r="AV425" s="692">
        <f t="shared" si="572"/>
        <v>11509.803597376203</v>
      </c>
      <c r="AW425" s="692">
        <f t="shared" si="572"/>
        <v>11778.370506037165</v>
      </c>
      <c r="AX425" s="692">
        <f t="shared" si="572"/>
        <v>12052.661454708294</v>
      </c>
      <c r="AY425" s="692">
        <f t="shared" si="572"/>
        <v>12332.777231642831</v>
      </c>
      <c r="AZ425" s="692">
        <f t="shared" si="572"/>
        <v>12618.819492151066</v>
      </c>
      <c r="BA425" s="692">
        <f t="shared" si="572"/>
        <v>12910.890719047648</v>
      </c>
      <c r="BD425" s="192">
        <v>0.02</v>
      </c>
    </row>
    <row r="426" spans="1:56" s="691" customFormat="1" ht="12.75" customHeight="1">
      <c r="A426" s="416"/>
      <c r="B426" s="703" t="s">
        <v>446</v>
      </c>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692">
        <v>11</v>
      </c>
      <c r="AN426" s="692">
        <v>11</v>
      </c>
      <c r="AO426" s="692">
        <v>11</v>
      </c>
      <c r="AP426" s="692">
        <v>3</v>
      </c>
      <c r="AQ426" s="692">
        <v>4</v>
      </c>
      <c r="AR426" s="692">
        <v>6</v>
      </c>
      <c r="AS426" s="692">
        <v>9</v>
      </c>
      <c r="AT426" s="692">
        <v>10</v>
      </c>
      <c r="AU426" s="692">
        <v>11</v>
      </c>
      <c r="AV426" s="692">
        <v>11</v>
      </c>
      <c r="AW426" s="692">
        <v>11</v>
      </c>
      <c r="AX426" s="692">
        <v>11</v>
      </c>
      <c r="AY426" s="692">
        <v>11</v>
      </c>
      <c r="AZ426" s="692">
        <v>11</v>
      </c>
      <c r="BA426" s="692">
        <v>11</v>
      </c>
    </row>
    <row r="427" spans="1:56" s="691" customFormat="1" ht="12.75" customHeight="1">
      <c r="A427" s="416"/>
      <c r="B427" s="703" t="s">
        <v>447</v>
      </c>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692">
        <v>6</v>
      </c>
      <c r="AN427" s="692">
        <v>6</v>
      </c>
      <c r="AO427" s="692">
        <v>6</v>
      </c>
      <c r="AP427" s="692">
        <v>2</v>
      </c>
      <c r="AQ427" s="692">
        <v>3</v>
      </c>
      <c r="AR427" s="692">
        <v>4</v>
      </c>
      <c r="AS427" s="692">
        <v>5</v>
      </c>
      <c r="AT427" s="692">
        <v>6</v>
      </c>
      <c r="AU427" s="692">
        <v>6</v>
      </c>
      <c r="AV427" s="692">
        <v>6</v>
      </c>
      <c r="AW427" s="692">
        <v>6</v>
      </c>
      <c r="AX427" s="692">
        <v>6</v>
      </c>
      <c r="AY427" s="692">
        <v>6</v>
      </c>
      <c r="AZ427" s="692">
        <v>6</v>
      </c>
      <c r="BA427" s="692">
        <v>6</v>
      </c>
    </row>
    <row r="428" spans="1:56" s="691" customFormat="1" ht="12.75" customHeight="1">
      <c r="A428" s="416"/>
      <c r="B428" s="705" t="s">
        <v>635</v>
      </c>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f>AM420</f>
        <v>1833.3293973772181</v>
      </c>
      <c r="AN428" s="120">
        <f>AM428/(1+BD425)</f>
        <v>1797.3817621345274</v>
      </c>
      <c r="AO428" s="120">
        <f t="shared" ref="AO428:BA428" si="573">AN428/(1+BE425)</f>
        <v>1797.3817621345274</v>
      </c>
      <c r="AP428" s="120">
        <f t="shared" si="573"/>
        <v>1797.3817621345274</v>
      </c>
      <c r="AQ428" s="120">
        <f t="shared" si="573"/>
        <v>1797.3817621345274</v>
      </c>
      <c r="AR428" s="120">
        <f t="shared" si="573"/>
        <v>1797.3817621345274</v>
      </c>
      <c r="AS428" s="120">
        <f t="shared" si="573"/>
        <v>1797.3817621345274</v>
      </c>
      <c r="AT428" s="120">
        <f t="shared" si="573"/>
        <v>1797.3817621345274</v>
      </c>
      <c r="AU428" s="120">
        <f t="shared" si="573"/>
        <v>1797.3817621345274</v>
      </c>
      <c r="AV428" s="120">
        <f t="shared" si="573"/>
        <v>1797.3817621345274</v>
      </c>
      <c r="AW428" s="120">
        <f t="shared" si="573"/>
        <v>1797.3817621345274</v>
      </c>
      <c r="AX428" s="120">
        <f t="shared" si="573"/>
        <v>1797.3817621345274</v>
      </c>
      <c r="AY428" s="120">
        <f t="shared" si="573"/>
        <v>1797.3817621345274</v>
      </c>
      <c r="AZ428" s="120">
        <f t="shared" si="573"/>
        <v>1797.3817621345274</v>
      </c>
      <c r="BA428" s="120">
        <f t="shared" si="573"/>
        <v>1797.3817621345274</v>
      </c>
    </row>
    <row r="429" spans="1:56" s="691" customFormat="1" ht="12.75" customHeight="1">
      <c r="A429" s="416"/>
      <c r="B429" s="259" t="s">
        <v>897</v>
      </c>
      <c r="C429" s="708"/>
      <c r="D429" s="708"/>
      <c r="E429" s="708"/>
      <c r="F429" s="708"/>
      <c r="G429" s="708"/>
      <c r="H429" s="708"/>
      <c r="I429" s="708"/>
      <c r="J429" s="708"/>
      <c r="K429" s="708"/>
      <c r="L429" s="708"/>
      <c r="M429" s="708"/>
      <c r="N429" s="708"/>
      <c r="O429" s="708"/>
      <c r="P429" s="708"/>
      <c r="Q429" s="708"/>
      <c r="R429" s="708"/>
      <c r="S429" s="708"/>
      <c r="T429" s="708"/>
      <c r="U429" s="708"/>
      <c r="V429" s="708"/>
      <c r="W429" s="708"/>
      <c r="X429" s="708"/>
      <c r="Y429" s="708"/>
      <c r="Z429" s="708"/>
      <c r="AA429" s="708"/>
      <c r="AB429" s="708"/>
      <c r="AC429" s="708"/>
      <c r="AD429" s="708"/>
      <c r="AE429" s="708"/>
      <c r="AF429" s="708"/>
      <c r="AG429" s="708"/>
      <c r="AH429" s="708"/>
      <c r="AI429" s="708"/>
      <c r="AJ429" s="708"/>
      <c r="AK429" s="708"/>
      <c r="AL429" s="708"/>
      <c r="AM429" s="734">
        <f>(AM426*AM424*AM428/1000000)+(AM425*AM427*AM428/1000000)</f>
        <v>0</v>
      </c>
      <c r="AN429" s="734">
        <f>(AN426*AN424*AN428/1000000)+(AN425*AN427*AN428/1000000)</f>
        <v>0</v>
      </c>
      <c r="AO429" s="734">
        <f t="shared" ref="AO429:BA429" si="574">(AO426*AO424*AO428/1000000)+(AO425*AO427*AO428/1000000)</f>
        <v>0</v>
      </c>
      <c r="AP429" s="734">
        <f t="shared" si="574"/>
        <v>61.744337842895625</v>
      </c>
      <c r="AQ429" s="734">
        <f t="shared" si="574"/>
        <v>182.8561993589781</v>
      </c>
      <c r="AR429" s="734">
        <f t="shared" si="574"/>
        <v>418.51175162529341</v>
      </c>
      <c r="AS429" s="734">
        <f t="shared" si="574"/>
        <v>828.45604360430252</v>
      </c>
      <c r="AT429" s="734">
        <f t="shared" si="574"/>
        <v>1150.0813617158813</v>
      </c>
      <c r="AU429" s="734">
        <f t="shared" si="574"/>
        <v>1414.3349344899598</v>
      </c>
      <c r="AV429" s="734">
        <f t="shared" si="574"/>
        <v>1528.4437000536293</v>
      </c>
      <c r="AW429" s="734">
        <f t="shared" si="574"/>
        <v>1589.0075691429684</v>
      </c>
      <c r="AX429" s="734">
        <f t="shared" si="574"/>
        <v>1652.0008102754089</v>
      </c>
      <c r="AY429" s="734">
        <f t="shared" si="574"/>
        <v>1717.5217003135504</v>
      </c>
      <c r="AZ429" s="734">
        <f t="shared" si="574"/>
        <v>1785.6725143350022</v>
      </c>
      <c r="BA429" s="734">
        <f t="shared" si="574"/>
        <v>1856.5596888882724</v>
      </c>
    </row>
    <row r="430" spans="1:56" s="12" customFormat="1" ht="12.75" customHeight="1">
      <c r="A430" s="374"/>
      <c r="B430" s="62"/>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691"/>
      <c r="AJ430" s="691"/>
      <c r="AK430" s="691"/>
      <c r="AL430" s="691"/>
      <c r="AM430" s="3"/>
      <c r="AN430" s="3"/>
      <c r="AO430" s="3"/>
      <c r="AP430" s="3"/>
      <c r="AQ430" s="3"/>
      <c r="AR430" s="3"/>
      <c r="AS430" s="3"/>
      <c r="AT430" s="3"/>
      <c r="AU430" s="3"/>
      <c r="AV430" s="3"/>
      <c r="AW430" s="3"/>
      <c r="AX430" s="3"/>
      <c r="AY430" s="3"/>
      <c r="AZ430" s="3"/>
      <c r="BA430" s="3"/>
      <c r="BB430" s="3"/>
    </row>
    <row r="431" spans="1:56" s="3" customFormat="1" ht="12.75" customHeight="1">
      <c r="A431" s="416"/>
      <c r="B431" s="600"/>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row>
    <row r="432" spans="1:56" s="77" customFormat="1" ht="12.75" customHeight="1">
      <c r="A432" s="384"/>
      <c r="B432" s="439" t="s">
        <v>670</v>
      </c>
      <c r="C432" s="405"/>
      <c r="D432" s="405"/>
      <c r="E432" s="405"/>
      <c r="F432" s="405"/>
      <c r="G432" s="405"/>
      <c r="H432" s="405"/>
      <c r="I432" s="405"/>
      <c r="J432" s="405"/>
      <c r="K432" s="405"/>
      <c r="L432" s="405"/>
      <c r="M432" s="405"/>
      <c r="N432" s="405"/>
      <c r="O432" s="405"/>
      <c r="P432" s="405"/>
      <c r="Q432" s="405"/>
      <c r="R432" s="405"/>
      <c r="S432" s="405"/>
      <c r="T432" s="405"/>
      <c r="U432" s="405"/>
      <c r="V432" s="405"/>
      <c r="W432" s="405"/>
      <c r="X432" s="405"/>
      <c r="Y432" s="405"/>
      <c r="Z432" s="405"/>
      <c r="AA432" s="405"/>
      <c r="AB432" s="405"/>
      <c r="AC432" s="405"/>
      <c r="AD432" s="405"/>
      <c r="AE432" s="405"/>
      <c r="AF432" s="405"/>
      <c r="AG432" s="405"/>
      <c r="AH432" s="405"/>
      <c r="AI432" s="405"/>
      <c r="AJ432" s="405"/>
      <c r="AK432" s="405"/>
      <c r="AL432" s="405"/>
      <c r="AM432" s="405"/>
      <c r="AN432" s="405"/>
      <c r="AO432" s="405"/>
      <c r="AP432" s="405"/>
      <c r="AQ432" s="405"/>
      <c r="AR432" s="405"/>
      <c r="AS432" s="405"/>
      <c r="AT432" s="405"/>
      <c r="AU432" s="405"/>
      <c r="AV432" s="405"/>
      <c r="AW432" s="405"/>
      <c r="AX432" s="405"/>
      <c r="AY432" s="405"/>
      <c r="AZ432" s="405"/>
      <c r="BA432" s="405"/>
      <c r="BB432" s="188"/>
    </row>
    <row r="433" spans="1:54" s="116" customFormat="1" ht="12.75" customHeight="1">
      <c r="A433" s="372"/>
      <c r="B433" s="231" t="s">
        <v>63</v>
      </c>
      <c r="I433" s="116">
        <f>REVS!AB16</f>
        <v>90.092000000000013</v>
      </c>
      <c r="J433" s="116">
        <f>REVS!AG16</f>
        <v>95.57</v>
      </c>
      <c r="K433" s="116">
        <f>REVS!AL16</f>
        <v>107.074</v>
      </c>
      <c r="L433" s="116">
        <f>REVS!AQ16</f>
        <v>104.749</v>
      </c>
      <c r="M433" s="116">
        <f>REVS!AV16</f>
        <v>119.39</v>
      </c>
      <c r="N433" s="116">
        <f>REVS!BA16</f>
        <v>84.813999999999993</v>
      </c>
      <c r="S433" s="116">
        <f>REVS!BF16</f>
        <v>125.22800000000001</v>
      </c>
      <c r="X433" s="116">
        <f>REVS!BK16</f>
        <v>176.99199999999999</v>
      </c>
      <c r="AC433" s="116">
        <f>X433*(1+AC434)</f>
        <v>180.53183999999999</v>
      </c>
      <c r="AH433" s="116">
        <f>AC433*(1+AH434)</f>
        <v>184.1424768</v>
      </c>
      <c r="AI433" s="696"/>
      <c r="AJ433" s="696"/>
      <c r="AK433" s="696"/>
      <c r="AL433" s="696"/>
      <c r="AM433" s="116">
        <f>AH433*(1+AM434)</f>
        <v>187.82532633599999</v>
      </c>
      <c r="AN433" s="116">
        <f t="shared" ref="AN433:BA433" si="575">AM433*(1+AN434)</f>
        <v>191.58183286272001</v>
      </c>
      <c r="AO433" s="116">
        <f t="shared" si="575"/>
        <v>95.790916431360003</v>
      </c>
      <c r="AP433" s="116">
        <f t="shared" si="575"/>
        <v>23.947729107840001</v>
      </c>
      <c r="AQ433" s="116">
        <f t="shared" si="575"/>
        <v>5.9869322769600002</v>
      </c>
      <c r="AR433" s="116">
        <f t="shared" si="575"/>
        <v>1.49673306924</v>
      </c>
      <c r="AS433" s="116">
        <f t="shared" si="575"/>
        <v>0.37418326731000001</v>
      </c>
      <c r="AT433" s="116">
        <f t="shared" si="575"/>
        <v>9.3545816827500003E-2</v>
      </c>
      <c r="AU433" s="116">
        <f t="shared" si="575"/>
        <v>2.3386454206875001E-2</v>
      </c>
      <c r="AV433" s="116">
        <f t="shared" si="575"/>
        <v>5.8466135517187502E-3</v>
      </c>
      <c r="AW433" s="116">
        <f t="shared" si="575"/>
        <v>1.4616533879296875E-3</v>
      </c>
      <c r="AX433" s="116">
        <f t="shared" si="575"/>
        <v>3.6541334698242189E-4</v>
      </c>
      <c r="AY433" s="116">
        <f t="shared" si="575"/>
        <v>9.1353336745605472E-5</v>
      </c>
      <c r="AZ433" s="116">
        <f t="shared" si="575"/>
        <v>2.2838334186401368E-5</v>
      </c>
      <c r="BA433" s="116">
        <f t="shared" si="575"/>
        <v>5.709583546600342E-6</v>
      </c>
    </row>
    <row r="434" spans="1:54" s="217" customFormat="1" ht="12.75" customHeight="1">
      <c r="A434" s="373"/>
      <c r="B434" s="216" t="s">
        <v>451</v>
      </c>
      <c r="C434" s="222"/>
      <c r="D434" s="222"/>
      <c r="E434" s="222"/>
      <c r="F434" s="222"/>
      <c r="G434" s="222"/>
      <c r="H434" s="222"/>
      <c r="I434" s="222"/>
      <c r="J434" s="222">
        <f>J433/I433-1</f>
        <v>6.0804510944367784E-2</v>
      </c>
      <c r="K434" s="222">
        <f>K433/J433-1</f>
        <v>0.12037250183111858</v>
      </c>
      <c r="L434" s="222">
        <f>L433/K433-1</f>
        <v>-2.1713954834973959E-2</v>
      </c>
      <c r="M434" s="222">
        <f>M433/L433-1</f>
        <v>0.1397722173958702</v>
      </c>
      <c r="N434" s="222">
        <f>N433/M433-1</f>
        <v>-0.28960549459753759</v>
      </c>
      <c r="O434" s="222"/>
      <c r="P434" s="222"/>
      <c r="Q434" s="222"/>
      <c r="R434" s="222"/>
      <c r="S434" s="222">
        <f>S433/N433-1</f>
        <v>0.47650152097531095</v>
      </c>
      <c r="T434" s="222"/>
      <c r="U434" s="222"/>
      <c r="V434" s="222"/>
      <c r="W434" s="222"/>
      <c r="X434" s="222">
        <f>X433/S433-1</f>
        <v>0.4133580349442616</v>
      </c>
      <c r="Y434" s="222"/>
      <c r="Z434" s="222"/>
      <c r="AA434" s="222"/>
      <c r="AB434" s="222"/>
      <c r="AC434" s="440">
        <v>0.02</v>
      </c>
      <c r="AD434" s="440"/>
      <c r="AE434" s="440"/>
      <c r="AF434" s="440"/>
      <c r="AG434" s="440"/>
      <c r="AH434" s="222">
        <f>AC434</f>
        <v>0.02</v>
      </c>
      <c r="AI434" s="440"/>
      <c r="AJ434" s="440"/>
      <c r="AK434" s="440"/>
      <c r="AL434" s="440"/>
      <c r="AM434" s="222">
        <f>AH434</f>
        <v>0.02</v>
      </c>
      <c r="AN434" s="222">
        <f>AM434</f>
        <v>0.02</v>
      </c>
      <c r="AO434" s="440">
        <v>-0.5</v>
      </c>
      <c r="AP434" s="440">
        <v>-0.75</v>
      </c>
      <c r="AQ434" s="440">
        <v>-0.75</v>
      </c>
      <c r="AR434" s="440">
        <v>-0.75</v>
      </c>
      <c r="AS434" s="440">
        <v>-0.75</v>
      </c>
      <c r="AT434" s="440">
        <v>-0.75</v>
      </c>
      <c r="AU434" s="440">
        <v>-0.75</v>
      </c>
      <c r="AV434" s="440">
        <v>-0.75</v>
      </c>
      <c r="AW434" s="440">
        <v>-0.75</v>
      </c>
      <c r="AX434" s="440">
        <v>-0.75</v>
      </c>
      <c r="AY434" s="440">
        <v>-0.75</v>
      </c>
      <c r="AZ434" s="440">
        <v>-0.75</v>
      </c>
      <c r="BA434" s="440">
        <v>-0.75</v>
      </c>
      <c r="BB434" s="222"/>
    </row>
    <row r="435" spans="1:54" s="217" customFormat="1" ht="12.75" customHeight="1">
      <c r="A435" s="373"/>
      <c r="B435" s="216"/>
      <c r="C435" s="222"/>
      <c r="D435" s="222"/>
      <c r="E435" s="222"/>
      <c r="F435" s="222"/>
      <c r="G435" s="222"/>
      <c r="H435" s="222"/>
      <c r="I435" s="222"/>
      <c r="J435" s="222"/>
      <c r="K435" s="222"/>
      <c r="L435" s="222"/>
      <c r="M435" s="222"/>
      <c r="N435" s="222"/>
      <c r="O435" s="222"/>
      <c r="P435" s="222"/>
      <c r="Q435" s="222"/>
      <c r="R435" s="222"/>
      <c r="S435" s="222"/>
      <c r="T435" s="222"/>
      <c r="U435" s="222"/>
      <c r="V435" s="222"/>
      <c r="W435" s="222"/>
      <c r="X435" s="222"/>
      <c r="Y435" s="222"/>
      <c r="Z435" s="222"/>
      <c r="AA435" s="222"/>
      <c r="AB435" s="222"/>
      <c r="AC435" s="440"/>
      <c r="AD435" s="440"/>
      <c r="AE435" s="440"/>
      <c r="AF435" s="440"/>
      <c r="AG435" s="440"/>
      <c r="AH435" s="222"/>
      <c r="AI435" s="440"/>
      <c r="AJ435" s="440"/>
      <c r="AK435" s="440"/>
      <c r="AL435" s="440"/>
      <c r="AM435" s="222"/>
      <c r="AN435" s="222"/>
      <c r="AO435" s="222"/>
      <c r="AP435" s="222"/>
      <c r="AQ435" s="222"/>
      <c r="AR435" s="222"/>
      <c r="AS435" s="222"/>
      <c r="AT435" s="222"/>
      <c r="AU435" s="222"/>
      <c r="AV435" s="222"/>
      <c r="AW435" s="222"/>
      <c r="AX435" s="222"/>
      <c r="AY435" s="222"/>
      <c r="AZ435" s="222"/>
      <c r="BA435" s="222"/>
      <c r="BB435" s="222"/>
    </row>
    <row r="436" spans="1:54" s="116" customFormat="1" ht="12.75" customHeight="1">
      <c r="A436" s="372"/>
      <c r="B436" s="231" t="s">
        <v>62</v>
      </c>
      <c r="I436" s="116">
        <f>REVS!AB11</f>
        <v>28.292000000000002</v>
      </c>
      <c r="J436" s="116">
        <f>REVS!AG11</f>
        <v>87.870999999999995</v>
      </c>
      <c r="K436" s="116">
        <f>REVS!AL11</f>
        <v>127.93900000000001</v>
      </c>
      <c r="L436" s="116">
        <f>REVS!AQ11</f>
        <v>142.34199999999998</v>
      </c>
      <c r="M436" s="116">
        <f>REVS!AV11</f>
        <v>169.626</v>
      </c>
      <c r="N436" s="116">
        <f>REVS!BA11</f>
        <v>232.465</v>
      </c>
      <c r="S436" s="116">
        <f>REVS!BF11</f>
        <v>253.071</v>
      </c>
      <c r="X436" s="116">
        <f>REVS!BK11</f>
        <v>270.11799999999999</v>
      </c>
      <c r="AC436" s="116">
        <f>REVS!BP11</f>
        <v>278.13799999999998</v>
      </c>
      <c r="AH436" s="116">
        <f>REVS!BU11</f>
        <v>284</v>
      </c>
      <c r="AI436" s="696"/>
      <c r="AJ436" s="696"/>
      <c r="AK436" s="696"/>
      <c r="AL436" s="696"/>
      <c r="AM436" s="116">
        <f>REVS!BZ11</f>
        <v>269</v>
      </c>
      <c r="AN436" s="116">
        <f>AM436*(1+AN437)</f>
        <v>254.79225352112675</v>
      </c>
      <c r="AO436" s="116">
        <f>AN436*(1+AO437)</f>
        <v>127.39612676056338</v>
      </c>
      <c r="AP436" s="116">
        <f>AO436*(1+AP437)</f>
        <v>63.698063380281688</v>
      </c>
      <c r="AQ436" s="116">
        <f>AP436*(1+AQ437)</f>
        <v>31.849031690140844</v>
      </c>
      <c r="AR436" s="116">
        <f t="shared" ref="AR436:BA436" si="576">AQ436*(1+AR437)</f>
        <v>15.924515845070422</v>
      </c>
      <c r="AS436" s="116">
        <f t="shared" si="576"/>
        <v>7.962257922535211</v>
      </c>
      <c r="AT436" s="116">
        <f t="shared" si="576"/>
        <v>3.9811289612676055</v>
      </c>
      <c r="AU436" s="116">
        <f t="shared" si="576"/>
        <v>1.9905644806338028</v>
      </c>
      <c r="AV436" s="116">
        <f t="shared" si="576"/>
        <v>0.99528224031690138</v>
      </c>
      <c r="AW436" s="116">
        <f t="shared" si="576"/>
        <v>0.49764112015845069</v>
      </c>
      <c r="AX436" s="116">
        <f t="shared" si="576"/>
        <v>0.24882056007922534</v>
      </c>
      <c r="AY436" s="116">
        <f t="shared" si="576"/>
        <v>0.12441028003961267</v>
      </c>
      <c r="AZ436" s="116">
        <f t="shared" si="576"/>
        <v>6.2205140019806336E-2</v>
      </c>
      <c r="BA436" s="116">
        <f t="shared" si="576"/>
        <v>3.1102570009903168E-2</v>
      </c>
    </row>
    <row r="437" spans="1:54" s="252" customFormat="1" ht="12.75" customHeight="1">
      <c r="A437" s="426"/>
      <c r="B437" s="216" t="s">
        <v>451</v>
      </c>
      <c r="C437" s="222"/>
      <c r="D437" s="222"/>
      <c r="E437" s="222"/>
      <c r="F437" s="222"/>
      <c r="G437" s="222"/>
      <c r="H437" s="222"/>
      <c r="I437" s="222"/>
      <c r="J437" s="222">
        <f>J436/I436-1</f>
        <v>2.1058603138696448</v>
      </c>
      <c r="K437" s="222">
        <f>K436/J436-1</f>
        <v>0.45598661674500129</v>
      </c>
      <c r="L437" s="222">
        <f>L436/K436-1</f>
        <v>0.11257708751827034</v>
      </c>
      <c r="M437" s="222">
        <f>M436/L436-1</f>
        <v>0.1916791951778114</v>
      </c>
      <c r="N437" s="222">
        <f>N436/M436-1</f>
        <v>0.37045618006673497</v>
      </c>
      <c r="O437" s="222"/>
      <c r="P437" s="222"/>
      <c r="Q437" s="222"/>
      <c r="R437" s="222"/>
      <c r="S437" s="222">
        <f>S436/N436-1</f>
        <v>8.8641300840986759E-2</v>
      </c>
      <c r="T437" s="222"/>
      <c r="U437" s="222"/>
      <c r="V437" s="222"/>
      <c r="W437" s="222"/>
      <c r="X437" s="222">
        <f>X436/S436-1</f>
        <v>6.7360543088698321E-2</v>
      </c>
      <c r="Y437" s="222"/>
      <c r="Z437" s="222"/>
      <c r="AA437" s="222"/>
      <c r="AB437" s="222"/>
      <c r="AC437" s="222">
        <f>AC436/X436-1</f>
        <v>2.9690727756017665E-2</v>
      </c>
      <c r="AD437" s="440"/>
      <c r="AE437" s="440"/>
      <c r="AF437" s="440"/>
      <c r="AG437" s="440"/>
      <c r="AH437" s="222">
        <f>AH436/AC436-1</f>
        <v>2.1075868813323018E-2</v>
      </c>
      <c r="AI437" s="440"/>
      <c r="AJ437" s="440"/>
      <c r="AK437" s="440"/>
      <c r="AL437" s="440"/>
      <c r="AM437" s="222">
        <f>AM436/AH436-1</f>
        <v>-5.2816901408450745E-2</v>
      </c>
      <c r="AN437" s="222">
        <f>AM437</f>
        <v>-5.2816901408450745E-2</v>
      </c>
      <c r="AO437" s="440">
        <v>-0.5</v>
      </c>
      <c r="AP437" s="440">
        <v>-0.5</v>
      </c>
      <c r="AQ437" s="440">
        <v>-0.5</v>
      </c>
      <c r="AR437" s="440">
        <v>-0.5</v>
      </c>
      <c r="AS437" s="440">
        <v>-0.5</v>
      </c>
      <c r="AT437" s="440">
        <v>-0.5</v>
      </c>
      <c r="AU437" s="440">
        <v>-0.5</v>
      </c>
      <c r="AV437" s="440">
        <v>-0.5</v>
      </c>
      <c r="AW437" s="440">
        <v>-0.5</v>
      </c>
      <c r="AX437" s="440">
        <v>-0.5</v>
      </c>
      <c r="AY437" s="440">
        <v>-0.5</v>
      </c>
      <c r="AZ437" s="440">
        <v>-0.5</v>
      </c>
      <c r="BA437" s="440">
        <v>-0.5</v>
      </c>
      <c r="BB437" s="222"/>
    </row>
    <row r="438" spans="1:54" ht="12.75" customHeight="1">
      <c r="B438" s="277"/>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690"/>
      <c r="AJ438" s="690"/>
      <c r="AK438" s="690"/>
      <c r="AL438" s="690"/>
      <c r="AM438" s="2"/>
      <c r="AN438" s="2"/>
      <c r="AO438" s="2"/>
      <c r="AP438" s="2"/>
      <c r="AQ438" s="2"/>
      <c r="AR438" s="2"/>
      <c r="AS438" s="2"/>
      <c r="AT438" s="2"/>
      <c r="AU438" s="2"/>
      <c r="AV438" s="2"/>
      <c r="AW438" s="2"/>
      <c r="AX438" s="2"/>
      <c r="AY438" s="2"/>
      <c r="AZ438" s="2"/>
      <c r="BA438" s="2"/>
      <c r="BB438" s="2"/>
    </row>
    <row r="439" spans="1:54" s="116" customFormat="1" ht="12.75" customHeight="1">
      <c r="A439" s="372"/>
      <c r="B439" s="231" t="s">
        <v>61</v>
      </c>
      <c r="I439" s="116">
        <v>0</v>
      </c>
      <c r="J439" s="116">
        <f>REVS!AG6</f>
        <v>2.7229999999999999</v>
      </c>
      <c r="K439" s="116">
        <f>REVS!AL6</f>
        <v>29.533000000000001</v>
      </c>
      <c r="L439" s="116">
        <f>REVS!AQ6</f>
        <v>58.612000000000002</v>
      </c>
      <c r="M439" s="116">
        <f>REVS!AV6</f>
        <v>107.512</v>
      </c>
      <c r="N439" s="116">
        <f>REVS!BA6</f>
        <v>159.80099999999999</v>
      </c>
      <c r="S439" s="116">
        <f>REVS!BF6</f>
        <v>219.25800000000001</v>
      </c>
      <c r="X439" s="116">
        <f>REVS!BK6</f>
        <v>230.78699999999998</v>
      </c>
      <c r="AC439" s="116">
        <f>REVS!BP6</f>
        <v>225.16399999999999</v>
      </c>
      <c r="AH439" s="116">
        <f>REVS!BU6</f>
        <v>218</v>
      </c>
      <c r="AI439" s="696"/>
      <c r="AJ439" s="696"/>
      <c r="AK439" s="696"/>
      <c r="AL439" s="696"/>
      <c r="AM439" s="116">
        <f>REVS!BZ6</f>
        <v>187</v>
      </c>
      <c r="AN439" s="116">
        <f>AM439*(1+AN440)</f>
        <v>168.3</v>
      </c>
      <c r="AO439" s="116">
        <f>AN439*(1+AO440)</f>
        <v>50.490000000000009</v>
      </c>
      <c r="AP439" s="116">
        <f>AO439*(1+AP440)</f>
        <v>12.622500000000002</v>
      </c>
      <c r="AQ439" s="116">
        <f>AP439*(1+AQ440)</f>
        <v>3.1556250000000006</v>
      </c>
      <c r="AR439" s="116">
        <f t="shared" ref="AR439:BA439" si="577">AQ439*(1+AR440)</f>
        <v>0.78890625000000014</v>
      </c>
      <c r="AS439" s="116">
        <f t="shared" si="577"/>
        <v>0.19722656250000004</v>
      </c>
      <c r="AT439" s="116">
        <f t="shared" si="577"/>
        <v>4.9306640625000009E-2</v>
      </c>
      <c r="AU439" s="116">
        <f t="shared" si="577"/>
        <v>1.2326660156250002E-2</v>
      </c>
      <c r="AV439" s="116">
        <f t="shared" si="577"/>
        <v>3.0816650390625006E-3</v>
      </c>
      <c r="AW439" s="116">
        <f t="shared" si="577"/>
        <v>7.7041625976562514E-4</v>
      </c>
      <c r="AX439" s="116">
        <f t="shared" si="577"/>
        <v>1.9260406494140628E-4</v>
      </c>
      <c r="AY439" s="116">
        <f t="shared" si="577"/>
        <v>4.8151016235351571E-5</v>
      </c>
      <c r="AZ439" s="116">
        <f t="shared" si="577"/>
        <v>1.2037754058837893E-5</v>
      </c>
      <c r="BA439" s="116">
        <f t="shared" si="577"/>
        <v>3.0094385147094732E-6</v>
      </c>
    </row>
    <row r="440" spans="1:54" s="222" customFormat="1" ht="12.75" customHeight="1">
      <c r="A440" s="388"/>
      <c r="B440" s="216" t="s">
        <v>451</v>
      </c>
      <c r="K440" s="222">
        <f>K439/J439-1</f>
        <v>9.8457583547557856</v>
      </c>
      <c r="L440" s="222">
        <f>L439/K439-1</f>
        <v>0.98462736599735878</v>
      </c>
      <c r="M440" s="222">
        <f>M439/L439-1</f>
        <v>0.83430014331536206</v>
      </c>
      <c r="N440" s="222">
        <f>N439/M439-1</f>
        <v>0.48635501153359617</v>
      </c>
      <c r="S440" s="222">
        <f>S439/N439-1</f>
        <v>0.37206901083222266</v>
      </c>
      <c r="X440" s="222">
        <f>X439/S439-1</f>
        <v>5.2581889828421158E-2</v>
      </c>
      <c r="AC440" s="222">
        <f>AC439/X439-1</f>
        <v>-2.4364457270123485E-2</v>
      </c>
      <c r="AH440" s="222">
        <f>AH439/AC439-1</f>
        <v>-3.1816809081380626E-2</v>
      </c>
      <c r="AM440" s="222">
        <f>AM439/AH439-1</f>
        <v>-0.14220183486238536</v>
      </c>
      <c r="AN440" s="440">
        <v>-0.1</v>
      </c>
      <c r="AO440" s="440">
        <v>-0.7</v>
      </c>
      <c r="AP440" s="440">
        <v>-0.75</v>
      </c>
      <c r="AQ440" s="440">
        <v>-0.75</v>
      </c>
      <c r="AR440" s="440">
        <v>-0.75</v>
      </c>
      <c r="AS440" s="440">
        <v>-0.75</v>
      </c>
      <c r="AT440" s="440">
        <v>-0.75</v>
      </c>
      <c r="AU440" s="440">
        <v>-0.75</v>
      </c>
      <c r="AV440" s="440">
        <v>-0.75</v>
      </c>
      <c r="AW440" s="440">
        <v>-0.75</v>
      </c>
      <c r="AX440" s="440">
        <v>-0.75</v>
      </c>
      <c r="AY440" s="440">
        <v>-0.75</v>
      </c>
      <c r="AZ440" s="440">
        <v>-0.75</v>
      </c>
      <c r="BA440" s="440">
        <v>-0.75</v>
      </c>
    </row>
    <row r="441" spans="1:54" s="2" customFormat="1" ht="12.75" customHeight="1">
      <c r="A441" s="386"/>
      <c r="B441" s="277"/>
      <c r="AI441" s="690"/>
      <c r="AJ441" s="690"/>
      <c r="AK441" s="690"/>
      <c r="AL441" s="690"/>
    </row>
    <row r="442" spans="1:54" s="116" customFormat="1" ht="12.75" customHeight="1">
      <c r="A442" s="372"/>
      <c r="B442" s="231" t="s">
        <v>65</v>
      </c>
      <c r="I442" s="116">
        <v>0</v>
      </c>
      <c r="J442" s="116">
        <v>0</v>
      </c>
      <c r="K442" s="116">
        <v>0</v>
      </c>
      <c r="L442" s="116">
        <v>0</v>
      </c>
      <c r="M442" s="116">
        <v>0</v>
      </c>
      <c r="N442" s="116">
        <f>REVS!BA21</f>
        <v>0.155</v>
      </c>
      <c r="S442" s="116">
        <f>REVS!BF21</f>
        <v>9.4269999999999996</v>
      </c>
      <c r="X442" s="116">
        <f>REVS!BK21</f>
        <v>38.695999999999998</v>
      </c>
      <c r="AC442" s="116">
        <f>X442*(1+AC443)</f>
        <v>58.043999999999997</v>
      </c>
      <c r="AH442" s="116">
        <f>AC442*(1+AH443)</f>
        <v>58.043999999999997</v>
      </c>
      <c r="AI442" s="696"/>
      <c r="AJ442" s="696"/>
      <c r="AK442" s="696"/>
      <c r="AL442" s="696"/>
      <c r="AM442" s="116">
        <f>AH442*(1+AM443)</f>
        <v>69.652799999999999</v>
      </c>
      <c r="AN442" s="116">
        <f>AM442*(1+AN443)</f>
        <v>55.722239999999999</v>
      </c>
      <c r="AO442" s="116">
        <f>AN442*(1+AO443)</f>
        <v>50.150016000000001</v>
      </c>
      <c r="AP442" s="116">
        <f>AO442*(1+AP443)</f>
        <v>43.881264000000002</v>
      </c>
      <c r="AQ442" s="116">
        <f>AP442*(1+AQ443)</f>
        <v>38.396106000000003</v>
      </c>
      <c r="AR442" s="116">
        <f t="shared" ref="AR442:BA442" si="578">AQ442*(1+AR443)</f>
        <v>33.596592749999999</v>
      </c>
      <c r="AS442" s="116">
        <f t="shared" si="578"/>
        <v>8.3991481874999998</v>
      </c>
      <c r="AT442" s="116">
        <f t="shared" si="578"/>
        <v>2.099787046875</v>
      </c>
      <c r="AU442" s="116">
        <f t="shared" si="578"/>
        <v>0.52494676171874999</v>
      </c>
      <c r="AV442" s="116">
        <f t="shared" si="578"/>
        <v>0.1312366904296875</v>
      </c>
      <c r="AW442" s="116">
        <f t="shared" si="578"/>
        <v>3.2809172607421874E-2</v>
      </c>
      <c r="AX442" s="116">
        <f t="shared" si="578"/>
        <v>8.2022931518554686E-3</v>
      </c>
      <c r="AY442" s="116">
        <f t="shared" si="578"/>
        <v>2.0505732879638671E-3</v>
      </c>
      <c r="AZ442" s="116">
        <f t="shared" si="578"/>
        <v>5.1264332199096679E-4</v>
      </c>
      <c r="BA442" s="116">
        <f t="shared" si="578"/>
        <v>1.281608304977417E-4</v>
      </c>
    </row>
    <row r="443" spans="1:54" s="222" customFormat="1" ht="12.75" customHeight="1">
      <c r="A443" s="388"/>
      <c r="B443" s="216" t="s">
        <v>451</v>
      </c>
      <c r="O443" s="217"/>
      <c r="P443" s="217"/>
      <c r="Q443" s="217"/>
      <c r="R443" s="217"/>
      <c r="S443" s="222">
        <f>S442/N442-1</f>
        <v>59.819354838709678</v>
      </c>
      <c r="T443" s="217"/>
      <c r="U443" s="217"/>
      <c r="V443" s="217"/>
      <c r="W443" s="217"/>
      <c r="X443" s="222">
        <f>X442/S442-1</f>
        <v>3.1048053463456027</v>
      </c>
      <c r="Y443" s="217"/>
      <c r="Z443" s="217"/>
      <c r="AA443" s="217"/>
      <c r="AB443" s="217"/>
      <c r="AC443" s="440">
        <v>0.5</v>
      </c>
      <c r="AD443" s="440"/>
      <c r="AE443" s="440"/>
      <c r="AF443" s="440"/>
      <c r="AG443" s="440"/>
      <c r="AH443" s="440">
        <v>0</v>
      </c>
      <c r="AI443" s="440"/>
      <c r="AJ443" s="440"/>
      <c r="AK443" s="440"/>
      <c r="AL443" s="440"/>
      <c r="AM443" s="440">
        <v>0.2</v>
      </c>
      <c r="AN443" s="440">
        <v>-0.2</v>
      </c>
      <c r="AO443" s="440">
        <v>-0.1</v>
      </c>
      <c r="AP443" s="440">
        <v>-0.125</v>
      </c>
      <c r="AQ443" s="440">
        <f>AP443</f>
        <v>-0.125</v>
      </c>
      <c r="AR443" s="440">
        <f>AQ443</f>
        <v>-0.125</v>
      </c>
      <c r="AS443" s="440">
        <v>-0.75</v>
      </c>
      <c r="AT443" s="440">
        <v>-0.75</v>
      </c>
      <c r="AU443" s="440">
        <v>-0.75</v>
      </c>
      <c r="AV443" s="440">
        <v>-0.75</v>
      </c>
      <c r="AW443" s="440">
        <v>-0.75</v>
      </c>
      <c r="AX443" s="440">
        <v>-0.75</v>
      </c>
      <c r="AY443" s="440">
        <v>-0.75</v>
      </c>
      <c r="AZ443" s="440">
        <v>-0.75</v>
      </c>
      <c r="BA443" s="440">
        <v>-0.75</v>
      </c>
    </row>
    <row r="444" spans="1:54" s="2" customFormat="1" ht="12.75" customHeight="1">
      <c r="A444" s="386"/>
      <c r="B444" s="277"/>
      <c r="O444" s="77"/>
      <c r="P444" s="77"/>
      <c r="Q444" s="77"/>
      <c r="R444" s="77"/>
      <c r="T444" s="77"/>
      <c r="U444" s="77"/>
      <c r="V444" s="77"/>
      <c r="W444" s="77"/>
      <c r="Y444" s="77"/>
      <c r="Z444" s="77"/>
      <c r="AA444" s="77"/>
      <c r="AB444" s="77"/>
      <c r="AI444" s="690"/>
      <c r="AJ444" s="690"/>
      <c r="AK444" s="690"/>
      <c r="AL444" s="690"/>
    </row>
    <row r="445" spans="1:54" s="116" customFormat="1" ht="12.75" customHeight="1">
      <c r="A445" s="372"/>
      <c r="B445" s="231" t="s">
        <v>66</v>
      </c>
      <c r="I445" s="116">
        <f>REVS!AB26</f>
        <v>0</v>
      </c>
      <c r="J445" s="116">
        <f>REVS!AG26</f>
        <v>0</v>
      </c>
      <c r="K445" s="116">
        <f>REVS!AL26</f>
        <v>0</v>
      </c>
      <c r="L445" s="116">
        <f>REVS!AQ26</f>
        <v>0</v>
      </c>
      <c r="M445" s="116">
        <f>REVS!AV26</f>
        <v>0</v>
      </c>
      <c r="N445" s="116">
        <f>REVS!BA26</f>
        <v>0</v>
      </c>
      <c r="S445" s="116">
        <f>REVS!BF26</f>
        <v>3.0000000000000001E-3</v>
      </c>
      <c r="X445" s="116">
        <f>REVS!BK26</f>
        <v>5.0790000000000006</v>
      </c>
      <c r="AC445" s="116">
        <f>X445*(1+AC446)</f>
        <v>35.553000000000004</v>
      </c>
      <c r="AH445" s="116">
        <f>AC445*(1+AH446)</f>
        <v>71.106000000000009</v>
      </c>
      <c r="AI445" s="696"/>
      <c r="AJ445" s="696"/>
      <c r="AK445" s="696"/>
      <c r="AL445" s="696"/>
      <c r="AM445" s="116">
        <f>AH445*(1+AM446)</f>
        <v>78.216600000000014</v>
      </c>
      <c r="AN445" s="116">
        <f>AM445*(1+AN446)</f>
        <v>62.573280000000011</v>
      </c>
      <c r="AO445" s="116">
        <f>AN445*(1+AO446)</f>
        <v>59.444616000000011</v>
      </c>
      <c r="AP445" s="116">
        <f>AO445*(1+AP446)</f>
        <v>56.472385200000005</v>
      </c>
      <c r="AQ445" s="116">
        <f>AP445*(1+AQ446)</f>
        <v>53.648765940000004</v>
      </c>
      <c r="AR445" s="116">
        <f t="shared" ref="AR445:BA445" si="579">AQ445*(1+AR446)</f>
        <v>50.966327643</v>
      </c>
      <c r="AS445" s="116">
        <f t="shared" si="579"/>
        <v>48.418011260849994</v>
      </c>
      <c r="AT445" s="116">
        <f t="shared" si="579"/>
        <v>45.997110697807493</v>
      </c>
      <c r="AU445" s="116">
        <f t="shared" si="579"/>
        <v>43.697255162917116</v>
      </c>
      <c r="AV445" s="116">
        <f t="shared" si="579"/>
        <v>41.512392404771262</v>
      </c>
      <c r="AW445" s="116">
        <f t="shared" si="579"/>
        <v>39.4367727845327</v>
      </c>
      <c r="AX445" s="116">
        <f t="shared" si="579"/>
        <v>37.46493414530606</v>
      </c>
      <c r="AY445" s="116">
        <f t="shared" si="579"/>
        <v>9.366233536326515</v>
      </c>
      <c r="AZ445" s="116">
        <f t="shared" si="579"/>
        <v>2.3415583840816288</v>
      </c>
      <c r="BA445" s="116">
        <f t="shared" si="579"/>
        <v>0.58538959602040719</v>
      </c>
    </row>
    <row r="446" spans="1:54" s="222" customFormat="1" ht="12.75" customHeight="1">
      <c r="A446" s="388"/>
      <c r="B446" s="216" t="s">
        <v>451</v>
      </c>
      <c r="L446" s="217"/>
      <c r="M446" s="217"/>
      <c r="N446" s="217"/>
      <c r="O446" s="217"/>
      <c r="P446" s="217"/>
      <c r="Q446" s="217"/>
      <c r="R446" s="217"/>
      <c r="T446" s="217"/>
      <c r="U446" s="217"/>
      <c r="V446" s="217"/>
      <c r="W446" s="217"/>
      <c r="X446" s="222">
        <f>X445/S445-1</f>
        <v>1692.0000000000002</v>
      </c>
      <c r="Y446" s="217"/>
      <c r="Z446" s="217"/>
      <c r="AA446" s="217"/>
      <c r="AB446" s="217"/>
      <c r="AC446" s="440">
        <v>6</v>
      </c>
      <c r="AD446" s="440"/>
      <c r="AE446" s="440"/>
      <c r="AF446" s="440"/>
      <c r="AG446" s="440"/>
      <c r="AH446" s="440">
        <v>1</v>
      </c>
      <c r="AI446" s="440"/>
      <c r="AJ446" s="440"/>
      <c r="AK446" s="440"/>
      <c r="AL446" s="440"/>
      <c r="AM446" s="440">
        <v>0.1</v>
      </c>
      <c r="AN446" s="440">
        <v>-0.2</v>
      </c>
      <c r="AO446" s="440">
        <v>-0.05</v>
      </c>
      <c r="AP446" s="440">
        <f t="shared" ref="AP446:AX446" si="580">AO446</f>
        <v>-0.05</v>
      </c>
      <c r="AQ446" s="440">
        <f t="shared" si="580"/>
        <v>-0.05</v>
      </c>
      <c r="AR446" s="440">
        <f t="shared" si="580"/>
        <v>-0.05</v>
      </c>
      <c r="AS446" s="440">
        <f t="shared" si="580"/>
        <v>-0.05</v>
      </c>
      <c r="AT446" s="440">
        <f t="shared" si="580"/>
        <v>-0.05</v>
      </c>
      <c r="AU446" s="440">
        <f t="shared" si="580"/>
        <v>-0.05</v>
      </c>
      <c r="AV446" s="440">
        <f t="shared" si="580"/>
        <v>-0.05</v>
      </c>
      <c r="AW446" s="440">
        <f t="shared" si="580"/>
        <v>-0.05</v>
      </c>
      <c r="AX446" s="440">
        <f t="shared" si="580"/>
        <v>-0.05</v>
      </c>
      <c r="AY446" s="440">
        <v>-0.75</v>
      </c>
      <c r="AZ446" s="440">
        <v>-0.75</v>
      </c>
      <c r="BA446" s="440">
        <v>-0.75</v>
      </c>
    </row>
    <row r="447" spans="1:54" s="222" customFormat="1" ht="12.75" customHeight="1">
      <c r="A447" s="388"/>
      <c r="B447" s="216"/>
      <c r="L447" s="217"/>
      <c r="M447" s="217"/>
      <c r="N447" s="217"/>
      <c r="O447" s="217"/>
      <c r="P447" s="217"/>
      <c r="Q447" s="217"/>
      <c r="R447" s="217"/>
      <c r="T447" s="217"/>
      <c r="U447" s="217"/>
      <c r="V447" s="217"/>
      <c r="W447" s="217"/>
      <c r="Y447" s="217"/>
      <c r="Z447" s="217"/>
      <c r="AA447" s="217"/>
      <c r="AB447" s="217"/>
    </row>
    <row r="448" spans="1:54" s="222" customFormat="1" ht="12.75" customHeight="1">
      <c r="A448" s="388"/>
      <c r="B448" s="699" t="s">
        <v>842</v>
      </c>
      <c r="L448" s="217"/>
      <c r="M448" s="217"/>
      <c r="N448" s="217"/>
      <c r="O448" s="217"/>
      <c r="P448" s="217"/>
      <c r="Q448" s="217"/>
      <c r="R448" s="217"/>
      <c r="T448" s="217"/>
      <c r="U448" s="217"/>
      <c r="V448" s="217"/>
      <c r="W448" s="217"/>
      <c r="Y448" s="217"/>
      <c r="Z448" s="217"/>
      <c r="AA448" s="217"/>
      <c r="AB448" s="217"/>
      <c r="AM448" s="696">
        <v>15</v>
      </c>
      <c r="AN448" s="696">
        <f>AN405*0.25</f>
        <v>146.69454429367156</v>
      </c>
      <c r="AO448" s="696">
        <f t="shared" ref="AO448:BA448" si="581">AO405*0.2</f>
        <v>188.28009355314634</v>
      </c>
      <c r="AP448" s="696">
        <f t="shared" si="581"/>
        <v>264.45883262623255</v>
      </c>
      <c r="AQ448" s="696">
        <f t="shared" si="581"/>
        <v>376.12341711672883</v>
      </c>
      <c r="AR448" s="696">
        <f t="shared" si="581"/>
        <v>306.28261081938302</v>
      </c>
      <c r="AS448" s="696">
        <f t="shared" si="581"/>
        <v>249.60569910558402</v>
      </c>
      <c r="AT448" s="696">
        <f t="shared" si="581"/>
        <v>203.59181214692777</v>
      </c>
      <c r="AU448" s="696">
        <f t="shared" si="581"/>
        <v>194.47223615553608</v>
      </c>
      <c r="AV448" s="696">
        <f t="shared" si="581"/>
        <v>185.8116245922765</v>
      </c>
      <c r="AW448" s="696">
        <f t="shared" si="581"/>
        <v>177.58256357363973</v>
      </c>
      <c r="AX448" s="696">
        <f t="shared" si="581"/>
        <v>169.75960362562955</v>
      </c>
      <c r="AY448" s="696">
        <f t="shared" si="581"/>
        <v>153.14782261016137</v>
      </c>
      <c r="AZ448" s="696">
        <f t="shared" si="581"/>
        <v>15.475427811188624</v>
      </c>
      <c r="BA448" s="696">
        <f t="shared" si="581"/>
        <v>3.116015503814241</v>
      </c>
    </row>
    <row r="449" spans="1:54" s="222" customFormat="1" ht="12.75" customHeight="1">
      <c r="A449" s="388"/>
      <c r="B449" s="216" t="s">
        <v>451</v>
      </c>
      <c r="L449" s="217"/>
      <c r="M449" s="217"/>
      <c r="N449" s="217"/>
      <c r="O449" s="217"/>
      <c r="P449" s="217"/>
      <c r="Q449" s="217"/>
      <c r="R449" s="217"/>
      <c r="T449" s="217"/>
      <c r="U449" s="217"/>
      <c r="V449" s="217"/>
      <c r="W449" s="217"/>
      <c r="Y449" s="217"/>
      <c r="Z449" s="217"/>
      <c r="AA449" s="217"/>
      <c r="AB449" s="217"/>
      <c r="AM449" s="440">
        <v>0.3</v>
      </c>
      <c r="AN449" s="440">
        <v>0.15</v>
      </c>
      <c r="AO449" s="440">
        <v>0.15</v>
      </c>
      <c r="AP449" s="440">
        <v>0.15</v>
      </c>
      <c r="AQ449" s="440">
        <v>0.05</v>
      </c>
      <c r="AR449" s="440">
        <v>0.05</v>
      </c>
      <c r="AS449" s="440">
        <v>0.05</v>
      </c>
      <c r="AT449" s="440">
        <v>0.05</v>
      </c>
      <c r="AU449" s="440">
        <v>0.05</v>
      </c>
      <c r="AV449" s="440">
        <v>0.05</v>
      </c>
      <c r="AW449" s="440">
        <v>0.05</v>
      </c>
      <c r="AX449" s="440">
        <v>0.05</v>
      </c>
      <c r="AY449" s="440">
        <v>-0.75</v>
      </c>
      <c r="AZ449" s="440">
        <v>-0.75</v>
      </c>
      <c r="BA449" s="440">
        <v>-0.75</v>
      </c>
    </row>
    <row r="450" spans="1:54" s="222" customFormat="1" ht="12.75" customHeight="1">
      <c r="A450" s="388"/>
      <c r="B450" s="216"/>
      <c r="L450" s="217"/>
      <c r="M450" s="217"/>
      <c r="N450" s="217"/>
      <c r="O450" s="217"/>
      <c r="P450" s="217"/>
      <c r="Q450" s="217"/>
      <c r="R450" s="217"/>
      <c r="T450" s="217"/>
      <c r="U450" s="217"/>
      <c r="V450" s="217"/>
      <c r="W450" s="217"/>
      <c r="Y450" s="217"/>
      <c r="Z450" s="217"/>
      <c r="AA450" s="217"/>
      <c r="AB450" s="217"/>
    </row>
    <row r="451" spans="1:54" s="222" customFormat="1" ht="12.75" customHeight="1">
      <c r="A451" s="388"/>
      <c r="B451" s="699" t="s">
        <v>898</v>
      </c>
      <c r="L451" s="217"/>
      <c r="M451" s="217"/>
      <c r="N451" s="217"/>
      <c r="O451" s="217"/>
      <c r="P451" s="217"/>
      <c r="Q451" s="217"/>
      <c r="R451" s="217"/>
      <c r="T451" s="217"/>
      <c r="U451" s="217"/>
      <c r="V451" s="217"/>
      <c r="W451" s="217"/>
      <c r="Y451" s="217"/>
      <c r="Z451" s="217"/>
      <c r="AA451" s="217"/>
      <c r="AB451" s="217"/>
      <c r="AM451" s="696">
        <f>AH451*(1+AM452)</f>
        <v>0</v>
      </c>
      <c r="AN451" s="696">
        <f>AN413*0.1</f>
        <v>15.27321018144001</v>
      </c>
      <c r="AO451" s="696">
        <f t="shared" ref="AO451:BA451" si="582">AO413*0.1</f>
        <v>27.929426318821363</v>
      </c>
      <c r="AP451" s="696">
        <f t="shared" si="582"/>
        <v>46.964836689979229</v>
      </c>
      <c r="AQ451" s="696">
        <f t="shared" si="582"/>
        <v>63.613077939976122</v>
      </c>
      <c r="AR451" s="696">
        <f t="shared" si="582"/>
        <v>78.995697825341111</v>
      </c>
      <c r="AS451" s="696">
        <f t="shared" si="582"/>
        <v>95.972310350130329</v>
      </c>
      <c r="AT451" s="696">
        <f t="shared" si="582"/>
        <v>96.758858613007419</v>
      </c>
      <c r="AU451" s="696">
        <f t="shared" si="582"/>
        <v>97.586825459423693</v>
      </c>
      <c r="AV451" s="696">
        <f t="shared" si="582"/>
        <v>49.669836750574078</v>
      </c>
      <c r="AW451" s="696">
        <f t="shared" si="582"/>
        <v>5.018719104156995</v>
      </c>
      <c r="AX451" s="696">
        <f t="shared" si="582"/>
        <v>1.0052618769567092</v>
      </c>
      <c r="AY451" s="696">
        <f t="shared" si="582"/>
        <v>0.2022628749803059</v>
      </c>
      <c r="AZ451" s="696">
        <f t="shared" si="582"/>
        <v>4.0787890053218492E-2</v>
      </c>
      <c r="BA451" s="696">
        <f t="shared" si="582"/>
        <v>8.2344428476318395E-3</v>
      </c>
    </row>
    <row r="452" spans="1:54" s="222" customFormat="1" ht="12.75" customHeight="1">
      <c r="A452" s="388"/>
      <c r="B452" s="216" t="s">
        <v>451</v>
      </c>
      <c r="L452" s="217"/>
      <c r="M452" s="217"/>
      <c r="N452" s="217"/>
      <c r="O452" s="217"/>
      <c r="P452" s="217"/>
      <c r="Q452" s="217"/>
      <c r="R452" s="217"/>
      <c r="T452" s="217"/>
      <c r="U452" s="217"/>
      <c r="V452" s="217"/>
      <c r="W452" s="217"/>
      <c r="Y452" s="217"/>
      <c r="Z452" s="217"/>
      <c r="AA452" s="217"/>
      <c r="AB452" s="217"/>
      <c r="AM452" s="440">
        <v>0.3</v>
      </c>
      <c r="AN452" s="440">
        <v>0.15</v>
      </c>
      <c r="AO452" s="440">
        <v>0.15</v>
      </c>
      <c r="AP452" s="440">
        <v>0.15</v>
      </c>
      <c r="AQ452" s="440">
        <v>0.05</v>
      </c>
      <c r="AR452" s="440">
        <v>0.05</v>
      </c>
      <c r="AS452" s="440">
        <v>0.05</v>
      </c>
      <c r="AT452" s="440">
        <v>0.05</v>
      </c>
      <c r="AU452" s="440">
        <v>0.05</v>
      </c>
      <c r="AV452" s="440">
        <v>0.05</v>
      </c>
      <c r="AW452" s="440">
        <v>0.05</v>
      </c>
      <c r="AX452" s="440">
        <v>0.05</v>
      </c>
      <c r="AY452" s="440">
        <v>-0.75</v>
      </c>
      <c r="AZ452" s="440">
        <v>-0.75</v>
      </c>
      <c r="BA452" s="440">
        <v>-0.75</v>
      </c>
    </row>
    <row r="453" spans="1:54" s="222" customFormat="1" ht="12.75" customHeight="1">
      <c r="A453" s="388"/>
      <c r="B453" s="216"/>
      <c r="L453" s="217"/>
      <c r="M453" s="217"/>
      <c r="N453" s="217"/>
      <c r="O453" s="217"/>
      <c r="P453" s="217"/>
      <c r="Q453" s="217"/>
      <c r="R453" s="217"/>
      <c r="T453" s="217"/>
      <c r="U453" s="217"/>
      <c r="V453" s="217"/>
      <c r="W453" s="217"/>
      <c r="Y453" s="217"/>
      <c r="Z453" s="217"/>
      <c r="AA453" s="217"/>
      <c r="AB453" s="217"/>
    </row>
    <row r="454" spans="1:54" s="222" customFormat="1" ht="12.75" customHeight="1">
      <c r="A454" s="388"/>
      <c r="B454" s="699" t="s">
        <v>899</v>
      </c>
      <c r="L454" s="217"/>
      <c r="M454" s="217"/>
      <c r="N454" s="217"/>
      <c r="O454" s="217"/>
      <c r="P454" s="217"/>
      <c r="Q454" s="217"/>
      <c r="R454" s="217"/>
      <c r="T454" s="217"/>
      <c r="U454" s="217"/>
      <c r="V454" s="217"/>
      <c r="W454" s="217"/>
      <c r="Y454" s="217"/>
      <c r="Z454" s="217"/>
      <c r="AA454" s="217"/>
      <c r="AB454" s="217"/>
      <c r="AM454" s="696">
        <f>AH454*(1+AM455)</f>
        <v>0</v>
      </c>
      <c r="AN454" s="696">
        <f>AN421*0.1</f>
        <v>22.496343668575317</v>
      </c>
      <c r="AO454" s="696">
        <f t="shared" ref="AO454:BA454" si="583">AO421*0.1</f>
        <v>43.576692455305555</v>
      </c>
      <c r="AP454" s="696">
        <f t="shared" si="583"/>
        <v>55.163876565063461</v>
      </c>
      <c r="AQ454" s="696">
        <f t="shared" si="583"/>
        <v>68.496038215827951</v>
      </c>
      <c r="AR454" s="696">
        <f t="shared" si="583"/>
        <v>83.696688343779044</v>
      </c>
      <c r="AS454" s="696">
        <f t="shared" si="583"/>
        <v>99.180455908456651</v>
      </c>
      <c r="AT454" s="696">
        <f t="shared" si="583"/>
        <v>102.19976421863198</v>
      </c>
      <c r="AU454" s="696">
        <f t="shared" si="583"/>
        <v>105.31098220773518</v>
      </c>
      <c r="AV454" s="696">
        <f t="shared" si="583"/>
        <v>56.557066086508271</v>
      </c>
      <c r="AW454" s="696">
        <f t="shared" si="583"/>
        <v>5.8262459008787069</v>
      </c>
      <c r="AX454" s="696">
        <f t="shared" si="583"/>
        <v>1.1522449873984155</v>
      </c>
      <c r="AY454" s="696">
        <f t="shared" si="583"/>
        <v>0.23253845696318842</v>
      </c>
      <c r="AZ454" s="696">
        <f t="shared" si="583"/>
        <v>4.7426611905338888E-2</v>
      </c>
      <c r="BA454" s="696">
        <f t="shared" si="583"/>
        <v>9.7247143140211188E-3</v>
      </c>
    </row>
    <row r="455" spans="1:54" s="222" customFormat="1" ht="12.75" customHeight="1">
      <c r="A455" s="388"/>
      <c r="B455" s="216" t="s">
        <v>451</v>
      </c>
      <c r="L455" s="217"/>
      <c r="M455" s="217"/>
      <c r="N455" s="217"/>
      <c r="O455" s="217"/>
      <c r="P455" s="217"/>
      <c r="Q455" s="217"/>
      <c r="R455" s="217"/>
      <c r="T455" s="217"/>
      <c r="U455" s="217"/>
      <c r="V455" s="217"/>
      <c r="W455" s="217"/>
      <c r="Y455" s="217"/>
      <c r="Z455" s="217"/>
      <c r="AA455" s="217"/>
      <c r="AB455" s="217"/>
      <c r="AM455" s="440">
        <v>0.3</v>
      </c>
      <c r="AN455" s="440">
        <v>0.15</v>
      </c>
      <c r="AO455" s="440">
        <v>0.15</v>
      </c>
      <c r="AP455" s="440">
        <v>0.15</v>
      </c>
      <c r="AQ455" s="440">
        <v>0.05</v>
      </c>
      <c r="AR455" s="440">
        <v>0.05</v>
      </c>
      <c r="AS455" s="440">
        <v>0.05</v>
      </c>
      <c r="AT455" s="440">
        <v>0.05</v>
      </c>
      <c r="AU455" s="440">
        <v>0.05</v>
      </c>
      <c r="AV455" s="440">
        <v>0.05</v>
      </c>
      <c r="AW455" s="440">
        <v>0.05</v>
      </c>
      <c r="AX455" s="440">
        <v>0.05</v>
      </c>
      <c r="AY455" s="440">
        <v>-0.75</v>
      </c>
      <c r="AZ455" s="440">
        <v>-0.75</v>
      </c>
      <c r="BA455" s="440">
        <v>-0.75</v>
      </c>
    </row>
    <row r="456" spans="1:54" s="222" customFormat="1" ht="12.75" customHeight="1">
      <c r="A456" s="388"/>
      <c r="B456" s="216"/>
      <c r="L456" s="217"/>
      <c r="M456" s="217"/>
      <c r="N456" s="217"/>
      <c r="O456" s="217"/>
      <c r="P456" s="217"/>
      <c r="Q456" s="217"/>
      <c r="R456" s="217"/>
      <c r="T456" s="217"/>
      <c r="U456" s="217"/>
      <c r="V456" s="217"/>
      <c r="W456" s="217"/>
      <c r="Y456" s="217"/>
      <c r="Z456" s="217"/>
      <c r="AA456" s="217"/>
      <c r="AB456" s="217"/>
    </row>
    <row r="457" spans="1:54" s="222" customFormat="1" ht="12.75" customHeight="1">
      <c r="A457" s="388"/>
      <c r="B457" s="699" t="s">
        <v>865</v>
      </c>
      <c r="L457" s="217"/>
      <c r="M457" s="217"/>
      <c r="N457" s="217"/>
      <c r="O457" s="217"/>
      <c r="P457" s="217"/>
      <c r="Q457" s="217"/>
      <c r="R457" s="217"/>
      <c r="T457" s="217"/>
      <c r="U457" s="217"/>
      <c r="V457" s="217"/>
      <c r="W457" s="217"/>
      <c r="Y457" s="217"/>
      <c r="Z457" s="217"/>
      <c r="AA457" s="217"/>
      <c r="AB457" s="217"/>
      <c r="AM457" s="696">
        <f>AH457*(1+AM458)</f>
        <v>0</v>
      </c>
      <c r="AN457" s="696">
        <f>AN429*0.1</f>
        <v>0</v>
      </c>
      <c r="AO457" s="696">
        <f t="shared" ref="AO457:BA457" si="584">AO429*0.1</f>
        <v>0</v>
      </c>
      <c r="AP457" s="696">
        <f t="shared" si="584"/>
        <v>6.1744337842895627</v>
      </c>
      <c r="AQ457" s="696">
        <f t="shared" si="584"/>
        <v>18.28561993589781</v>
      </c>
      <c r="AR457" s="696">
        <f t="shared" si="584"/>
        <v>41.851175162529344</v>
      </c>
      <c r="AS457" s="696">
        <f t="shared" si="584"/>
        <v>82.845604360430258</v>
      </c>
      <c r="AT457" s="696">
        <f t="shared" si="584"/>
        <v>115.00813617158813</v>
      </c>
      <c r="AU457" s="696">
        <f t="shared" si="584"/>
        <v>141.43349344899599</v>
      </c>
      <c r="AV457" s="696">
        <f t="shared" si="584"/>
        <v>152.84437000536295</v>
      </c>
      <c r="AW457" s="696">
        <f t="shared" si="584"/>
        <v>158.90075691429684</v>
      </c>
      <c r="AX457" s="696">
        <f t="shared" si="584"/>
        <v>165.2000810275409</v>
      </c>
      <c r="AY457" s="696">
        <f t="shared" si="584"/>
        <v>171.75217003135504</v>
      </c>
      <c r="AZ457" s="696">
        <f t="shared" si="584"/>
        <v>178.56725143350025</v>
      </c>
      <c r="BA457" s="696">
        <f t="shared" si="584"/>
        <v>185.65596888882726</v>
      </c>
    </row>
    <row r="458" spans="1:54" s="222" customFormat="1" ht="12.75" customHeight="1">
      <c r="A458" s="388"/>
      <c r="B458" s="216" t="s">
        <v>451</v>
      </c>
      <c r="L458" s="217"/>
      <c r="M458" s="217"/>
      <c r="N458" s="217"/>
      <c r="O458" s="217"/>
      <c r="P458" s="217"/>
      <c r="Q458" s="217"/>
      <c r="R458" s="217"/>
      <c r="T458" s="217"/>
      <c r="U458" s="217"/>
      <c r="V458" s="217"/>
      <c r="W458" s="217"/>
      <c r="Y458" s="217"/>
      <c r="Z458" s="217"/>
      <c r="AA458" s="217"/>
      <c r="AB458" s="217"/>
      <c r="AM458" s="440">
        <v>0.3</v>
      </c>
      <c r="AN458" s="440">
        <v>0.15</v>
      </c>
      <c r="AO458" s="440">
        <v>0.15</v>
      </c>
      <c r="AP458" s="440">
        <v>0.15</v>
      </c>
      <c r="AQ458" s="440">
        <v>0.05</v>
      </c>
      <c r="AR458" s="440">
        <v>0.05</v>
      </c>
      <c r="AS458" s="440">
        <v>0.05</v>
      </c>
      <c r="AT458" s="440">
        <v>0.05</v>
      </c>
      <c r="AU458" s="440">
        <v>0.05</v>
      </c>
      <c r="AV458" s="440">
        <v>0.05</v>
      </c>
      <c r="AW458" s="440">
        <v>0.05</v>
      </c>
      <c r="AX458" s="440">
        <v>0.05</v>
      </c>
      <c r="AY458" s="440">
        <v>-0.75</v>
      </c>
      <c r="AZ458" s="440">
        <v>-0.75</v>
      </c>
      <c r="BA458" s="440">
        <v>-0.75</v>
      </c>
    </row>
    <row r="459" spans="1:54" s="222" customFormat="1" ht="12.75" customHeight="1">
      <c r="A459" s="388"/>
      <c r="B459" s="216"/>
      <c r="L459" s="217"/>
      <c r="M459" s="217"/>
      <c r="N459" s="217"/>
      <c r="O459" s="217"/>
      <c r="P459" s="217"/>
      <c r="Q459" s="217"/>
      <c r="R459" s="217"/>
      <c r="T459" s="217"/>
      <c r="U459" s="217"/>
      <c r="V459" s="217"/>
      <c r="W459" s="217"/>
      <c r="Y459" s="217"/>
      <c r="Z459" s="217"/>
      <c r="AA459" s="217"/>
      <c r="AB459" s="217"/>
    </row>
    <row r="460" spans="1:54" s="8" customFormat="1" ht="12.75" customHeight="1">
      <c r="A460" s="441"/>
      <c r="B460" s="259" t="s">
        <v>671</v>
      </c>
      <c r="C460" s="708">
        <f t="shared" ref="C460:AG460" si="585">+C433+C436+C439+C442+C445+C448+C451+C454+C457</f>
        <v>0</v>
      </c>
      <c r="D460" s="708">
        <f t="shared" si="585"/>
        <v>0</v>
      </c>
      <c r="E460" s="708">
        <f t="shared" si="585"/>
        <v>0</v>
      </c>
      <c r="F460" s="708">
        <f t="shared" si="585"/>
        <v>0</v>
      </c>
      <c r="G460" s="708">
        <f t="shared" si="585"/>
        <v>0</v>
      </c>
      <c r="H460" s="708">
        <f t="shared" si="585"/>
        <v>0</v>
      </c>
      <c r="I460" s="708">
        <f t="shared" si="585"/>
        <v>118.38400000000001</v>
      </c>
      <c r="J460" s="708">
        <f t="shared" si="585"/>
        <v>186.16399999999999</v>
      </c>
      <c r="K460" s="708">
        <f t="shared" si="585"/>
        <v>264.54599999999999</v>
      </c>
      <c r="L460" s="708">
        <f t="shared" si="585"/>
        <v>305.70299999999997</v>
      </c>
      <c r="M460" s="708">
        <f t="shared" si="585"/>
        <v>396.52800000000002</v>
      </c>
      <c r="N460" s="708">
        <f t="shared" si="585"/>
        <v>477.23499999999996</v>
      </c>
      <c r="O460" s="708">
        <f t="shared" si="585"/>
        <v>0</v>
      </c>
      <c r="P460" s="708">
        <f t="shared" si="585"/>
        <v>0</v>
      </c>
      <c r="Q460" s="708">
        <f t="shared" si="585"/>
        <v>0</v>
      </c>
      <c r="R460" s="708">
        <f t="shared" si="585"/>
        <v>0</v>
      </c>
      <c r="S460" s="708">
        <f t="shared" si="585"/>
        <v>606.98700000000008</v>
      </c>
      <c r="T460" s="708">
        <f t="shared" si="585"/>
        <v>0</v>
      </c>
      <c r="U460" s="708">
        <f t="shared" si="585"/>
        <v>0</v>
      </c>
      <c r="V460" s="708">
        <f t="shared" si="585"/>
        <v>0</v>
      </c>
      <c r="W460" s="708">
        <f t="shared" si="585"/>
        <v>0</v>
      </c>
      <c r="X460" s="708">
        <f t="shared" si="585"/>
        <v>721.67199999999991</v>
      </c>
      <c r="Y460" s="708">
        <f t="shared" si="585"/>
        <v>0</v>
      </c>
      <c r="Z460" s="708">
        <f t="shared" si="585"/>
        <v>0</v>
      </c>
      <c r="AA460" s="708">
        <f t="shared" si="585"/>
        <v>0</v>
      </c>
      <c r="AB460" s="708">
        <f t="shared" si="585"/>
        <v>0</v>
      </c>
      <c r="AC460" s="708">
        <f t="shared" si="585"/>
        <v>777.43083999999999</v>
      </c>
      <c r="AD460" s="708">
        <f t="shared" si="585"/>
        <v>0</v>
      </c>
      <c r="AE460" s="708">
        <f t="shared" si="585"/>
        <v>0</v>
      </c>
      <c r="AF460" s="708">
        <f t="shared" si="585"/>
        <v>0</v>
      </c>
      <c r="AG460" s="708">
        <f t="shared" si="585"/>
        <v>0</v>
      </c>
      <c r="AH460" s="260">
        <f>+AH433+AH436+AH439+AH442+AH445+AH448+AH451+AH454+AH457</f>
        <v>815.29247679999992</v>
      </c>
      <c r="AI460" s="708">
        <f t="shared" ref="AI460:AL460" si="586">+AI433+AI436+AI439+AI442+AI445+AI448+AI451+AI454+AI457</f>
        <v>0</v>
      </c>
      <c r="AJ460" s="708">
        <f t="shared" si="586"/>
        <v>0</v>
      </c>
      <c r="AK460" s="708">
        <f t="shared" si="586"/>
        <v>0</v>
      </c>
      <c r="AL460" s="708">
        <f t="shared" si="586"/>
        <v>0</v>
      </c>
      <c r="AM460" s="708">
        <f t="shared" ref="AM460:BA460" si="587">+AM433+AM436+AM439+AM442+AM445+AM448+AM451+AM454+AM457</f>
        <v>806.69472633599992</v>
      </c>
      <c r="AN460" s="708">
        <f t="shared" si="587"/>
        <v>917.43370452753379</v>
      </c>
      <c r="AO460" s="708">
        <f t="shared" si="587"/>
        <v>643.05788751919658</v>
      </c>
      <c r="AP460" s="708">
        <f t="shared" si="587"/>
        <v>573.38392135368656</v>
      </c>
      <c r="AQ460" s="708">
        <f t="shared" si="587"/>
        <v>659.55461411553165</v>
      </c>
      <c r="AR460" s="708">
        <f t="shared" si="587"/>
        <v>613.59924770834289</v>
      </c>
      <c r="AS460" s="708">
        <f t="shared" si="587"/>
        <v>592.95489692529645</v>
      </c>
      <c r="AT460" s="708">
        <f t="shared" si="587"/>
        <v>569.77945031355785</v>
      </c>
      <c r="AU460" s="708">
        <f t="shared" si="587"/>
        <v>585.05201679132369</v>
      </c>
      <c r="AV460" s="708">
        <f t="shared" si="587"/>
        <v>487.53073704883036</v>
      </c>
      <c r="AW460" s="708">
        <f t="shared" si="587"/>
        <v>387.29774063991852</v>
      </c>
      <c r="AX460" s="708">
        <f t="shared" si="587"/>
        <v>374.83970653347467</v>
      </c>
      <c r="AY460" s="708">
        <f t="shared" si="587"/>
        <v>334.82762786746696</v>
      </c>
      <c r="AZ460" s="708">
        <f t="shared" si="587"/>
        <v>196.5352047901591</v>
      </c>
      <c r="BA460" s="708">
        <f t="shared" si="587"/>
        <v>189.40657259568601</v>
      </c>
      <c r="BB460" s="3"/>
    </row>
    <row r="461" spans="1:54" s="2" customFormat="1" ht="12.75" customHeight="1">
      <c r="A461" s="386"/>
      <c r="B461" s="112"/>
      <c r="C461" s="689"/>
      <c r="D461" s="689"/>
      <c r="E461" s="689"/>
      <c r="F461" s="689"/>
      <c r="G461" s="689"/>
      <c r="H461" s="689"/>
      <c r="I461" s="689"/>
      <c r="J461" s="689"/>
      <c r="K461" s="689"/>
      <c r="L461" s="689"/>
      <c r="M461" s="689"/>
      <c r="N461" s="689"/>
      <c r="O461" s="689"/>
      <c r="P461" s="689"/>
      <c r="Q461" s="689"/>
      <c r="R461" s="689"/>
      <c r="S461" s="689"/>
      <c r="T461" s="689"/>
      <c r="U461" s="689"/>
      <c r="V461" s="689"/>
      <c r="W461" s="689"/>
      <c r="X461" s="689"/>
      <c r="Y461" s="689"/>
      <c r="Z461" s="689"/>
      <c r="AA461" s="689"/>
      <c r="AB461" s="689"/>
      <c r="AC461" s="689"/>
      <c r="AD461" s="689"/>
      <c r="AE461" s="689"/>
      <c r="AF461" s="689"/>
      <c r="AG461" s="689"/>
      <c r="AH461" s="1"/>
      <c r="AI461" s="689"/>
      <c r="AJ461" s="689"/>
      <c r="AK461" s="689"/>
      <c r="AL461" s="689"/>
      <c r="AM461" s="1"/>
      <c r="AN461" s="1"/>
      <c r="AO461" s="1"/>
      <c r="AP461" s="1"/>
      <c r="AQ461" s="1"/>
      <c r="AR461" s="1"/>
      <c r="AS461" s="1"/>
      <c r="AT461" s="1"/>
      <c r="AU461" s="1"/>
      <c r="AV461" s="1"/>
      <c r="AW461" s="1"/>
      <c r="AX461" s="1"/>
      <c r="AY461" s="1"/>
      <c r="AZ461" s="1"/>
      <c r="BA461" s="1"/>
      <c r="BB461" s="1"/>
    </row>
    <row r="462" spans="1:54" s="135" customFormat="1" ht="12.75" customHeight="1">
      <c r="A462" s="442"/>
      <c r="B462" s="137" t="s">
        <v>513</v>
      </c>
      <c r="C462" s="696">
        <f t="shared" ref="C462:AG462" si="588">C191+C181+C171+C160+C150+C201+C211+C221+C231</f>
        <v>0</v>
      </c>
      <c r="D462" s="696">
        <f t="shared" si="588"/>
        <v>15.58630168008747</v>
      </c>
      <c r="E462" s="696">
        <f t="shared" si="588"/>
        <v>145.10561711848203</v>
      </c>
      <c r="F462" s="696">
        <f t="shared" si="588"/>
        <v>355.8926650020789</v>
      </c>
      <c r="G462" s="696">
        <f t="shared" si="588"/>
        <v>491.39723354592718</v>
      </c>
      <c r="H462" s="696">
        <f t="shared" si="588"/>
        <v>828.14987846079975</v>
      </c>
      <c r="I462" s="696">
        <f t="shared" si="588"/>
        <v>1285.514074955554</v>
      </c>
      <c r="J462" s="696">
        <f t="shared" si="588"/>
        <v>1947.1292486112497</v>
      </c>
      <c r="K462" s="696">
        <f t="shared" si="588"/>
        <v>2552.6912579068876</v>
      </c>
      <c r="L462" s="696">
        <f t="shared" si="588"/>
        <v>3040.9955700160358</v>
      </c>
      <c r="M462" s="696">
        <f t="shared" si="588"/>
        <v>3425.6657286802897</v>
      </c>
      <c r="N462" s="696">
        <f t="shared" si="588"/>
        <v>3624.5745500000003</v>
      </c>
      <c r="O462" s="696">
        <f t="shared" si="588"/>
        <v>1015.3491661393334</v>
      </c>
      <c r="P462" s="696">
        <f t="shared" si="588"/>
        <v>1062.6476070758279</v>
      </c>
      <c r="Q462" s="696">
        <f t="shared" si="588"/>
        <v>1083.9667007970552</v>
      </c>
      <c r="R462" s="696">
        <f t="shared" si="588"/>
        <v>1164.2567393213519</v>
      </c>
      <c r="S462" s="696">
        <f t="shared" si="588"/>
        <v>4326.3910239860843</v>
      </c>
      <c r="T462" s="696">
        <f t="shared" si="588"/>
        <v>1094.9133264844652</v>
      </c>
      <c r="U462" s="696">
        <f t="shared" si="588"/>
        <v>1270.2768364222002</v>
      </c>
      <c r="V462" s="696">
        <f t="shared" si="588"/>
        <v>1293.5532694087904</v>
      </c>
      <c r="W462" s="696">
        <f t="shared" si="588"/>
        <v>1393.2647967928872</v>
      </c>
      <c r="X462" s="696">
        <f t="shared" si="588"/>
        <v>5052.0082291083427</v>
      </c>
      <c r="Y462" s="696">
        <f t="shared" si="588"/>
        <v>1197.6308601568626</v>
      </c>
      <c r="Z462" s="696">
        <f t="shared" si="588"/>
        <v>1383.6316463570167</v>
      </c>
      <c r="AA462" s="696">
        <f t="shared" si="588"/>
        <v>1574.7121831196891</v>
      </c>
      <c r="AB462" s="696">
        <f t="shared" si="588"/>
        <v>1745.7943944201184</v>
      </c>
      <c r="AC462" s="696">
        <f t="shared" si="588"/>
        <v>5905.1713851072973</v>
      </c>
      <c r="AD462" s="696">
        <f t="shared" si="588"/>
        <v>1348</v>
      </c>
      <c r="AE462" s="696">
        <f t="shared" si="588"/>
        <v>1620</v>
      </c>
      <c r="AF462" s="696">
        <f t="shared" si="588"/>
        <v>1790</v>
      </c>
      <c r="AG462" s="696">
        <f t="shared" si="588"/>
        <v>1793</v>
      </c>
      <c r="AH462" s="696">
        <f>AH191+AH181+AH171+AH160+AH150+AH201+AH211+AH221+AH231</f>
        <v>6642.9428833221482</v>
      </c>
      <c r="AI462" s="696">
        <f t="shared" ref="AI462:AL462" si="589">AI191+AI181+AI171+AI160+AI150+AI201+AI211+AI221+AI231</f>
        <v>1804</v>
      </c>
      <c r="AJ462" s="696">
        <f t="shared" si="589"/>
        <v>1903</v>
      </c>
      <c r="AK462" s="696">
        <f t="shared" si="589"/>
        <v>1933</v>
      </c>
      <c r="AL462" s="696">
        <f t="shared" si="589"/>
        <v>1975</v>
      </c>
      <c r="AM462" s="696">
        <f t="shared" ref="AM462:BA462" si="590">AM191+AM181+AM171+AM160+AM150+AM201+AM211+AM221+AM231</f>
        <v>8312.5365555652043</v>
      </c>
      <c r="AN462" s="696">
        <f t="shared" si="590"/>
        <v>9772.0920452912087</v>
      </c>
      <c r="AO462" s="696">
        <f t="shared" si="590"/>
        <v>11512.254810560416</v>
      </c>
      <c r="AP462" s="696">
        <f t="shared" si="590"/>
        <v>12015.300426540689</v>
      </c>
      <c r="AQ462" s="696">
        <f t="shared" si="590"/>
        <v>12425.147041973909</v>
      </c>
      <c r="AR462" s="696">
        <f t="shared" si="590"/>
        <v>10285.508479161179</v>
      </c>
      <c r="AS462" s="696">
        <f t="shared" si="590"/>
        <v>10151.350215181146</v>
      </c>
      <c r="AT462" s="696">
        <f t="shared" si="590"/>
        <v>10103.029326629043</v>
      </c>
      <c r="AU462" s="696">
        <f t="shared" si="590"/>
        <v>10096.436440537789</v>
      </c>
      <c r="AV462" s="696">
        <f t="shared" si="590"/>
        <v>5551.1368120003717</v>
      </c>
      <c r="AW462" s="696">
        <f t="shared" si="590"/>
        <v>5077.2014055539767</v>
      </c>
      <c r="AX462" s="696">
        <f t="shared" si="590"/>
        <v>4928.0836560398584</v>
      </c>
      <c r="AY462" s="696">
        <f t="shared" si="590"/>
        <v>4846.7162916809539</v>
      </c>
      <c r="AZ462" s="696">
        <f t="shared" si="590"/>
        <v>3508.2196645775043</v>
      </c>
      <c r="BA462" s="696">
        <f t="shared" si="590"/>
        <v>3341.527575609437</v>
      </c>
      <c r="BB462" s="121"/>
    </row>
    <row r="463" spans="1:54" s="14" customFormat="1" ht="12.75" customHeight="1">
      <c r="A463" s="443"/>
      <c r="B463" s="137" t="s">
        <v>450</v>
      </c>
      <c r="C463" s="696">
        <f t="shared" ref="C463:AG463" si="591">C364+C373+C381+C389+C397+C405+C413+C421+C429</f>
        <v>0</v>
      </c>
      <c r="D463" s="696">
        <f t="shared" si="591"/>
        <v>0</v>
      </c>
      <c r="E463" s="696">
        <f t="shared" si="591"/>
        <v>3.9118570810681428</v>
      </c>
      <c r="F463" s="696">
        <f t="shared" si="591"/>
        <v>14.503905086765162</v>
      </c>
      <c r="G463" s="696">
        <f t="shared" si="591"/>
        <v>209.58187757149994</v>
      </c>
      <c r="H463" s="696">
        <f t="shared" si="591"/>
        <v>537.5672836047745</v>
      </c>
      <c r="I463" s="696">
        <f t="shared" si="591"/>
        <v>792.12147854291106</v>
      </c>
      <c r="J463" s="696">
        <f t="shared" si="591"/>
        <v>1092.9414859495014</v>
      </c>
      <c r="K463" s="696">
        <f t="shared" si="591"/>
        <v>1463.9793877348277</v>
      </c>
      <c r="L463" s="696">
        <f t="shared" si="591"/>
        <v>2034.8756548691917</v>
      </c>
      <c r="M463" s="696">
        <f t="shared" si="591"/>
        <v>2255.4822937663621</v>
      </c>
      <c r="N463" s="696">
        <f t="shared" si="591"/>
        <v>2468.5066223880658</v>
      </c>
      <c r="O463" s="696">
        <f t="shared" si="591"/>
        <v>595.83900000000006</v>
      </c>
      <c r="P463" s="696">
        <f t="shared" si="591"/>
        <v>616.13700000000006</v>
      </c>
      <c r="Q463" s="696">
        <f t="shared" si="591"/>
        <v>614.5150000000001</v>
      </c>
      <c r="R463" s="696">
        <f t="shared" si="591"/>
        <v>644.31500000000005</v>
      </c>
      <c r="S463" s="696">
        <f t="shared" si="591"/>
        <v>2520.9099795771576</v>
      </c>
      <c r="T463" s="696">
        <f t="shared" si="591"/>
        <v>649.20399999999995</v>
      </c>
      <c r="U463" s="696">
        <f t="shared" si="591"/>
        <v>656.92099999999994</v>
      </c>
      <c r="V463" s="696">
        <f t="shared" si="591"/>
        <v>652.75199999999995</v>
      </c>
      <c r="W463" s="696">
        <f t="shared" si="591"/>
        <v>690.23200000000008</v>
      </c>
      <c r="X463" s="696">
        <f t="shared" si="591"/>
        <v>2700.1403128624643</v>
      </c>
      <c r="Y463" s="696">
        <f t="shared" si="591"/>
        <v>692.31799999999998</v>
      </c>
      <c r="Z463" s="696">
        <f t="shared" si="591"/>
        <v>735.74900000000002</v>
      </c>
      <c r="AA463" s="696">
        <f t="shared" si="591"/>
        <v>721.72199999999998</v>
      </c>
      <c r="AB463" s="696">
        <f t="shared" si="591"/>
        <v>671</v>
      </c>
      <c r="AC463" s="696">
        <f t="shared" si="591"/>
        <v>2863.3773212636784</v>
      </c>
      <c r="AD463" s="696">
        <f t="shared" si="591"/>
        <v>701</v>
      </c>
      <c r="AE463" s="696">
        <f t="shared" si="591"/>
        <v>665</v>
      </c>
      <c r="AF463" s="696">
        <f t="shared" si="591"/>
        <v>639</v>
      </c>
      <c r="AG463" s="696">
        <f t="shared" si="591"/>
        <v>665</v>
      </c>
      <c r="AH463" s="696">
        <f>AH364+AH373+AH381+AH389+AH397+AH405+AH413+AH421+AH429</f>
        <v>2704.8675924360768</v>
      </c>
      <c r="AI463" s="696">
        <f t="shared" ref="AI463:AL463" si="592">AI364+AI373+AI381+AI389+AI397+AI405+AI413+AI421+AI429</f>
        <v>621</v>
      </c>
      <c r="AJ463" s="696">
        <f t="shared" si="592"/>
        <v>625</v>
      </c>
      <c r="AK463" s="696">
        <f t="shared" si="592"/>
        <v>567</v>
      </c>
      <c r="AL463" s="696">
        <f t="shared" si="592"/>
        <v>514</v>
      </c>
      <c r="AM463" s="696">
        <f t="shared" ref="AM463:BA463" si="593">AM364+AM373+AM381+AM389+AM397+AM405+AM413+AM421+AM429</f>
        <v>2608.0887120632196</v>
      </c>
      <c r="AN463" s="696">
        <f t="shared" si="593"/>
        <v>2554.6133730912215</v>
      </c>
      <c r="AO463" s="696">
        <f t="shared" si="593"/>
        <v>2499.3619766477132</v>
      </c>
      <c r="AP463" s="696">
        <f t="shared" si="593"/>
        <v>3037.5985176698423</v>
      </c>
      <c r="AQ463" s="696">
        <f t="shared" si="593"/>
        <v>3935.7318707145491</v>
      </c>
      <c r="AR463" s="696">
        <f t="shared" si="593"/>
        <v>4118.9484196332542</v>
      </c>
      <c r="AS463" s="696">
        <f t="shared" si="593"/>
        <v>4152.1042084178152</v>
      </c>
      <c r="AT463" s="696">
        <f t="shared" si="593"/>
        <v>4238.3600243263136</v>
      </c>
      <c r="AU463" s="696">
        <f t="shared" si="593"/>
        <v>4492.829350622098</v>
      </c>
      <c r="AV463" s="696">
        <f t="shared" si="593"/>
        <v>3595.3267673086139</v>
      </c>
      <c r="AW463" s="696">
        <f t="shared" si="593"/>
        <v>2659.7537620230723</v>
      </c>
      <c r="AX463" s="696">
        <f t="shared" si="593"/>
        <v>2595.6553394417215</v>
      </c>
      <c r="AY463" s="696">
        <f t="shared" si="593"/>
        <v>2558.4785678736921</v>
      </c>
      <c r="AZ463" s="696">
        <f t="shared" si="593"/>
        <v>1871.1232284933528</v>
      </c>
      <c r="BA463" s="696">
        <f t="shared" si="593"/>
        <v>1873.0669630785633</v>
      </c>
      <c r="BB463" s="121"/>
    </row>
    <row r="464" spans="1:54" s="135" customFormat="1" ht="12.75" customHeight="1">
      <c r="A464" s="442"/>
      <c r="B464" s="137" t="s">
        <v>452</v>
      </c>
      <c r="C464" s="696">
        <f t="shared" ref="C464:AG464" si="594">C460</f>
        <v>0</v>
      </c>
      <c r="D464" s="696">
        <f t="shared" si="594"/>
        <v>0</v>
      </c>
      <c r="E464" s="696">
        <f t="shared" si="594"/>
        <v>0</v>
      </c>
      <c r="F464" s="696">
        <f t="shared" si="594"/>
        <v>0</v>
      </c>
      <c r="G464" s="696">
        <f t="shared" si="594"/>
        <v>0</v>
      </c>
      <c r="H464" s="696">
        <f t="shared" si="594"/>
        <v>0</v>
      </c>
      <c r="I464" s="696">
        <f t="shared" si="594"/>
        <v>118.38400000000001</v>
      </c>
      <c r="J464" s="696">
        <f t="shared" si="594"/>
        <v>186.16399999999999</v>
      </c>
      <c r="K464" s="696">
        <f t="shared" si="594"/>
        <v>264.54599999999999</v>
      </c>
      <c r="L464" s="696">
        <f t="shared" si="594"/>
        <v>305.70299999999997</v>
      </c>
      <c r="M464" s="696">
        <f t="shared" si="594"/>
        <v>396.52800000000002</v>
      </c>
      <c r="N464" s="696">
        <f t="shared" si="594"/>
        <v>477.23499999999996</v>
      </c>
      <c r="O464" s="696">
        <f t="shared" si="594"/>
        <v>0</v>
      </c>
      <c r="P464" s="696">
        <f t="shared" si="594"/>
        <v>0</v>
      </c>
      <c r="Q464" s="696">
        <f t="shared" si="594"/>
        <v>0</v>
      </c>
      <c r="R464" s="696">
        <f t="shared" si="594"/>
        <v>0</v>
      </c>
      <c r="S464" s="696">
        <f t="shared" si="594"/>
        <v>606.98700000000008</v>
      </c>
      <c r="T464" s="696">
        <f t="shared" si="594"/>
        <v>0</v>
      </c>
      <c r="U464" s="696">
        <f t="shared" si="594"/>
        <v>0</v>
      </c>
      <c r="V464" s="696">
        <f t="shared" si="594"/>
        <v>0</v>
      </c>
      <c r="W464" s="696">
        <f t="shared" si="594"/>
        <v>0</v>
      </c>
      <c r="X464" s="696">
        <f t="shared" si="594"/>
        <v>721.67199999999991</v>
      </c>
      <c r="Y464" s="696">
        <f t="shared" si="594"/>
        <v>0</v>
      </c>
      <c r="Z464" s="696">
        <f t="shared" si="594"/>
        <v>0</v>
      </c>
      <c r="AA464" s="696">
        <f t="shared" si="594"/>
        <v>0</v>
      </c>
      <c r="AB464" s="696">
        <f t="shared" si="594"/>
        <v>0</v>
      </c>
      <c r="AC464" s="696">
        <f t="shared" si="594"/>
        <v>777.43083999999999</v>
      </c>
      <c r="AD464" s="696">
        <f t="shared" si="594"/>
        <v>0</v>
      </c>
      <c r="AE464" s="696">
        <f t="shared" si="594"/>
        <v>0</v>
      </c>
      <c r="AF464" s="696">
        <f t="shared" si="594"/>
        <v>0</v>
      </c>
      <c r="AG464" s="696">
        <f t="shared" si="594"/>
        <v>0</v>
      </c>
      <c r="AH464" s="696">
        <f t="shared" ref="AH464:AQ464" si="595">AH460</f>
        <v>815.29247679999992</v>
      </c>
      <c r="AI464" s="696">
        <f t="shared" si="595"/>
        <v>0</v>
      </c>
      <c r="AJ464" s="696">
        <f t="shared" si="595"/>
        <v>0</v>
      </c>
      <c r="AK464" s="696">
        <f t="shared" si="595"/>
        <v>0</v>
      </c>
      <c r="AL464" s="696">
        <f t="shared" si="595"/>
        <v>0</v>
      </c>
      <c r="AM464" s="116">
        <f t="shared" si="595"/>
        <v>806.69472633599992</v>
      </c>
      <c r="AN464" s="116">
        <f t="shared" si="595"/>
        <v>917.43370452753379</v>
      </c>
      <c r="AO464" s="116">
        <f t="shared" si="595"/>
        <v>643.05788751919658</v>
      </c>
      <c r="AP464" s="116">
        <f t="shared" si="595"/>
        <v>573.38392135368656</v>
      </c>
      <c r="AQ464" s="116">
        <f t="shared" si="595"/>
        <v>659.55461411553165</v>
      </c>
      <c r="AR464" s="116">
        <f t="shared" ref="AR464:BA464" si="596">AR460</f>
        <v>613.59924770834289</v>
      </c>
      <c r="AS464" s="116">
        <f t="shared" si="596"/>
        <v>592.95489692529645</v>
      </c>
      <c r="AT464" s="116">
        <f t="shared" si="596"/>
        <v>569.77945031355785</v>
      </c>
      <c r="AU464" s="116">
        <f t="shared" si="596"/>
        <v>585.05201679132369</v>
      </c>
      <c r="AV464" s="116">
        <f t="shared" si="596"/>
        <v>487.53073704883036</v>
      </c>
      <c r="AW464" s="116">
        <f t="shared" si="596"/>
        <v>387.29774063991852</v>
      </c>
      <c r="AX464" s="116">
        <f t="shared" si="596"/>
        <v>374.83970653347467</v>
      </c>
      <c r="AY464" s="116">
        <f t="shared" si="596"/>
        <v>334.82762786746696</v>
      </c>
      <c r="AZ464" s="116">
        <f t="shared" si="596"/>
        <v>196.5352047901591</v>
      </c>
      <c r="BA464" s="116">
        <f t="shared" si="596"/>
        <v>189.40657259568601</v>
      </c>
      <c r="BB464" s="121"/>
    </row>
    <row r="465" spans="1:54" s="5" customFormat="1" ht="12.75" customHeight="1">
      <c r="A465" s="444"/>
      <c r="B465" s="276" t="s">
        <v>669</v>
      </c>
      <c r="C465" s="244">
        <f t="shared" ref="C465:AG465" si="597">C464+C463+C462</f>
        <v>0</v>
      </c>
      <c r="D465" s="244">
        <f t="shared" si="597"/>
        <v>15.58630168008747</v>
      </c>
      <c r="E465" s="244">
        <f t="shared" si="597"/>
        <v>149.01747419955018</v>
      </c>
      <c r="F465" s="244">
        <f t="shared" si="597"/>
        <v>370.39657008884404</v>
      </c>
      <c r="G465" s="244">
        <f t="shared" si="597"/>
        <v>700.97911111742712</v>
      </c>
      <c r="H465" s="244">
        <f t="shared" si="597"/>
        <v>1365.7171620655743</v>
      </c>
      <c r="I465" s="244">
        <f t="shared" si="597"/>
        <v>2196.019553498465</v>
      </c>
      <c r="J465" s="244">
        <f t="shared" si="597"/>
        <v>3226.2347345607513</v>
      </c>
      <c r="K465" s="244">
        <f t="shared" si="597"/>
        <v>4281.2166456417153</v>
      </c>
      <c r="L465" s="244">
        <f t="shared" si="597"/>
        <v>5381.5742248852275</v>
      </c>
      <c r="M465" s="244">
        <f t="shared" si="597"/>
        <v>6077.6760224466525</v>
      </c>
      <c r="N465" s="244">
        <f t="shared" si="597"/>
        <v>6570.3161723880658</v>
      </c>
      <c r="O465" s="244">
        <f t="shared" si="597"/>
        <v>1611.1881661393336</v>
      </c>
      <c r="P465" s="244">
        <f t="shared" si="597"/>
        <v>1678.7846070758278</v>
      </c>
      <c r="Q465" s="244">
        <f t="shared" si="597"/>
        <v>1698.4817007970553</v>
      </c>
      <c r="R465" s="244">
        <f t="shared" si="597"/>
        <v>1808.571739321352</v>
      </c>
      <c r="S465" s="244">
        <f t="shared" si="597"/>
        <v>7454.2880035632425</v>
      </c>
      <c r="T465" s="244">
        <f t="shared" si="597"/>
        <v>1744.1173264844651</v>
      </c>
      <c r="U465" s="244">
        <f t="shared" si="597"/>
        <v>1927.1978364222</v>
      </c>
      <c r="V465" s="244">
        <f t="shared" si="597"/>
        <v>1946.3052694087903</v>
      </c>
      <c r="W465" s="244">
        <f t="shared" si="597"/>
        <v>2083.4967967928874</v>
      </c>
      <c r="X465" s="244">
        <f t="shared" si="597"/>
        <v>8473.8205419708065</v>
      </c>
      <c r="Y465" s="244">
        <f t="shared" si="597"/>
        <v>1889.9488601568626</v>
      </c>
      <c r="Z465" s="244">
        <f t="shared" si="597"/>
        <v>2119.3806463570168</v>
      </c>
      <c r="AA465" s="244">
        <f t="shared" si="597"/>
        <v>2296.4341831196889</v>
      </c>
      <c r="AB465" s="244">
        <f t="shared" si="597"/>
        <v>2416.7943944201184</v>
      </c>
      <c r="AC465" s="244">
        <f t="shared" si="597"/>
        <v>9545.9795463709761</v>
      </c>
      <c r="AD465" s="244">
        <f t="shared" si="597"/>
        <v>2049</v>
      </c>
      <c r="AE465" s="244">
        <f t="shared" si="597"/>
        <v>2285</v>
      </c>
      <c r="AF465" s="244">
        <f t="shared" si="597"/>
        <v>2429</v>
      </c>
      <c r="AG465" s="244">
        <f t="shared" si="597"/>
        <v>2458</v>
      </c>
      <c r="AH465" s="244">
        <f t="shared" ref="AH465:AQ465" si="598">AH464+AH463+AH462</f>
        <v>10163.102952558225</v>
      </c>
      <c r="AI465" s="244">
        <f t="shared" si="598"/>
        <v>2425</v>
      </c>
      <c r="AJ465" s="244">
        <f t="shared" si="598"/>
        <v>2528</v>
      </c>
      <c r="AK465" s="244">
        <f t="shared" si="598"/>
        <v>2500</v>
      </c>
      <c r="AL465" s="244">
        <f t="shared" si="598"/>
        <v>2489</v>
      </c>
      <c r="AM465" s="244">
        <f t="shared" si="598"/>
        <v>11727.319993964424</v>
      </c>
      <c r="AN465" s="244">
        <f t="shared" si="598"/>
        <v>13244.139122909964</v>
      </c>
      <c r="AO465" s="244">
        <f t="shared" si="598"/>
        <v>14654.674674727326</v>
      </c>
      <c r="AP465" s="244">
        <f t="shared" si="598"/>
        <v>15626.282865564219</v>
      </c>
      <c r="AQ465" s="244">
        <f t="shared" si="598"/>
        <v>17020.43352680399</v>
      </c>
      <c r="AR465" s="244">
        <f t="shared" ref="AR465:BA465" si="599">AR464+AR463+AR462</f>
        <v>15018.056146502775</v>
      </c>
      <c r="AS465" s="244">
        <f t="shared" si="599"/>
        <v>14896.409320524257</v>
      </c>
      <c r="AT465" s="244">
        <f t="shared" si="599"/>
        <v>14911.168801268914</v>
      </c>
      <c r="AU465" s="244">
        <f t="shared" si="599"/>
        <v>15174.317807951211</v>
      </c>
      <c r="AV465" s="244">
        <f t="shared" si="599"/>
        <v>9633.9943163578155</v>
      </c>
      <c r="AW465" s="244">
        <f t="shared" si="599"/>
        <v>8124.2529082169676</v>
      </c>
      <c r="AX465" s="244">
        <f t="shared" si="599"/>
        <v>7898.5787020150547</v>
      </c>
      <c r="AY465" s="244">
        <f t="shared" si="599"/>
        <v>7740.022487422113</v>
      </c>
      <c r="AZ465" s="244">
        <f t="shared" si="599"/>
        <v>5575.8780978610157</v>
      </c>
      <c r="BA465" s="244">
        <f t="shared" si="599"/>
        <v>5404.0011112836864</v>
      </c>
      <c r="BB465" s="121"/>
    </row>
    <row r="466" spans="1:54" s="5" customFormat="1" ht="12.75" customHeight="1">
      <c r="A466" s="444"/>
      <c r="B466" s="193"/>
      <c r="C466" s="121"/>
      <c r="D466" s="121"/>
      <c r="E466" s="121"/>
      <c r="F466" s="121"/>
      <c r="G466" s="121"/>
      <c r="H466" s="121"/>
      <c r="I466" s="121"/>
      <c r="J466" s="121"/>
      <c r="K466" s="121"/>
      <c r="L466" s="121"/>
      <c r="M466" s="121"/>
      <c r="N466" s="121"/>
      <c r="O466" s="121"/>
      <c r="P466" s="121"/>
      <c r="Q466" s="121"/>
      <c r="R466" s="121"/>
      <c r="S466" s="121"/>
      <c r="T466" s="121"/>
      <c r="U466" s="121"/>
      <c r="V466" s="121"/>
      <c r="W466" s="121"/>
      <c r="X466" s="121"/>
      <c r="Y466" s="121"/>
      <c r="Z466" s="121"/>
      <c r="AA466" s="121"/>
      <c r="AB466" s="121"/>
      <c r="AC466" s="121"/>
      <c r="AD466" s="121"/>
      <c r="AE466" s="121"/>
      <c r="AF466" s="121"/>
      <c r="AG466" s="121"/>
      <c r="AH466" s="121"/>
      <c r="AI466" s="121"/>
      <c r="AJ466" s="121"/>
      <c r="AK466" s="121"/>
      <c r="AL466" s="121"/>
      <c r="AM466" s="121"/>
      <c r="AN466" s="121"/>
      <c r="AO466" s="121"/>
      <c r="AP466" s="121"/>
      <c r="AQ466" s="121"/>
      <c r="AR466" s="121"/>
      <c r="AS466" s="121"/>
      <c r="AT466" s="121"/>
      <c r="AU466" s="121"/>
      <c r="AV466" s="121"/>
      <c r="AW466" s="121"/>
      <c r="AX466" s="121"/>
      <c r="AY466" s="121"/>
      <c r="AZ466" s="121"/>
      <c r="BA466" s="121"/>
      <c r="BB466" s="121"/>
    </row>
    <row r="467" spans="1:54" s="8" customFormat="1" ht="12.75" customHeight="1">
      <c r="A467" s="441"/>
      <c r="B467" s="199" t="s">
        <v>514</v>
      </c>
      <c r="C467" s="188"/>
      <c r="D467" s="188"/>
      <c r="E467" s="188"/>
      <c r="F467" s="188"/>
      <c r="G467" s="188"/>
      <c r="H467" s="188"/>
      <c r="I467" s="188"/>
      <c r="J467" s="188"/>
      <c r="K467" s="188"/>
      <c r="L467" s="188"/>
      <c r="M467" s="188"/>
      <c r="N467" s="188"/>
      <c r="O467" s="188"/>
      <c r="P467" s="188"/>
      <c r="Q467" s="188"/>
      <c r="R467" s="188"/>
      <c r="S467" s="188"/>
      <c r="T467" s="188"/>
      <c r="U467" s="188"/>
      <c r="V467" s="188"/>
      <c r="W467" s="188"/>
      <c r="X467" s="188"/>
      <c r="Y467" s="188"/>
      <c r="Z467" s="188"/>
      <c r="AA467" s="188"/>
      <c r="AB467" s="188"/>
      <c r="AC467" s="188"/>
      <c r="AD467" s="188"/>
      <c r="AE467" s="188"/>
      <c r="AF467" s="188"/>
      <c r="AG467" s="188"/>
      <c r="AH467" s="188"/>
      <c r="AI467" s="188"/>
      <c r="AJ467" s="188"/>
      <c r="AK467" s="188"/>
      <c r="AL467" s="188"/>
      <c r="AM467" s="188"/>
      <c r="AN467" s="188"/>
      <c r="AO467" s="188"/>
      <c r="AP467" s="188"/>
      <c r="AQ467" s="188"/>
      <c r="AR467" s="188"/>
      <c r="AS467" s="188"/>
      <c r="AT467" s="188"/>
      <c r="AU467" s="188"/>
      <c r="AV467" s="188"/>
      <c r="AW467" s="188"/>
      <c r="AX467" s="188"/>
      <c r="AY467" s="188"/>
      <c r="AZ467" s="188"/>
      <c r="BA467" s="188"/>
      <c r="BB467" s="188"/>
    </row>
    <row r="468" spans="1:54" s="8" customFormat="1" ht="12.75" customHeight="1">
      <c r="A468" s="441"/>
      <c r="B468" s="198"/>
      <c r="C468" s="188"/>
      <c r="D468" s="188"/>
      <c r="E468" s="188"/>
      <c r="F468" s="188"/>
      <c r="G468" s="188"/>
      <c r="H468" s="188"/>
      <c r="I468" s="188"/>
      <c r="J468" s="188"/>
      <c r="K468" s="188"/>
      <c r="L468" s="188"/>
      <c r="M468" s="188"/>
      <c r="N468" s="188"/>
      <c r="O468" s="188"/>
      <c r="P468" s="188"/>
      <c r="Q468" s="188"/>
      <c r="R468" s="188"/>
      <c r="S468" s="188"/>
      <c r="T468" s="188"/>
      <c r="U468" s="188"/>
      <c r="V468" s="188"/>
      <c r="W468" s="188"/>
      <c r="X468" s="188"/>
      <c r="Y468" s="188"/>
      <c r="Z468" s="188"/>
      <c r="AA468" s="188"/>
      <c r="AB468" s="188"/>
      <c r="AC468" s="188"/>
      <c r="AD468" s="188"/>
      <c r="AE468" s="188"/>
      <c r="AF468" s="188"/>
      <c r="AG468" s="188"/>
      <c r="AH468" s="188"/>
      <c r="AI468" s="188"/>
      <c r="AJ468" s="188"/>
      <c r="AK468" s="188"/>
      <c r="AL468" s="188"/>
      <c r="AM468" s="188"/>
      <c r="AN468" s="188"/>
      <c r="AO468" s="188"/>
      <c r="AP468" s="188"/>
      <c r="AQ468" s="188"/>
      <c r="AR468" s="188"/>
      <c r="AS468" s="188"/>
      <c r="AT468" s="188"/>
      <c r="AU468" s="188"/>
      <c r="AV468" s="188"/>
      <c r="AW468" s="188"/>
      <c r="AX468" s="188"/>
      <c r="AY468" s="188"/>
      <c r="AZ468" s="188"/>
      <c r="BA468" s="188"/>
      <c r="BB468" s="188"/>
    </row>
    <row r="469" spans="1:54" s="9" customFormat="1" ht="12.75" customHeight="1">
      <c r="A469" s="366"/>
      <c r="B469" s="178" t="s">
        <v>663</v>
      </c>
      <c r="K469" s="230">
        <f>REVS!AL14</f>
        <v>254.21599999999995</v>
      </c>
      <c r="L469" s="230">
        <f>REVS!AQ14</f>
        <v>289.762</v>
      </c>
      <c r="M469" s="230">
        <f>REVS!AV14</f>
        <v>319.79200000000003</v>
      </c>
      <c r="N469" s="230">
        <f>REVS!BA14</f>
        <v>324.74099999999999</v>
      </c>
      <c r="O469" s="230"/>
      <c r="P469" s="230"/>
      <c r="Q469" s="230"/>
      <c r="R469" s="230"/>
      <c r="S469" s="230">
        <f>REVS!BF14</f>
        <v>387.92899999999997</v>
      </c>
      <c r="T469" s="230"/>
      <c r="U469" s="230"/>
      <c r="V469" s="230"/>
      <c r="W469" s="230"/>
      <c r="X469" s="230">
        <f>REVS!BK14</f>
        <v>428.19000000000005</v>
      </c>
      <c r="Y469" s="230"/>
      <c r="Z469" s="230"/>
      <c r="AA469" s="230"/>
      <c r="AB469" s="230"/>
      <c r="AC469" s="230">
        <f>AC470+AC471</f>
        <v>408.44018912570448</v>
      </c>
      <c r="AD469" s="230"/>
      <c r="AE469" s="230"/>
      <c r="AF469" s="230"/>
      <c r="AG469" s="230"/>
      <c r="AH469" s="230">
        <f t="shared" ref="AH469:AP469" si="600">AH470+AH471</f>
        <v>489.85816824469697</v>
      </c>
      <c r="AI469" s="698"/>
      <c r="AJ469" s="698"/>
      <c r="AK469" s="698"/>
      <c r="AL469" s="698"/>
      <c r="AM469" s="230">
        <f t="shared" si="600"/>
        <v>538.2262918165743</v>
      </c>
      <c r="AN469" s="230">
        <f t="shared" si="600"/>
        <v>424.12885788585527</v>
      </c>
      <c r="AO469" s="445">
        <f t="shared" si="600"/>
        <v>62.133065499075862</v>
      </c>
      <c r="AP469" s="230">
        <f t="shared" si="600"/>
        <v>11.939910290276925</v>
      </c>
      <c r="AQ469" s="230">
        <f>AQ470+AQ471</f>
        <v>1.2496845531851568</v>
      </c>
      <c r="AR469" s="230">
        <f t="shared" ref="AR469:BA469" si="601">AR470+AR471</f>
        <v>0.13088862756990977</v>
      </c>
      <c r="AS469" s="230">
        <f t="shared" si="601"/>
        <v>1.3718147482773738E-2</v>
      </c>
      <c r="AT469" s="230">
        <f t="shared" si="601"/>
        <v>1.4387020089365646E-3</v>
      </c>
      <c r="AU469" s="230">
        <f t="shared" si="601"/>
        <v>1.5097944073563609E-4</v>
      </c>
      <c r="AV469" s="230">
        <f t="shared" si="601"/>
        <v>1.5853534803796363E-5</v>
      </c>
      <c r="AW469" s="230">
        <f t="shared" si="601"/>
        <v>1.6656568806853192E-6</v>
      </c>
      <c r="AX469" s="230">
        <f t="shared" si="601"/>
        <v>1.7509993618428923E-7</v>
      </c>
      <c r="AY469" s="230">
        <f t="shared" si="601"/>
        <v>1.8416938231498868E-8</v>
      </c>
      <c r="AZ469" s="230">
        <f t="shared" si="601"/>
        <v>1.9380724178577719E-9</v>
      </c>
      <c r="BA469" s="230">
        <f t="shared" si="601"/>
        <v>2.0404877286078446E-10</v>
      </c>
    </row>
    <row r="470" spans="1:54" ht="12.75" customHeight="1">
      <c r="B470" s="21" t="s">
        <v>666</v>
      </c>
      <c r="K470" s="116">
        <f>K150</f>
        <v>244.04735999999991</v>
      </c>
      <c r="L470" s="116">
        <f>L150</f>
        <v>217.304570016036</v>
      </c>
      <c r="M470" s="116">
        <f>M150</f>
        <v>207.85372868029</v>
      </c>
      <c r="N470" s="116">
        <f>N150</f>
        <v>178.60754999999997</v>
      </c>
      <c r="O470" s="116"/>
      <c r="P470" s="116"/>
      <c r="Q470" s="116"/>
      <c r="R470" s="116"/>
      <c r="S470" s="116">
        <f>S150</f>
        <v>123.62702398608523</v>
      </c>
      <c r="T470" s="116"/>
      <c r="U470" s="116"/>
      <c r="V470" s="116"/>
      <c r="W470" s="116"/>
      <c r="X470" s="116">
        <f>X150</f>
        <v>112.82222910834287</v>
      </c>
      <c r="Y470" s="116"/>
      <c r="Z470" s="116"/>
      <c r="AA470" s="116"/>
      <c r="AB470" s="116"/>
      <c r="AC470" s="116">
        <f>AC150</f>
        <v>83.611385107297536</v>
      </c>
      <c r="AD470" s="116"/>
      <c r="AE470" s="116"/>
      <c r="AF470" s="116"/>
      <c r="AG470" s="116"/>
      <c r="AH470" s="116">
        <f>AH150</f>
        <v>91.942883322148461</v>
      </c>
      <c r="AI470" s="696"/>
      <c r="AJ470" s="696"/>
      <c r="AK470" s="696"/>
      <c r="AL470" s="696"/>
      <c r="AM470" s="116">
        <f t="shared" ref="AM470:BA470" si="602">AM150</f>
        <v>80.623714155643626</v>
      </c>
      <c r="AN470" s="116">
        <f t="shared" si="602"/>
        <v>102.79820289509661</v>
      </c>
      <c r="AO470" s="446">
        <v>30</v>
      </c>
      <c r="AP470" s="116">
        <f t="shared" si="602"/>
        <v>8.7266037403693399</v>
      </c>
      <c r="AQ470" s="116">
        <f t="shared" si="602"/>
        <v>0.9283538981943984</v>
      </c>
      <c r="AR470" s="116">
        <f t="shared" si="602"/>
        <v>9.8755562070833913E-2</v>
      </c>
      <c r="AS470" s="116">
        <f t="shared" si="602"/>
        <v>1.0504840932866156E-2</v>
      </c>
      <c r="AT470" s="116">
        <f t="shared" si="602"/>
        <v>1.1173713539458063E-3</v>
      </c>
      <c r="AU470" s="116">
        <f t="shared" si="602"/>
        <v>1.1884637523656027E-4</v>
      </c>
      <c r="AV470" s="116">
        <f t="shared" si="602"/>
        <v>1.2640228253888783E-5</v>
      </c>
      <c r="AW470" s="116">
        <f t="shared" si="602"/>
        <v>1.3443262256945612E-6</v>
      </c>
      <c r="AX470" s="116">
        <f t="shared" si="602"/>
        <v>1.4296687068521343E-7</v>
      </c>
      <c r="AY470" s="116">
        <f t="shared" si="602"/>
        <v>1.5203631681591289E-8</v>
      </c>
      <c r="AZ470" s="116">
        <f t="shared" si="602"/>
        <v>1.6167417628670143E-9</v>
      </c>
      <c r="BA470" s="116">
        <f t="shared" si="602"/>
        <v>1.7191570736170868E-10</v>
      </c>
    </row>
    <row r="471" spans="1:54" ht="12.75" customHeight="1">
      <c r="B471" s="21" t="s">
        <v>454</v>
      </c>
      <c r="K471" s="116">
        <f>K469-K470</f>
        <v>10.168640000000039</v>
      </c>
      <c r="L471" s="116">
        <f>L469-L470</f>
        <v>72.457429983964005</v>
      </c>
      <c r="M471" s="116">
        <f>M469-M470</f>
        <v>111.93827131971003</v>
      </c>
      <c r="N471" s="116">
        <f>N469-N470</f>
        <v>146.13345000000001</v>
      </c>
      <c r="O471" s="116"/>
      <c r="P471" s="116"/>
      <c r="Q471" s="116"/>
      <c r="R471" s="116"/>
      <c r="S471" s="116">
        <f>S469-S470</f>
        <v>264.30197601391473</v>
      </c>
      <c r="T471" s="116"/>
      <c r="U471" s="116"/>
      <c r="V471" s="116"/>
      <c r="W471" s="116"/>
      <c r="X471" s="116">
        <f>X469-X470</f>
        <v>315.36777089165719</v>
      </c>
      <c r="Y471" s="116"/>
      <c r="Z471" s="116"/>
      <c r="AA471" s="116"/>
      <c r="AB471" s="116"/>
      <c r="AC471" s="125">
        <f>X471*(1+AC472)</f>
        <v>324.82880401840691</v>
      </c>
      <c r="AD471" s="125"/>
      <c r="AE471" s="125"/>
      <c r="AF471" s="125"/>
      <c r="AG471" s="125"/>
      <c r="AH471" s="125">
        <f>AC471*(1+AH472)</f>
        <v>397.91528492254849</v>
      </c>
      <c r="AI471" s="125"/>
      <c r="AJ471" s="125"/>
      <c r="AK471" s="125"/>
      <c r="AL471" s="125"/>
      <c r="AM471" s="125">
        <f>AH471*(1+AM472)</f>
        <v>457.60257766093071</v>
      </c>
      <c r="AN471" s="125">
        <f>AM471*(1+AN472)-150</f>
        <v>321.33065499075866</v>
      </c>
      <c r="AO471" s="447">
        <f>AN471*(1+AO472)</f>
        <v>32.133065499075862</v>
      </c>
      <c r="AP471" s="125">
        <f>AO471*(1+AP472)</f>
        <v>3.2133065499075855</v>
      </c>
      <c r="AQ471" s="125">
        <f>AP471*(1+AQ472)</f>
        <v>0.32133065499075847</v>
      </c>
      <c r="AR471" s="125">
        <f t="shared" ref="AR471:BA471" si="603">AQ471*(1+AR472)</f>
        <v>3.2133065499075839E-2</v>
      </c>
      <c r="AS471" s="125">
        <f t="shared" si="603"/>
        <v>3.213306549907583E-3</v>
      </c>
      <c r="AT471" s="125">
        <f t="shared" si="603"/>
        <v>3.2133065499075823E-4</v>
      </c>
      <c r="AU471" s="125">
        <f t="shared" si="603"/>
        <v>3.2133065499075814E-5</v>
      </c>
      <c r="AV471" s="125">
        <f t="shared" si="603"/>
        <v>3.2133065499075807E-6</v>
      </c>
      <c r="AW471" s="125">
        <f t="shared" si="603"/>
        <v>3.21330654990758E-7</v>
      </c>
      <c r="AX471" s="125">
        <f t="shared" si="603"/>
        <v>3.2133065499075794E-8</v>
      </c>
      <c r="AY471" s="125">
        <f t="shared" si="603"/>
        <v>3.2133065499075788E-9</v>
      </c>
      <c r="AZ471" s="125">
        <f t="shared" si="603"/>
        <v>3.2133065499075779E-10</v>
      </c>
      <c r="BA471" s="125">
        <f t="shared" si="603"/>
        <v>3.2133065499075773E-11</v>
      </c>
    </row>
    <row r="472" spans="1:54" s="252" customFormat="1" ht="12.75" customHeight="1">
      <c r="A472" s="426"/>
      <c r="B472" s="274" t="s">
        <v>531</v>
      </c>
      <c r="K472" s="249"/>
      <c r="L472" s="249"/>
      <c r="M472" s="249"/>
      <c r="N472" s="249"/>
      <c r="O472" s="249"/>
      <c r="P472" s="249"/>
      <c r="Q472" s="249"/>
      <c r="R472" s="249"/>
      <c r="S472" s="31">
        <f>S471/N471-1</f>
        <v>0.80863434082966434</v>
      </c>
      <c r="T472" s="249"/>
      <c r="U472" s="249"/>
      <c r="V472" s="249"/>
      <c r="W472" s="249"/>
      <c r="X472" s="31">
        <f>X471/S471-1</f>
        <v>0.1932100381839521</v>
      </c>
      <c r="Y472" s="249"/>
      <c r="Z472" s="249"/>
      <c r="AA472" s="249"/>
      <c r="AB472" s="249"/>
      <c r="AC472" s="440">
        <v>0.03</v>
      </c>
      <c r="AD472" s="440"/>
      <c r="AE472" s="440"/>
      <c r="AF472" s="440"/>
      <c r="AG472" s="440"/>
      <c r="AH472" s="440">
        <v>0.22500000000000001</v>
      </c>
      <c r="AI472" s="440"/>
      <c r="AJ472" s="440"/>
      <c r="AK472" s="440"/>
      <c r="AL472" s="440"/>
      <c r="AM472" s="440">
        <v>0.15</v>
      </c>
      <c r="AN472" s="440">
        <v>0.03</v>
      </c>
      <c r="AO472" s="448">
        <v>-0.9</v>
      </c>
      <c r="AP472" s="440">
        <v>-0.9</v>
      </c>
      <c r="AQ472" s="440">
        <v>-0.9</v>
      </c>
      <c r="AR472" s="440">
        <v>-0.9</v>
      </c>
      <c r="AS472" s="440">
        <v>-0.9</v>
      </c>
      <c r="AT472" s="440">
        <v>-0.9</v>
      </c>
      <c r="AU472" s="440">
        <v>-0.9</v>
      </c>
      <c r="AV472" s="440">
        <v>-0.9</v>
      </c>
      <c r="AW472" s="440">
        <v>-0.9</v>
      </c>
      <c r="AX472" s="440">
        <v>-0.9</v>
      </c>
      <c r="AY472" s="440">
        <v>-0.9</v>
      </c>
      <c r="AZ472" s="440">
        <v>-0.9</v>
      </c>
      <c r="BA472" s="440">
        <v>-0.9</v>
      </c>
    </row>
    <row r="473" spans="1:54" s="9" customFormat="1" ht="12.75" customHeight="1">
      <c r="A473" s="366"/>
      <c r="B473" s="178" t="s">
        <v>665</v>
      </c>
      <c r="K473" s="230">
        <f>REVS!AL15</f>
        <v>259.89699999999999</v>
      </c>
      <c r="L473" s="230">
        <f>REVS!AQ15</f>
        <v>272.99900000000002</v>
      </c>
      <c r="M473" s="230">
        <f>REVS!AV15</f>
        <v>293.05799999999999</v>
      </c>
      <c r="N473" s="230">
        <f>REVS!BA15</f>
        <v>328.31200000000001</v>
      </c>
      <c r="O473" s="230"/>
      <c r="P473" s="230"/>
      <c r="Q473" s="230"/>
      <c r="R473" s="230"/>
      <c r="S473" s="230">
        <f>REVS!BF15</f>
        <v>335.53999999999996</v>
      </c>
      <c r="T473" s="230"/>
      <c r="U473" s="230"/>
      <c r="V473" s="230"/>
      <c r="W473" s="230"/>
      <c r="X473" s="230">
        <f>REVS!BK15</f>
        <v>353.78700000000003</v>
      </c>
      <c r="Y473" s="230"/>
      <c r="Z473" s="230"/>
      <c r="AA473" s="230"/>
      <c r="AB473" s="230"/>
      <c r="AC473" s="230">
        <f>REVS!BP15</f>
        <v>335.83300000000003</v>
      </c>
      <c r="AD473" s="230"/>
      <c r="AE473" s="230"/>
      <c r="AF473" s="230"/>
      <c r="AG473" s="230"/>
      <c r="AH473" s="230">
        <f>REVS!BU15</f>
        <v>310</v>
      </c>
      <c r="AI473" s="698"/>
      <c r="AJ473" s="698"/>
      <c r="AK473" s="698"/>
      <c r="AL473" s="698"/>
      <c r="AM473" s="230">
        <f>REVS!BZ15</f>
        <v>302</v>
      </c>
      <c r="AN473" s="698">
        <f>REVS!CA15</f>
        <v>71</v>
      </c>
      <c r="AO473" s="445">
        <f t="shared" ref="AO473:AP473" si="604">AO474+AO475</f>
        <v>35</v>
      </c>
      <c r="AP473" s="230">
        <f t="shared" si="604"/>
        <v>8.8857054718307182</v>
      </c>
      <c r="AQ473" s="230">
        <f>AQ474+AQ475</f>
        <v>1.6236532135663153</v>
      </c>
      <c r="AR473" s="230">
        <f t="shared" ref="AR473:BA473" si="605">AR474+AR475</f>
        <v>0.67736229057532482</v>
      </c>
      <c r="AS473" s="230">
        <f t="shared" si="605"/>
        <v>0.42850544584183875</v>
      </c>
      <c r="AT473" s="230">
        <f t="shared" si="605"/>
        <v>0.29557538204885608</v>
      </c>
      <c r="AU473" s="230">
        <f t="shared" si="605"/>
        <v>0.20659507675496788</v>
      </c>
      <c r="AV473" s="230">
        <f t="shared" si="605"/>
        <v>0.14467688581791915</v>
      </c>
      <c r="AW473" s="230">
        <f t="shared" si="605"/>
        <v>0.1013436419666164</v>
      </c>
      <c r="AX473" s="230">
        <f t="shared" si="605"/>
        <v>7.0992198332929274E-2</v>
      </c>
      <c r="AY473" s="230">
        <f t="shared" si="605"/>
        <v>4.9730980966677933E-2</v>
      </c>
      <c r="AZ473" s="230">
        <f t="shared" si="605"/>
        <v>3.4837232331220699E-2</v>
      </c>
      <c r="BA473" s="230">
        <f t="shared" si="605"/>
        <v>2.4403953371948114E-2</v>
      </c>
    </row>
    <row r="474" spans="1:54" ht="12.75" customHeight="1">
      <c r="B474" s="21" t="s">
        <v>666</v>
      </c>
      <c r="K474" s="116">
        <f>K364</f>
        <v>251.57738773482794</v>
      </c>
      <c r="L474" s="116">
        <f>L364</f>
        <v>187.72565486919152</v>
      </c>
      <c r="M474" s="116">
        <f>M364</f>
        <v>173.94529376636177</v>
      </c>
      <c r="N474" s="116">
        <f>N364</f>
        <v>168.48862238806569</v>
      </c>
      <c r="O474" s="116"/>
      <c r="P474" s="116"/>
      <c r="Q474" s="116"/>
      <c r="R474" s="116"/>
      <c r="S474" s="116">
        <f>S364</f>
        <v>50.103979577157489</v>
      </c>
      <c r="T474" s="116"/>
      <c r="U474" s="116"/>
      <c r="V474" s="116"/>
      <c r="W474" s="116"/>
      <c r="X474" s="116">
        <f>X364</f>
        <v>51.031312862463778</v>
      </c>
      <c r="Y474" s="116"/>
      <c r="Z474" s="116"/>
      <c r="AA474" s="116"/>
      <c r="AB474" s="116"/>
      <c r="AC474" s="696">
        <f>AC364</f>
        <v>42.588321263678921</v>
      </c>
      <c r="AD474" s="116"/>
      <c r="AE474" s="116"/>
      <c r="AF474" s="116"/>
      <c r="AG474" s="116"/>
      <c r="AH474" s="696">
        <f>AH364</f>
        <v>34.867592436076727</v>
      </c>
      <c r="AI474" s="696"/>
      <c r="AJ474" s="696"/>
      <c r="AK474" s="696"/>
      <c r="AL474" s="696"/>
      <c r="AM474" s="696">
        <f>AM364</f>
        <v>27.122391399488308</v>
      </c>
      <c r="AN474" s="696">
        <f>AN364</f>
        <v>19.643021716363315</v>
      </c>
      <c r="AO474" s="446">
        <v>10</v>
      </c>
      <c r="AP474" s="116">
        <f t="shared" ref="AP474:BA474" si="606">AP364</f>
        <v>1.3857054718307165</v>
      </c>
      <c r="AQ474" s="116">
        <f t="shared" si="606"/>
        <v>0.87365321356631553</v>
      </c>
      <c r="AR474" s="116">
        <f t="shared" si="606"/>
        <v>0.60236229057532487</v>
      </c>
      <c r="AS474" s="116">
        <f t="shared" si="606"/>
        <v>0.42100544584183874</v>
      </c>
      <c r="AT474" s="116">
        <f t="shared" si="606"/>
        <v>0.29482538204885611</v>
      </c>
      <c r="AU474" s="116">
        <f t="shared" si="606"/>
        <v>0.20652007675496789</v>
      </c>
      <c r="AV474" s="116">
        <f t="shared" si="606"/>
        <v>0.14466938581791916</v>
      </c>
      <c r="AW474" s="116">
        <f t="shared" si="606"/>
        <v>0.1013428919666164</v>
      </c>
      <c r="AX474" s="116">
        <f t="shared" si="606"/>
        <v>7.0992123332929272E-2</v>
      </c>
      <c r="AY474" s="116">
        <f t="shared" si="606"/>
        <v>4.973097346667793E-2</v>
      </c>
      <c r="AZ474" s="116">
        <f t="shared" si="606"/>
        <v>3.48372315812207E-2</v>
      </c>
      <c r="BA474" s="116">
        <f t="shared" si="606"/>
        <v>2.4403953296948114E-2</v>
      </c>
    </row>
    <row r="475" spans="1:54" ht="12.75" customHeight="1">
      <c r="B475" s="21" t="s">
        <v>454</v>
      </c>
      <c r="K475" s="116">
        <f>K473-K474</f>
        <v>8.3196122651720543</v>
      </c>
      <c r="L475" s="116">
        <f>L473-L474</f>
        <v>85.273345130808508</v>
      </c>
      <c r="M475" s="116">
        <f>M473-M474</f>
        <v>119.11270623363822</v>
      </c>
      <c r="N475" s="116">
        <f>N473-N474</f>
        <v>159.82337761193432</v>
      </c>
      <c r="O475" s="116"/>
      <c r="P475" s="116"/>
      <c r="Q475" s="116"/>
      <c r="R475" s="116"/>
      <c r="S475" s="116">
        <f>S473-S474</f>
        <v>285.43602042284249</v>
      </c>
      <c r="T475" s="116"/>
      <c r="U475" s="116"/>
      <c r="V475" s="116"/>
      <c r="W475" s="116"/>
      <c r="X475" s="116">
        <f>X473-X474</f>
        <v>302.75568713753626</v>
      </c>
      <c r="Y475" s="116"/>
      <c r="Z475" s="116"/>
      <c r="AA475" s="116"/>
      <c r="AB475" s="116"/>
      <c r="AC475" s="696">
        <f>AC473-AC474</f>
        <v>293.24467873632113</v>
      </c>
      <c r="AD475" s="125"/>
      <c r="AE475" s="125"/>
      <c r="AF475" s="125"/>
      <c r="AG475" s="125"/>
      <c r="AH475" s="696">
        <f>AH473-AH474</f>
        <v>275.13240756392327</v>
      </c>
      <c r="AI475" s="125"/>
      <c r="AJ475" s="125"/>
      <c r="AK475" s="125"/>
      <c r="AL475" s="125"/>
      <c r="AM475" s="696">
        <f>AM473-AM474</f>
        <v>274.87760860051168</v>
      </c>
      <c r="AN475" s="696">
        <f>AN473-AN474</f>
        <v>51.356978283636685</v>
      </c>
      <c r="AO475" s="447">
        <v>25</v>
      </c>
      <c r="AP475" s="125">
        <f>AO475*(1+AP476)</f>
        <v>7.5000000000000009</v>
      </c>
      <c r="AQ475" s="125">
        <f>AP475*(1+AQ476)</f>
        <v>0.74999999999999989</v>
      </c>
      <c r="AR475" s="125">
        <f>AQ475*(1+AR476)</f>
        <v>7.4999999999999969E-2</v>
      </c>
      <c r="AS475" s="125">
        <f t="shared" ref="AS475:BA475" si="607">AR475*(1+AS476)</f>
        <v>7.4999999999999954E-3</v>
      </c>
      <c r="AT475" s="125">
        <f t="shared" si="607"/>
        <v>7.4999999999999937E-4</v>
      </c>
      <c r="AU475" s="125">
        <f t="shared" si="607"/>
        <v>7.4999999999999926E-5</v>
      </c>
      <c r="AV475" s="125">
        <f t="shared" si="607"/>
        <v>7.4999999999999909E-6</v>
      </c>
      <c r="AW475" s="125">
        <f t="shared" si="607"/>
        <v>7.4999999999999896E-7</v>
      </c>
      <c r="AX475" s="125">
        <f t="shared" si="607"/>
        <v>7.4999999999999877E-8</v>
      </c>
      <c r="AY475" s="125">
        <f t="shared" si="607"/>
        <v>7.4999999999999861E-9</v>
      </c>
      <c r="AZ475" s="125">
        <f t="shared" si="607"/>
        <v>7.4999999999999844E-10</v>
      </c>
      <c r="BA475" s="125">
        <f t="shared" si="607"/>
        <v>7.4999999999999831E-11</v>
      </c>
    </row>
    <row r="476" spans="1:54" ht="12.75" customHeight="1">
      <c r="B476" s="274" t="s">
        <v>531</v>
      </c>
      <c r="K476" s="116"/>
      <c r="L476" s="116"/>
      <c r="M476" s="116"/>
      <c r="N476" s="116"/>
      <c r="O476" s="116"/>
      <c r="P476" s="116"/>
      <c r="Q476" s="116"/>
      <c r="R476" s="116"/>
      <c r="S476" s="31">
        <f>S475/N475-1</f>
        <v>0.78594661611962091</v>
      </c>
      <c r="T476" s="249"/>
      <c r="U476" s="249"/>
      <c r="V476" s="249"/>
      <c r="W476" s="249"/>
      <c r="X476" s="31">
        <f>X475/S475-1</f>
        <v>6.067792946747419E-2</v>
      </c>
      <c r="Y476" s="249"/>
      <c r="Z476" s="249"/>
      <c r="AA476" s="249"/>
      <c r="AB476" s="249"/>
      <c r="AC476" s="31">
        <f>AC475/X475-1</f>
        <v>-3.1414796832187841E-2</v>
      </c>
      <c r="AD476" s="440"/>
      <c r="AE476" s="440"/>
      <c r="AF476" s="440"/>
      <c r="AG476" s="440"/>
      <c r="AH476" s="31">
        <f>AH475/AC475-1</f>
        <v>-6.1765046344401053E-2</v>
      </c>
      <c r="AI476" s="440"/>
      <c r="AJ476" s="440"/>
      <c r="AK476" s="440"/>
      <c r="AL476" s="440"/>
      <c r="AM476" s="31">
        <f>AM475/AH475-1</f>
        <v>-9.2609578663460645E-4</v>
      </c>
      <c r="AN476" s="440">
        <v>-0.25</v>
      </c>
      <c r="AO476" s="448">
        <v>-0.5</v>
      </c>
      <c r="AP476" s="440">
        <v>-0.7</v>
      </c>
      <c r="AQ476" s="440">
        <v>-0.9</v>
      </c>
      <c r="AR476" s="440">
        <v>-0.9</v>
      </c>
      <c r="AS476" s="440">
        <v>-0.9</v>
      </c>
      <c r="AT476" s="440">
        <v>-0.9</v>
      </c>
      <c r="AU476" s="440">
        <v>-0.9</v>
      </c>
      <c r="AV476" s="440">
        <v>-0.9</v>
      </c>
      <c r="AW476" s="440">
        <v>-0.9</v>
      </c>
      <c r="AX476" s="440">
        <v>-0.9</v>
      </c>
      <c r="AY476" s="440">
        <v>-0.9</v>
      </c>
      <c r="AZ476" s="440">
        <v>-0.9</v>
      </c>
      <c r="BA476" s="440">
        <v>-0.9</v>
      </c>
    </row>
    <row r="477" spans="1:54" s="9" customFormat="1" ht="12.75" customHeight="1">
      <c r="A477" s="366"/>
      <c r="B477" s="178" t="s">
        <v>664</v>
      </c>
      <c r="K477" s="230">
        <f>REVS!AL16</f>
        <v>107.074</v>
      </c>
      <c r="L477" s="230">
        <f>REVS!AQ16</f>
        <v>104.749</v>
      </c>
      <c r="M477" s="230">
        <f>REVS!AV16</f>
        <v>119.39</v>
      </c>
      <c r="N477" s="230">
        <f>REVS!BA16</f>
        <v>84.813999999999993</v>
      </c>
      <c r="O477" s="230"/>
      <c r="P477" s="230"/>
      <c r="Q477" s="230"/>
      <c r="R477" s="230"/>
      <c r="S477" s="230">
        <f>REVS!BF16</f>
        <v>125.22800000000001</v>
      </c>
      <c r="T477" s="230"/>
      <c r="U477" s="230"/>
      <c r="V477" s="230"/>
      <c r="W477" s="230"/>
      <c r="X477" s="230">
        <f>REVS!BK16</f>
        <v>176.99199999999999</v>
      </c>
      <c r="Y477" s="230"/>
      <c r="Z477" s="230"/>
      <c r="AA477" s="230"/>
      <c r="AB477" s="230"/>
      <c r="AC477" s="230">
        <f>REVS!BP16</f>
        <v>237.90199999999999</v>
      </c>
      <c r="AD477" s="230"/>
      <c r="AE477" s="230"/>
      <c r="AF477" s="230"/>
      <c r="AG477" s="230"/>
      <c r="AH477" s="230">
        <f>REVS!BU16</f>
        <v>257</v>
      </c>
      <c r="AI477" s="698"/>
      <c r="AJ477" s="698"/>
      <c r="AK477" s="698"/>
      <c r="AL477" s="698"/>
      <c r="AM477" s="230">
        <f>REVS!BZ16</f>
        <v>293</v>
      </c>
      <c r="AN477" s="230">
        <f>AN478+AN479</f>
        <v>301.03242559999995</v>
      </c>
      <c r="AO477" s="445">
        <f>AO478+AO479</f>
        <v>60</v>
      </c>
      <c r="AP477" s="230">
        <f>AP478+AP479</f>
        <v>18</v>
      </c>
      <c r="AQ477" s="230">
        <f>AQ478+AQ479</f>
        <v>1.8</v>
      </c>
      <c r="AR477" s="230">
        <f t="shared" ref="AR477:BA477" si="608">AR478+AR479</f>
        <v>0.18000000000000002</v>
      </c>
      <c r="AS477" s="230">
        <f t="shared" si="608"/>
        <v>1.8000000000000002E-2</v>
      </c>
      <c r="AT477" s="230">
        <f t="shared" si="608"/>
        <v>1.8000000000000006E-3</v>
      </c>
      <c r="AU477" s="230">
        <f t="shared" si="608"/>
        <v>1.8000000000000009E-4</v>
      </c>
      <c r="AV477" s="230">
        <f t="shared" si="608"/>
        <v>1.8000000000000011E-5</v>
      </c>
      <c r="AW477" s="230">
        <f t="shared" si="608"/>
        <v>1.800000000000001E-6</v>
      </c>
      <c r="AX477" s="230">
        <f t="shared" si="608"/>
        <v>1.8000000000000013E-7</v>
      </c>
      <c r="AY477" s="230">
        <f t="shared" si="608"/>
        <v>1.8000000000000016E-8</v>
      </c>
      <c r="AZ477" s="230">
        <f t="shared" si="608"/>
        <v>1.8000000000000014E-9</v>
      </c>
      <c r="BA477" s="230">
        <f t="shared" si="608"/>
        <v>1.8000000000000015E-10</v>
      </c>
    </row>
    <row r="478" spans="1:54" ht="12.75" customHeight="1">
      <c r="B478" s="21" t="s">
        <v>666</v>
      </c>
      <c r="K478" s="116">
        <f>K477*0.95</f>
        <v>101.72029999999999</v>
      </c>
      <c r="L478" s="116">
        <f>L477*0.9</f>
        <v>94.274100000000004</v>
      </c>
      <c r="M478" s="116">
        <f>M477*0.75</f>
        <v>89.542500000000004</v>
      </c>
      <c r="N478" s="116">
        <f>N477*0.75</f>
        <v>63.610499999999995</v>
      </c>
      <c r="O478" s="116"/>
      <c r="P478" s="116"/>
      <c r="Q478" s="116"/>
      <c r="R478" s="116"/>
      <c r="S478" s="116">
        <f>S477*0.75</f>
        <v>93.921000000000006</v>
      </c>
      <c r="T478" s="116"/>
      <c r="U478" s="116"/>
      <c r="V478" s="116"/>
      <c r="W478" s="116"/>
      <c r="X478" s="116">
        <f>X477*0.75</f>
        <v>132.744</v>
      </c>
      <c r="Y478" s="116"/>
      <c r="Z478" s="116"/>
      <c r="AA478" s="116"/>
      <c r="AB478" s="116"/>
      <c r="AC478" s="125">
        <f>X478*1.1</f>
        <v>146.01840000000001</v>
      </c>
      <c r="AD478" s="125"/>
      <c r="AE478" s="125"/>
      <c r="AF478" s="125"/>
      <c r="AG478" s="125"/>
      <c r="AH478" s="125">
        <f>AC478*1.3</f>
        <v>189.82392000000002</v>
      </c>
      <c r="AI478" s="125"/>
      <c r="AJ478" s="125"/>
      <c r="AK478" s="125"/>
      <c r="AL478" s="125"/>
      <c r="AM478" s="125">
        <f>AH478*1.1</f>
        <v>208.80631200000002</v>
      </c>
      <c r="AN478" s="125">
        <v>200</v>
      </c>
      <c r="AO478" s="447">
        <f>AN478*0.25</f>
        <v>50</v>
      </c>
      <c r="AP478" s="125">
        <f>AO478*0.3</f>
        <v>15</v>
      </c>
      <c r="AQ478" s="125">
        <f>AP478*0.1</f>
        <v>1.5</v>
      </c>
      <c r="AR478" s="125">
        <f t="shared" ref="AR478:BA478" si="609">AQ478*0.1</f>
        <v>0.15000000000000002</v>
      </c>
      <c r="AS478" s="125">
        <f t="shared" si="609"/>
        <v>1.5000000000000003E-2</v>
      </c>
      <c r="AT478" s="125">
        <f t="shared" si="609"/>
        <v>1.5000000000000005E-3</v>
      </c>
      <c r="AU478" s="125">
        <f t="shared" si="609"/>
        <v>1.5000000000000007E-4</v>
      </c>
      <c r="AV478" s="125">
        <f t="shared" si="609"/>
        <v>1.5000000000000007E-5</v>
      </c>
      <c r="AW478" s="125">
        <f t="shared" si="609"/>
        <v>1.5000000000000009E-6</v>
      </c>
      <c r="AX478" s="125">
        <f t="shared" si="609"/>
        <v>1.500000000000001E-7</v>
      </c>
      <c r="AY478" s="125">
        <f t="shared" si="609"/>
        <v>1.5000000000000012E-8</v>
      </c>
      <c r="AZ478" s="125">
        <f t="shared" si="609"/>
        <v>1.5000000000000012E-9</v>
      </c>
      <c r="BA478" s="125">
        <f t="shared" si="609"/>
        <v>1.5000000000000013E-10</v>
      </c>
    </row>
    <row r="479" spans="1:54" ht="12.75" customHeight="1">
      <c r="B479" s="21" t="s">
        <v>454</v>
      </c>
      <c r="K479" s="116">
        <f>K477-K478</f>
        <v>5.3537000000000035</v>
      </c>
      <c r="L479" s="116">
        <f>L477-L478</f>
        <v>10.474899999999991</v>
      </c>
      <c r="M479" s="116">
        <f>M477-M478</f>
        <v>29.847499999999997</v>
      </c>
      <c r="N479" s="116">
        <f>N477-N478</f>
        <v>21.203499999999998</v>
      </c>
      <c r="O479" s="116"/>
      <c r="P479" s="116"/>
      <c r="Q479" s="116"/>
      <c r="R479" s="116"/>
      <c r="S479" s="116">
        <f>S477-S478</f>
        <v>31.307000000000002</v>
      </c>
      <c r="T479" s="116"/>
      <c r="U479" s="116"/>
      <c r="V479" s="116"/>
      <c r="W479" s="116"/>
      <c r="X479" s="116">
        <f>X477-X478</f>
        <v>44.24799999999999</v>
      </c>
      <c r="Y479" s="116"/>
      <c r="Z479" s="116"/>
      <c r="AA479" s="116"/>
      <c r="AB479" s="116"/>
      <c r="AC479" s="696">
        <f>AC477-AC478</f>
        <v>91.883599999999973</v>
      </c>
      <c r="AD479" s="125"/>
      <c r="AE479" s="125"/>
      <c r="AF479" s="125"/>
      <c r="AG479" s="125"/>
      <c r="AH479" s="696">
        <f>AH477-AH478</f>
        <v>67.176079999999985</v>
      </c>
      <c r="AI479" s="125"/>
      <c r="AJ479" s="125"/>
      <c r="AK479" s="125"/>
      <c r="AL479" s="125"/>
      <c r="AM479" s="696">
        <f>AM477-AM478</f>
        <v>84.19368799999998</v>
      </c>
      <c r="AN479" s="125">
        <f>AM479*1.2</f>
        <v>101.03242559999997</v>
      </c>
      <c r="AO479" s="447">
        <v>10</v>
      </c>
      <c r="AP479" s="125">
        <f>AO479*0.3</f>
        <v>3</v>
      </c>
      <c r="AQ479" s="125">
        <f>AP479*0.1</f>
        <v>0.30000000000000004</v>
      </c>
      <c r="AR479" s="125">
        <f t="shared" ref="AR479:BA479" si="610">AQ479*0.1</f>
        <v>3.0000000000000006E-2</v>
      </c>
      <c r="AS479" s="125">
        <f t="shared" si="610"/>
        <v>3.0000000000000009E-3</v>
      </c>
      <c r="AT479" s="125">
        <f t="shared" si="610"/>
        <v>3.0000000000000014E-4</v>
      </c>
      <c r="AU479" s="125">
        <f t="shared" si="610"/>
        <v>3.0000000000000014E-5</v>
      </c>
      <c r="AV479" s="125">
        <f t="shared" si="610"/>
        <v>3.0000000000000018E-6</v>
      </c>
      <c r="AW479" s="125">
        <f t="shared" si="610"/>
        <v>3.000000000000002E-7</v>
      </c>
      <c r="AX479" s="125">
        <f t="shared" si="610"/>
        <v>3.0000000000000024E-8</v>
      </c>
      <c r="AY479" s="125">
        <f t="shared" si="610"/>
        <v>3.0000000000000025E-9</v>
      </c>
      <c r="AZ479" s="125">
        <f t="shared" si="610"/>
        <v>3.0000000000000026E-10</v>
      </c>
      <c r="BA479" s="125">
        <f t="shared" si="610"/>
        <v>3.0000000000000026E-11</v>
      </c>
    </row>
    <row r="480" spans="1:54" s="9" customFormat="1" ht="12.75" customHeight="1">
      <c r="A480" s="366"/>
      <c r="B480" s="273" t="s">
        <v>661</v>
      </c>
      <c r="C480" s="11"/>
      <c r="D480" s="11"/>
      <c r="E480" s="11"/>
      <c r="F480" s="11"/>
      <c r="G480" s="11"/>
      <c r="H480" s="11"/>
      <c r="I480" s="11"/>
      <c r="J480" s="11"/>
      <c r="K480" s="244">
        <f>K477+K473+K469</f>
        <v>621.1869999999999</v>
      </c>
      <c r="L480" s="244">
        <f>L477+L473+L469</f>
        <v>667.51</v>
      </c>
      <c r="M480" s="244">
        <f>M477+M473+M469</f>
        <v>732.24</v>
      </c>
      <c r="N480" s="244">
        <f>N477+N473+N469</f>
        <v>737.86699999999996</v>
      </c>
      <c r="O480" s="244"/>
      <c r="P480" s="244"/>
      <c r="Q480" s="244"/>
      <c r="R480" s="244"/>
      <c r="S480" s="244">
        <f>S477+S473+S469</f>
        <v>848.69699999999989</v>
      </c>
      <c r="T480" s="244"/>
      <c r="U480" s="244"/>
      <c r="V480" s="244"/>
      <c r="W480" s="244"/>
      <c r="X480" s="244">
        <f>X477+X473+X469</f>
        <v>958.96900000000005</v>
      </c>
      <c r="Y480" s="244"/>
      <c r="Z480" s="244"/>
      <c r="AA480" s="244"/>
      <c r="AB480" s="244"/>
      <c r="AC480" s="244">
        <f t="shared" ref="AC480:BA480" si="611">AC477+AC473+AC469</f>
        <v>982.17518912570449</v>
      </c>
      <c r="AD480" s="244"/>
      <c r="AE480" s="244"/>
      <c r="AF480" s="244"/>
      <c r="AG480" s="244"/>
      <c r="AH480" s="244">
        <f t="shared" si="611"/>
        <v>1056.858168244697</v>
      </c>
      <c r="AI480" s="244"/>
      <c r="AJ480" s="244"/>
      <c r="AK480" s="244"/>
      <c r="AL480" s="244"/>
      <c r="AM480" s="244">
        <f t="shared" si="611"/>
        <v>1133.2262918165743</v>
      </c>
      <c r="AN480" s="244">
        <f t="shared" si="611"/>
        <v>796.16128348585517</v>
      </c>
      <c r="AO480" s="449">
        <f t="shared" si="611"/>
        <v>157.13306549907585</v>
      </c>
      <c r="AP480" s="244">
        <f t="shared" si="611"/>
        <v>38.825615762107645</v>
      </c>
      <c r="AQ480" s="244">
        <f t="shared" si="611"/>
        <v>4.6733377667514722</v>
      </c>
      <c r="AR480" s="244">
        <f t="shared" si="611"/>
        <v>0.98825091814523458</v>
      </c>
      <c r="AS480" s="244">
        <f t="shared" si="611"/>
        <v>0.46022359332461249</v>
      </c>
      <c r="AT480" s="244">
        <f t="shared" si="611"/>
        <v>0.29881408405779269</v>
      </c>
      <c r="AU480" s="244">
        <f t="shared" si="611"/>
        <v>0.20692605619570353</v>
      </c>
      <c r="AV480" s="244">
        <f t="shared" si="611"/>
        <v>0.14471073935272294</v>
      </c>
      <c r="AW480" s="244">
        <f t="shared" si="611"/>
        <v>0.10134710762349708</v>
      </c>
      <c r="AX480" s="244">
        <f t="shared" si="611"/>
        <v>7.0992553432865466E-2</v>
      </c>
      <c r="AY480" s="244">
        <f t="shared" si="611"/>
        <v>4.9731017383616162E-2</v>
      </c>
      <c r="AZ480" s="244">
        <f t="shared" si="611"/>
        <v>3.483723606929312E-2</v>
      </c>
      <c r="BA480" s="244">
        <f t="shared" si="611"/>
        <v>2.4403953755996889E-2</v>
      </c>
    </row>
    <row r="481" spans="1:53" ht="12.75" customHeight="1">
      <c r="B481" s="21" t="s">
        <v>667</v>
      </c>
      <c r="K481" s="72">
        <f>(K475+K471+K479)/K480</f>
        <v>3.838128013814214E-2</v>
      </c>
      <c r="L481" s="72">
        <f>(L475+L471+L479)/L480</f>
        <v>0.25198974564391918</v>
      </c>
      <c r="M481" s="72">
        <f>(M475+M471+M479)/M480</f>
        <v>0.35630186489859644</v>
      </c>
      <c r="N481" s="72">
        <f>(N475+N471+N479)/N480</f>
        <v>0.44338658269299802</v>
      </c>
      <c r="O481" s="72"/>
      <c r="P481" s="72"/>
      <c r="Q481" s="72"/>
      <c r="R481" s="72"/>
      <c r="S481" s="72">
        <f>(S475+S471+S479)/S480</f>
        <v>0.68463184910133679</v>
      </c>
      <c r="T481" s="72"/>
      <c r="U481" s="72"/>
      <c r="V481" s="72"/>
      <c r="W481" s="72"/>
      <c r="X481" s="72">
        <f>(X475+X471+X479)/X480</f>
        <v>0.69071206475829094</v>
      </c>
      <c r="Y481" s="72"/>
      <c r="Z481" s="72"/>
      <c r="AA481" s="72"/>
      <c r="AB481" s="72"/>
      <c r="AC481" s="72">
        <f>(AC475+AC471+AC479)/AC480</f>
        <v>0.72284159752264276</v>
      </c>
      <c r="AD481" s="72"/>
      <c r="AE481" s="72"/>
      <c r="AF481" s="72"/>
      <c r="AG481" s="72"/>
      <c r="AH481" s="72">
        <f>(AH475+AH471+AH479)/AH480</f>
        <v>0.70040029469222576</v>
      </c>
      <c r="AI481" s="72"/>
      <c r="AJ481" s="72"/>
      <c r="AK481" s="72"/>
      <c r="AL481" s="72"/>
      <c r="AM481" s="72">
        <f>(AM475+AM471+AM479)/AM480</f>
        <v>0.7206626603697176</v>
      </c>
      <c r="AN481" s="72">
        <f>(AN475+AN471+AN479)/AN480</f>
        <v>0.59500514368180979</v>
      </c>
      <c r="AO481" s="450">
        <f>(AO475+AO471+AO479)/AO480</f>
        <v>0.42723703814885916</v>
      </c>
      <c r="AP481" s="72">
        <f>(AP475+AP471+AP479)/AP480</f>
        <v>0.35320255147868801</v>
      </c>
      <c r="AQ481" s="72">
        <f>(AQ475+AQ471+AQ479)/AQ480</f>
        <v>0.29343709430700898</v>
      </c>
      <c r="AR481" s="72">
        <f t="shared" ref="AR481:BA481" si="612">(AR475+AR471+AR479)/AR480</f>
        <v>0.13876340813975602</v>
      </c>
      <c r="AS481" s="72">
        <f t="shared" si="612"/>
        <v>2.9797052451926521E-2</v>
      </c>
      <c r="AT481" s="72">
        <f t="shared" si="612"/>
        <v>4.5892437075540689E-3</v>
      </c>
      <c r="AU481" s="72">
        <f t="shared" si="612"/>
        <v>6.627153100979223E-4</v>
      </c>
      <c r="AV481" s="72">
        <f t="shared" si="612"/>
        <v>9.4763571876184578E-5</v>
      </c>
      <c r="AW481" s="72">
        <f t="shared" si="612"/>
        <v>1.3531029026355927E-5</v>
      </c>
      <c r="AX481" s="72">
        <f t="shared" si="612"/>
        <v>1.9316542210128617E-6</v>
      </c>
      <c r="AY481" s="72">
        <f t="shared" si="612"/>
        <v>2.7574956780243559E-7</v>
      </c>
      <c r="AZ481" s="72">
        <f t="shared" si="612"/>
        <v>3.9363933816767397E-8</v>
      </c>
      <c r="BA481" s="72">
        <f t="shared" si="612"/>
        <v>5.6192970561328537E-9</v>
      </c>
    </row>
    <row r="482" spans="1:53" ht="12.75" customHeight="1"/>
    <row r="483" spans="1:53" ht="12.75" customHeight="1"/>
    <row r="484" spans="1:53" ht="12.75" customHeight="1"/>
    <row r="485" spans="1:53" ht="12.75" customHeight="1"/>
    <row r="486" spans="1:53" ht="12.75" customHeight="1"/>
    <row r="487" spans="1:53" ht="12.75" customHeight="1"/>
    <row r="488" spans="1:53" ht="12.75" customHeight="1"/>
    <row r="489" spans="1:53" ht="12.75" customHeight="1"/>
    <row r="490" spans="1:53" ht="12.75" customHeight="1"/>
    <row r="491" spans="1:53" ht="12.75" customHeight="1">
      <c r="A491" s="1"/>
      <c r="B491" s="1"/>
    </row>
    <row r="492" spans="1:53" ht="12.75" customHeight="1">
      <c r="A492" s="1"/>
      <c r="B492" s="1"/>
    </row>
    <row r="493" spans="1:53" ht="12.75" customHeight="1">
      <c r="A493" s="1"/>
      <c r="B493" s="1"/>
    </row>
    <row r="494" spans="1:53" ht="12.75" customHeight="1">
      <c r="A494" s="1"/>
      <c r="B494" s="1"/>
    </row>
    <row r="495" spans="1:53" ht="12.75" customHeight="1">
      <c r="A495" s="1"/>
      <c r="B495" s="1"/>
    </row>
    <row r="496" spans="1:53" ht="12.75" customHeight="1">
      <c r="A496" s="1"/>
      <c r="B496" s="1"/>
    </row>
    <row r="497" spans="1:2" ht="12.75" customHeight="1">
      <c r="A497" s="1"/>
      <c r="B497" s="1"/>
    </row>
    <row r="498" spans="1:2" ht="12.75" customHeight="1">
      <c r="A498" s="1"/>
      <c r="B498" s="1"/>
    </row>
    <row r="499" spans="1:2" ht="12.75" customHeight="1">
      <c r="A499" s="1"/>
      <c r="B499" s="1"/>
    </row>
    <row r="500" spans="1:2" ht="12.75" customHeight="1">
      <c r="A500" s="1"/>
      <c r="B500" s="1"/>
    </row>
    <row r="501" spans="1:2" ht="12.75" customHeight="1">
      <c r="A501" s="1"/>
      <c r="B501" s="1"/>
    </row>
    <row r="502" spans="1:2" ht="12.75" customHeight="1">
      <c r="A502" s="1"/>
      <c r="B502" s="1"/>
    </row>
    <row r="503" spans="1:2" ht="12.75" customHeight="1">
      <c r="A503" s="1"/>
      <c r="B503" s="1"/>
    </row>
    <row r="504" spans="1:2" ht="12.75" customHeight="1">
      <c r="A504" s="1"/>
      <c r="B504" s="1"/>
    </row>
    <row r="505" spans="1:2" ht="12.75" customHeight="1">
      <c r="A505" s="1"/>
      <c r="B505" s="1"/>
    </row>
    <row r="506" spans="1:2" ht="12.75" customHeight="1">
      <c r="A506" s="1"/>
      <c r="B506" s="1"/>
    </row>
    <row r="507" spans="1:2" ht="12.75" customHeight="1">
      <c r="A507" s="1"/>
      <c r="B507" s="1"/>
    </row>
    <row r="508" spans="1:2" ht="12.75" customHeight="1">
      <c r="A508" s="1"/>
      <c r="B508" s="1"/>
    </row>
    <row r="509" spans="1:2" ht="12.75" customHeight="1">
      <c r="A509" s="1"/>
      <c r="B509" s="1"/>
    </row>
    <row r="510" spans="1:2" ht="12.75" customHeight="1">
      <c r="A510" s="1"/>
      <c r="B510" s="1"/>
    </row>
    <row r="511" spans="1:2" ht="12.75" customHeight="1">
      <c r="A511" s="1"/>
      <c r="B511" s="1"/>
    </row>
    <row r="512" spans="1:2" ht="12.75" customHeight="1">
      <c r="A512" s="1"/>
      <c r="B512" s="1"/>
    </row>
    <row r="513" spans="1:2" ht="12.75" customHeight="1">
      <c r="A513" s="1"/>
      <c r="B513" s="1"/>
    </row>
    <row r="514" spans="1:2" ht="12.75" customHeight="1">
      <c r="A514" s="1"/>
      <c r="B514" s="1"/>
    </row>
    <row r="515" spans="1:2" ht="12.75" customHeight="1">
      <c r="A515" s="1"/>
      <c r="B515" s="1"/>
    </row>
    <row r="516" spans="1:2" ht="12.75" customHeight="1">
      <c r="A516" s="1"/>
      <c r="B516" s="1"/>
    </row>
    <row r="517" spans="1:2" ht="12.75" customHeight="1">
      <c r="A517" s="1"/>
      <c r="B517" s="1"/>
    </row>
    <row r="518" spans="1:2" ht="12.75" customHeight="1">
      <c r="A518" s="1"/>
      <c r="B518" s="1"/>
    </row>
    <row r="519" spans="1:2" ht="12.75" customHeight="1">
      <c r="A519" s="1"/>
      <c r="B519" s="1"/>
    </row>
    <row r="520" spans="1:2" ht="12.75" customHeight="1">
      <c r="A520" s="1"/>
      <c r="B520" s="1"/>
    </row>
    <row r="521" spans="1:2" ht="12.75" customHeight="1">
      <c r="A521" s="1"/>
      <c r="B521" s="1"/>
    </row>
    <row r="522" spans="1:2" ht="12.75" customHeight="1">
      <c r="A522" s="1"/>
      <c r="B522" s="1"/>
    </row>
    <row r="523" spans="1:2" ht="12.75" customHeight="1">
      <c r="A523" s="1"/>
      <c r="B523" s="1"/>
    </row>
    <row r="524" spans="1:2" ht="12.75" customHeight="1">
      <c r="A524" s="1"/>
      <c r="B524" s="1"/>
    </row>
    <row r="525" spans="1:2" ht="12.75" customHeight="1">
      <c r="A525" s="1"/>
      <c r="B525" s="1"/>
    </row>
    <row r="526" spans="1:2" ht="12.75" customHeight="1">
      <c r="A526" s="1"/>
      <c r="B526" s="1"/>
    </row>
    <row r="527" spans="1:2" ht="12.75" customHeight="1">
      <c r="A527" s="1"/>
      <c r="B527" s="1"/>
    </row>
    <row r="528" spans="1:2" ht="12.75" customHeight="1">
      <c r="A528" s="1"/>
      <c r="B528" s="1"/>
    </row>
    <row r="529" spans="1:2" ht="12.75" customHeight="1">
      <c r="A529" s="1"/>
      <c r="B529" s="1"/>
    </row>
    <row r="530" spans="1:2" ht="12.75" customHeight="1">
      <c r="A530" s="1"/>
      <c r="B530" s="1"/>
    </row>
    <row r="531" spans="1:2" ht="12.75" customHeight="1">
      <c r="A531" s="1"/>
      <c r="B531" s="1"/>
    </row>
    <row r="532" spans="1:2" ht="12.75" customHeight="1">
      <c r="A532" s="1"/>
      <c r="B532" s="1"/>
    </row>
    <row r="533" spans="1:2" ht="12.75" customHeight="1">
      <c r="A533" s="1"/>
      <c r="B533" s="1"/>
    </row>
    <row r="534" spans="1:2" ht="12.75" customHeight="1">
      <c r="A534" s="1"/>
      <c r="B534" s="1"/>
    </row>
    <row r="535" spans="1:2" ht="12.75" customHeight="1">
      <c r="A535" s="1"/>
      <c r="B535" s="1"/>
    </row>
    <row r="536" spans="1:2" ht="12.75" customHeight="1">
      <c r="A536" s="1"/>
      <c r="B536" s="1"/>
    </row>
    <row r="537" spans="1:2" ht="12.75" customHeight="1">
      <c r="A537" s="1"/>
      <c r="B537" s="1"/>
    </row>
    <row r="538" spans="1:2" ht="12.75" customHeight="1">
      <c r="A538" s="1"/>
      <c r="B538" s="1"/>
    </row>
    <row r="539" spans="1:2" ht="12.75" customHeight="1">
      <c r="A539" s="1"/>
      <c r="B539" s="1"/>
    </row>
    <row r="540" spans="1:2" ht="12.75" customHeight="1">
      <c r="A540" s="1"/>
      <c r="B540" s="1"/>
    </row>
    <row r="541" spans="1:2" ht="12.75" customHeight="1">
      <c r="A541" s="1"/>
      <c r="B541" s="1"/>
    </row>
    <row r="542" spans="1:2" ht="12.75" customHeight="1">
      <c r="A542" s="1"/>
      <c r="B542" s="1"/>
    </row>
    <row r="543" spans="1:2" ht="12.75" customHeight="1">
      <c r="A543" s="1"/>
      <c r="B543" s="1"/>
    </row>
    <row r="544" spans="1:2" ht="12.75" customHeight="1">
      <c r="A544" s="1"/>
      <c r="B544" s="1"/>
    </row>
    <row r="545" spans="1:2" ht="12.75" customHeight="1">
      <c r="A545" s="1"/>
      <c r="B545" s="1"/>
    </row>
    <row r="546" spans="1:2" ht="12.75" customHeight="1">
      <c r="A546" s="1"/>
      <c r="B546" s="1"/>
    </row>
    <row r="547" spans="1:2" ht="12.75" customHeight="1">
      <c r="A547" s="1"/>
      <c r="B547" s="1"/>
    </row>
    <row r="548" spans="1:2" ht="12.75" customHeight="1">
      <c r="A548" s="1"/>
      <c r="B548" s="1"/>
    </row>
    <row r="549" spans="1:2" ht="12.75" customHeight="1">
      <c r="A549" s="1"/>
      <c r="B549" s="1"/>
    </row>
    <row r="550" spans="1:2" ht="12.75" customHeight="1">
      <c r="A550" s="1"/>
      <c r="B550" s="1"/>
    </row>
    <row r="551" spans="1:2" ht="12.75" customHeight="1">
      <c r="A551" s="1"/>
      <c r="B551" s="1"/>
    </row>
    <row r="552" spans="1:2" ht="12.75" customHeight="1">
      <c r="A552" s="1"/>
      <c r="B552" s="1"/>
    </row>
    <row r="553" spans="1:2" ht="12.75" customHeight="1">
      <c r="A553" s="1"/>
      <c r="B553" s="1"/>
    </row>
    <row r="554" spans="1:2" ht="12.75" customHeight="1">
      <c r="A554" s="1"/>
      <c r="B554" s="1"/>
    </row>
    <row r="555" spans="1:2" ht="12.75" customHeight="1">
      <c r="A555" s="1"/>
      <c r="B555" s="1"/>
    </row>
    <row r="556" spans="1:2" ht="12.75" customHeight="1">
      <c r="A556" s="1"/>
      <c r="B556" s="1"/>
    </row>
    <row r="557" spans="1:2" ht="12.75" customHeight="1">
      <c r="A557" s="1"/>
      <c r="B557" s="1"/>
    </row>
    <row r="558" spans="1:2" ht="12.75" customHeight="1">
      <c r="A558" s="1"/>
      <c r="B558" s="1"/>
    </row>
    <row r="559" spans="1:2" ht="12.75" customHeight="1">
      <c r="A559" s="1"/>
      <c r="B559" s="1"/>
    </row>
    <row r="560" spans="1:2" ht="12.75" customHeight="1">
      <c r="A560" s="1"/>
      <c r="B560" s="1"/>
    </row>
    <row r="561" spans="1:2" ht="12.75" customHeight="1">
      <c r="A561" s="1"/>
      <c r="B561" s="1"/>
    </row>
    <row r="562" spans="1:2" ht="12.75" customHeight="1">
      <c r="A562" s="1"/>
      <c r="B562" s="1"/>
    </row>
    <row r="563" spans="1:2" ht="12.75" customHeight="1">
      <c r="A563" s="1"/>
      <c r="B563" s="1"/>
    </row>
    <row r="564" spans="1:2" ht="12.75" customHeight="1">
      <c r="A564" s="1"/>
      <c r="B564" s="1"/>
    </row>
    <row r="565" spans="1:2" ht="12.75" customHeight="1">
      <c r="A565" s="1"/>
      <c r="B565" s="1"/>
    </row>
    <row r="566" spans="1:2" ht="12.75" customHeight="1">
      <c r="A566" s="1"/>
      <c r="B566" s="1"/>
    </row>
    <row r="567" spans="1:2" ht="12.75" customHeight="1">
      <c r="A567" s="1"/>
      <c r="B567" s="1"/>
    </row>
    <row r="568" spans="1:2" ht="12.75" customHeight="1">
      <c r="A568" s="1"/>
      <c r="B568" s="1"/>
    </row>
    <row r="569" spans="1:2" ht="12.75" customHeight="1">
      <c r="A569" s="1"/>
      <c r="B569" s="1"/>
    </row>
    <row r="570" spans="1:2" ht="12.75" customHeight="1">
      <c r="A570" s="1"/>
      <c r="B570" s="1"/>
    </row>
    <row r="571" spans="1:2" ht="12.75" customHeight="1">
      <c r="A571" s="1"/>
      <c r="B571" s="1"/>
    </row>
    <row r="572" spans="1:2" ht="12.75" customHeight="1">
      <c r="A572" s="1"/>
      <c r="B572" s="1"/>
    </row>
    <row r="573" spans="1:2" ht="12.75" customHeight="1">
      <c r="A573" s="1"/>
      <c r="B573" s="1"/>
    </row>
    <row r="574" spans="1:2" ht="12.75" customHeight="1">
      <c r="A574" s="1"/>
      <c r="B574" s="1"/>
    </row>
    <row r="575" spans="1:2" ht="12.75" customHeight="1">
      <c r="A575" s="1"/>
      <c r="B575" s="1"/>
    </row>
    <row r="576" spans="1:2" ht="12.75" customHeight="1">
      <c r="A576" s="1"/>
      <c r="B576" s="1"/>
    </row>
    <row r="577" spans="1:2" ht="12.75" customHeight="1">
      <c r="A577" s="1"/>
      <c r="B577" s="1"/>
    </row>
    <row r="578" spans="1:2" ht="12.75" customHeight="1">
      <c r="A578" s="1"/>
      <c r="B578" s="1"/>
    </row>
    <row r="579" spans="1:2" ht="12.75" customHeight="1">
      <c r="A579" s="1"/>
      <c r="B579" s="1"/>
    </row>
    <row r="580" spans="1:2" ht="12.75" customHeight="1">
      <c r="A580" s="1"/>
      <c r="B580" s="1"/>
    </row>
    <row r="581" spans="1:2" ht="12.75" customHeight="1">
      <c r="A581" s="1"/>
      <c r="B581" s="1"/>
    </row>
    <row r="582" spans="1:2" ht="12.75" customHeight="1">
      <c r="A582" s="1"/>
      <c r="B582" s="1"/>
    </row>
    <row r="583" spans="1:2" ht="12.75" customHeight="1">
      <c r="A583" s="1"/>
      <c r="B583" s="1"/>
    </row>
    <row r="584" spans="1:2" ht="12.75" customHeight="1">
      <c r="A584" s="1"/>
      <c r="B584" s="1"/>
    </row>
    <row r="585" spans="1:2" ht="12.75" customHeight="1">
      <c r="A585" s="1"/>
      <c r="B585" s="1"/>
    </row>
    <row r="586" spans="1:2" ht="12.75" customHeight="1">
      <c r="A586" s="1"/>
      <c r="B586" s="1"/>
    </row>
    <row r="587" spans="1:2" ht="12.75" customHeight="1">
      <c r="A587" s="1"/>
      <c r="B587" s="1"/>
    </row>
    <row r="588" spans="1:2" ht="12.75" customHeight="1">
      <c r="A588" s="1"/>
      <c r="B588" s="1"/>
    </row>
    <row r="589" spans="1:2" ht="12.75" customHeight="1">
      <c r="A589" s="1"/>
      <c r="B589" s="1"/>
    </row>
    <row r="590" spans="1:2" ht="12.75" customHeight="1">
      <c r="A590" s="1"/>
      <c r="B590" s="1"/>
    </row>
    <row r="591" spans="1:2" ht="12.75" customHeight="1">
      <c r="A591" s="1"/>
      <c r="B591" s="1"/>
    </row>
    <row r="592" spans="1:2" ht="12.75" customHeight="1">
      <c r="A592" s="1"/>
      <c r="B592" s="1"/>
    </row>
    <row r="593" spans="1:2" ht="12.75" customHeight="1">
      <c r="A593" s="1"/>
      <c r="B593" s="1"/>
    </row>
    <row r="594" spans="1:2" ht="12.75" customHeight="1">
      <c r="A594" s="1"/>
      <c r="B594" s="1"/>
    </row>
    <row r="595" spans="1:2" ht="12.75" customHeight="1">
      <c r="A595" s="1"/>
      <c r="B595" s="1"/>
    </row>
    <row r="596" spans="1:2" ht="12.75" customHeight="1">
      <c r="A596" s="1"/>
      <c r="B596" s="1"/>
    </row>
    <row r="597" spans="1:2" ht="12.75" customHeight="1">
      <c r="A597" s="1"/>
      <c r="B597" s="1"/>
    </row>
    <row r="598" spans="1:2" ht="12.75" customHeight="1">
      <c r="A598" s="1"/>
      <c r="B598" s="1"/>
    </row>
    <row r="599" spans="1:2" ht="12.75" customHeight="1">
      <c r="A599" s="1"/>
      <c r="B599" s="1"/>
    </row>
    <row r="600" spans="1:2" ht="12.75" customHeight="1">
      <c r="A600" s="1"/>
      <c r="B600" s="1"/>
    </row>
    <row r="601" spans="1:2" ht="12.75" customHeight="1">
      <c r="A601" s="1"/>
      <c r="B601" s="1"/>
    </row>
    <row r="602" spans="1:2" ht="12.75" customHeight="1">
      <c r="A602" s="1"/>
      <c r="B602" s="1"/>
    </row>
    <row r="603" spans="1:2" ht="12.75" customHeight="1">
      <c r="A603" s="1"/>
      <c r="B603" s="1"/>
    </row>
    <row r="604" spans="1:2" ht="12.75" customHeight="1">
      <c r="A604" s="1"/>
      <c r="B604" s="1"/>
    </row>
    <row r="605" spans="1:2" ht="12.75" customHeight="1">
      <c r="A605" s="1"/>
      <c r="B605" s="1"/>
    </row>
    <row r="606" spans="1:2" ht="12.75" customHeight="1">
      <c r="A606" s="1"/>
      <c r="B606" s="1"/>
    </row>
    <row r="607" spans="1:2" ht="12.75" customHeight="1">
      <c r="A607" s="1"/>
      <c r="B607" s="1"/>
    </row>
    <row r="608" spans="1:2" ht="12.75" customHeight="1">
      <c r="A608" s="1"/>
      <c r="B608" s="1"/>
    </row>
    <row r="609" spans="1:91" ht="12.75" customHeight="1">
      <c r="A609" s="1"/>
      <c r="B609" s="1"/>
    </row>
    <row r="610" spans="1:91" ht="12.75" customHeight="1">
      <c r="A610" s="1"/>
      <c r="B610" s="1"/>
    </row>
    <row r="611" spans="1:91" ht="12.75" customHeight="1">
      <c r="A611" s="1"/>
      <c r="B611" s="1"/>
    </row>
    <row r="612" spans="1:91" ht="12.75" customHeight="1">
      <c r="A612" s="1"/>
      <c r="B612" s="1"/>
    </row>
    <row r="613" spans="1:91" ht="12.75" customHeight="1">
      <c r="A613" s="1"/>
      <c r="B613" s="1"/>
    </row>
    <row r="614" spans="1:91" ht="12.75" customHeight="1">
      <c r="A614" s="1"/>
      <c r="B614" s="1"/>
    </row>
    <row r="615" spans="1:91" ht="12.75" customHeight="1">
      <c r="A615" s="1"/>
      <c r="B615" s="1"/>
    </row>
    <row r="616" spans="1:91" ht="12.75" customHeight="1">
      <c r="A616" s="1"/>
      <c r="B616" s="1"/>
    </row>
    <row r="617" spans="1:91" ht="12.75" customHeight="1">
      <c r="A617" s="1"/>
      <c r="B617" s="1"/>
    </row>
    <row r="618" spans="1:91" ht="12.75" customHeight="1">
      <c r="A618" s="1"/>
      <c r="B618" s="1"/>
    </row>
    <row r="619" spans="1:91" ht="12.75" customHeight="1">
      <c r="A619" s="1"/>
      <c r="B619" s="1"/>
    </row>
    <row r="620" spans="1:91" ht="12.75" customHeight="1">
      <c r="A620" s="1"/>
      <c r="B620" s="1"/>
    </row>
    <row r="621" spans="1:91" ht="12.75" customHeight="1">
      <c r="A621" s="1"/>
      <c r="B621" s="1"/>
    </row>
    <row r="622" spans="1:91" ht="12.75" customHeight="1">
      <c r="A622" s="1"/>
      <c r="B622" s="1"/>
    </row>
    <row r="623" spans="1:91" ht="12.75" customHeight="1">
      <c r="A623" s="1"/>
      <c r="B623" s="1"/>
      <c r="N623" s="133"/>
      <c r="O623" s="133"/>
      <c r="P623" s="133"/>
      <c r="Q623" s="133"/>
      <c r="R623" s="133"/>
      <c r="S623" s="77"/>
      <c r="T623" s="77"/>
      <c r="U623" s="77"/>
      <c r="V623" s="77"/>
      <c r="W623" s="77"/>
      <c r="X623" s="77"/>
      <c r="Y623" s="77"/>
      <c r="Z623" s="77"/>
      <c r="AA623" s="77"/>
      <c r="AB623" s="77"/>
      <c r="AC623" s="77"/>
      <c r="AD623" s="77"/>
      <c r="AE623" s="77"/>
      <c r="AF623" s="77"/>
      <c r="AG623" s="77"/>
      <c r="AH623" s="77"/>
      <c r="AI623" s="694"/>
      <c r="AJ623" s="694"/>
      <c r="AK623" s="694"/>
      <c r="AL623" s="694"/>
      <c r="AM623" s="77"/>
      <c r="AN623" s="77"/>
      <c r="AO623" s="77"/>
      <c r="AP623" s="77"/>
      <c r="AQ623" s="77"/>
      <c r="AR623" s="77"/>
      <c r="AS623" s="77"/>
      <c r="AT623" s="77"/>
      <c r="AU623" s="77"/>
      <c r="AV623" s="77"/>
      <c r="AW623" s="77"/>
      <c r="AX623" s="77"/>
      <c r="AY623" s="77"/>
      <c r="AZ623" s="77"/>
      <c r="BA623" s="77"/>
      <c r="BB623" s="77"/>
    </row>
    <row r="624" spans="1:91" ht="12.75" customHeight="1">
      <c r="A624" s="1"/>
      <c r="B624" s="1"/>
      <c r="N624" s="133"/>
      <c r="O624" s="133"/>
      <c r="P624" s="133"/>
      <c r="Q624" s="133"/>
      <c r="R624" s="133"/>
      <c r="S624" s="77"/>
      <c r="T624" s="77"/>
      <c r="U624" s="77"/>
      <c r="V624" s="77"/>
      <c r="W624" s="77"/>
      <c r="X624" s="77"/>
      <c r="Y624" s="77"/>
      <c r="Z624" s="77"/>
      <c r="AA624" s="77"/>
      <c r="AB624" s="77"/>
      <c r="AC624" s="77"/>
      <c r="AD624" s="77"/>
      <c r="AE624" s="77"/>
      <c r="AF624" s="77"/>
      <c r="AG624" s="77"/>
      <c r="AH624" s="77"/>
      <c r="AI624" s="694"/>
      <c r="AJ624" s="694"/>
      <c r="AK624" s="694"/>
      <c r="AL624" s="694"/>
      <c r="AM624" s="77"/>
      <c r="AN624" s="77"/>
      <c r="AO624" s="77"/>
      <c r="AP624" s="77"/>
      <c r="AQ624" s="77"/>
      <c r="AR624" s="77"/>
      <c r="AS624" s="77"/>
      <c r="AT624" s="77"/>
      <c r="AU624" s="77"/>
      <c r="AV624" s="77"/>
      <c r="AW624" s="77"/>
      <c r="AX624" s="77"/>
      <c r="AY624" s="77"/>
      <c r="AZ624" s="77"/>
      <c r="BA624" s="77"/>
      <c r="BB624" s="77"/>
      <c r="CJ624" s="2"/>
      <c r="CK624" s="2"/>
      <c r="CL624" s="2"/>
      <c r="CM624" s="2"/>
    </row>
    <row r="625" spans="1:91" ht="12.75" customHeight="1">
      <c r="A625" s="1"/>
      <c r="B625" s="1"/>
      <c r="N625" s="133"/>
      <c r="O625" s="133"/>
      <c r="P625" s="133"/>
      <c r="Q625" s="133"/>
      <c r="R625" s="133"/>
      <c r="S625" s="77"/>
      <c r="T625" s="77"/>
      <c r="U625" s="77"/>
      <c r="V625" s="77"/>
      <c r="W625" s="77"/>
      <c r="X625" s="77"/>
      <c r="Y625" s="77"/>
      <c r="Z625" s="77"/>
      <c r="AA625" s="77"/>
      <c r="AB625" s="77"/>
      <c r="AC625" s="77"/>
      <c r="AD625" s="77"/>
      <c r="AE625" s="77"/>
      <c r="AF625" s="77"/>
      <c r="AG625" s="77"/>
      <c r="AH625" s="77"/>
      <c r="AI625" s="694"/>
      <c r="AJ625" s="694"/>
      <c r="AK625" s="694"/>
      <c r="AL625" s="694"/>
      <c r="AM625" s="77"/>
      <c r="AN625" s="77"/>
      <c r="AO625" s="77"/>
      <c r="AP625" s="77"/>
      <c r="AQ625" s="77"/>
      <c r="AR625" s="77"/>
      <c r="AS625" s="77"/>
      <c r="AT625" s="77"/>
      <c r="AU625" s="77"/>
      <c r="AV625" s="77"/>
      <c r="AW625" s="77"/>
      <c r="AX625" s="77"/>
      <c r="AY625" s="77"/>
      <c r="AZ625" s="77"/>
      <c r="BA625" s="77"/>
      <c r="BB625" s="77"/>
      <c r="CJ625" s="2"/>
      <c r="CK625" s="2"/>
      <c r="CL625" s="2"/>
      <c r="CM625" s="2"/>
    </row>
    <row r="626" spans="1:91" ht="12.75" customHeight="1">
      <c r="A626" s="1"/>
      <c r="B626" s="1"/>
      <c r="N626" s="133"/>
      <c r="O626" s="133"/>
      <c r="P626" s="133"/>
      <c r="Q626" s="133"/>
      <c r="R626" s="133"/>
      <c r="S626" s="77"/>
      <c r="T626" s="77"/>
      <c r="U626" s="77"/>
      <c r="V626" s="77"/>
      <c r="W626" s="77"/>
      <c r="X626" s="77"/>
      <c r="Y626" s="77"/>
      <c r="Z626" s="77"/>
      <c r="AA626" s="77"/>
      <c r="AB626" s="77"/>
      <c r="AC626" s="77"/>
      <c r="AD626" s="77"/>
      <c r="AE626" s="77"/>
      <c r="AF626" s="77"/>
      <c r="AG626" s="77"/>
      <c r="AH626" s="77"/>
      <c r="AI626" s="694"/>
      <c r="AJ626" s="694"/>
      <c r="AK626" s="694"/>
      <c r="AL626" s="694"/>
      <c r="AM626" s="77"/>
      <c r="AN626" s="77"/>
      <c r="AO626" s="77"/>
      <c r="AP626" s="77"/>
      <c r="AQ626" s="77"/>
      <c r="AR626" s="77"/>
      <c r="AS626" s="77"/>
      <c r="AT626" s="77"/>
      <c r="AU626" s="77"/>
      <c r="AV626" s="77"/>
      <c r="AW626" s="77"/>
      <c r="AX626" s="77"/>
      <c r="AY626" s="77"/>
      <c r="AZ626" s="77"/>
      <c r="BA626" s="77"/>
      <c r="BB626" s="77"/>
      <c r="CJ626" s="2"/>
      <c r="CK626" s="2"/>
      <c r="CL626" s="2"/>
      <c r="CM626" s="2"/>
    </row>
    <row r="627" spans="1:91" ht="12.75" customHeight="1">
      <c r="A627" s="1"/>
      <c r="B627" s="1"/>
      <c r="S627" s="77"/>
      <c r="T627" s="77"/>
      <c r="U627" s="77"/>
      <c r="V627" s="77"/>
      <c r="W627" s="77"/>
      <c r="X627" s="77"/>
      <c r="Y627" s="77"/>
      <c r="Z627" s="77"/>
      <c r="AA627" s="77"/>
      <c r="AB627" s="77"/>
      <c r="AC627" s="77"/>
      <c r="AD627" s="77"/>
      <c r="AE627" s="77"/>
      <c r="AF627" s="77"/>
      <c r="AG627" s="77"/>
      <c r="AH627" s="77"/>
      <c r="AI627" s="694"/>
      <c r="AJ627" s="694"/>
      <c r="AK627" s="694"/>
      <c r="AL627" s="694"/>
      <c r="AM627" s="77"/>
      <c r="AN627" s="77"/>
      <c r="AO627" s="77"/>
      <c r="AP627" s="77"/>
      <c r="AQ627" s="77"/>
      <c r="AR627" s="77"/>
      <c r="AS627" s="77"/>
      <c r="AT627" s="77"/>
      <c r="AU627" s="77"/>
      <c r="AV627" s="77"/>
      <c r="AW627" s="77"/>
      <c r="AX627" s="77"/>
      <c r="AY627" s="77"/>
      <c r="AZ627" s="77"/>
      <c r="BA627" s="77"/>
      <c r="BB627" s="77"/>
      <c r="CJ627" s="2"/>
      <c r="CK627" s="2"/>
      <c r="CL627" s="2"/>
      <c r="CM627" s="2"/>
    </row>
    <row r="628" spans="1:91" ht="12.75" customHeight="1">
      <c r="A628" s="1"/>
      <c r="B628" s="1"/>
      <c r="S628" s="77"/>
      <c r="T628" s="77"/>
      <c r="U628" s="77"/>
      <c r="V628" s="77"/>
      <c r="W628" s="77"/>
      <c r="X628" s="77"/>
      <c r="Y628" s="77"/>
      <c r="Z628" s="77"/>
      <c r="AA628" s="77"/>
      <c r="AB628" s="77"/>
      <c r="AC628" s="77"/>
      <c r="AD628" s="77"/>
      <c r="AE628" s="77"/>
      <c r="AF628" s="77"/>
      <c r="AG628" s="77"/>
      <c r="AH628" s="77"/>
      <c r="AI628" s="694"/>
      <c r="AJ628" s="694"/>
      <c r="AK628" s="694"/>
      <c r="AL628" s="694"/>
      <c r="AM628" s="77"/>
      <c r="AN628" s="77"/>
      <c r="AO628" s="77"/>
      <c r="AP628" s="77"/>
      <c r="AQ628" s="77"/>
      <c r="AR628" s="77"/>
      <c r="AS628" s="77"/>
      <c r="AT628" s="77"/>
      <c r="AU628" s="77"/>
      <c r="AV628" s="77"/>
      <c r="AW628" s="77"/>
      <c r="AX628" s="77"/>
      <c r="AY628" s="77"/>
      <c r="AZ628" s="77"/>
      <c r="BA628" s="77"/>
      <c r="BB628" s="77"/>
      <c r="CJ628" s="2"/>
      <c r="CK628" s="2"/>
      <c r="CL628" s="2"/>
      <c r="CM628" s="2"/>
    </row>
    <row r="629" spans="1:91" ht="12.75" customHeight="1">
      <c r="A629" s="1"/>
      <c r="B629" s="1"/>
      <c r="S629" s="133"/>
      <c r="T629" s="133"/>
      <c r="U629" s="133"/>
      <c r="V629" s="133"/>
      <c r="W629" s="133"/>
      <c r="X629" s="77"/>
      <c r="Y629" s="77"/>
      <c r="Z629" s="77"/>
      <c r="AA629" s="77"/>
      <c r="AB629" s="77"/>
      <c r="AC629" s="77"/>
      <c r="AD629" s="77"/>
      <c r="AE629" s="77"/>
      <c r="AF629" s="77"/>
      <c r="AG629" s="77"/>
      <c r="AH629" s="77"/>
      <c r="AI629" s="694"/>
      <c r="AJ629" s="694"/>
      <c r="AK629" s="694"/>
      <c r="AL629" s="694"/>
      <c r="AM629" s="77"/>
      <c r="AN629" s="77"/>
      <c r="AO629" s="77"/>
      <c r="AP629" s="77"/>
      <c r="AQ629" s="77"/>
      <c r="AR629" s="77"/>
      <c r="AS629" s="77"/>
      <c r="AT629" s="77"/>
      <c r="AU629" s="77"/>
      <c r="AV629" s="77"/>
      <c r="AW629" s="77"/>
      <c r="AX629" s="77"/>
      <c r="AY629" s="77"/>
      <c r="AZ629" s="77"/>
      <c r="BA629" s="77"/>
      <c r="BB629" s="77"/>
      <c r="CJ629" s="2"/>
      <c r="CK629" s="2"/>
      <c r="CL629" s="2"/>
      <c r="CM629" s="2"/>
    </row>
    <row r="630" spans="1:91" ht="12.75" customHeight="1">
      <c r="A630" s="1"/>
      <c r="B630" s="1"/>
      <c r="S630" s="133"/>
      <c r="T630" s="133"/>
      <c r="U630" s="133"/>
      <c r="V630" s="133"/>
      <c r="W630" s="133"/>
      <c r="X630" s="77"/>
      <c r="Y630" s="77"/>
      <c r="Z630" s="77"/>
      <c r="AA630" s="77"/>
      <c r="AB630" s="77"/>
      <c r="AC630" s="77"/>
      <c r="AD630" s="77"/>
      <c r="AE630" s="77"/>
      <c r="AF630" s="77"/>
      <c r="AG630" s="77"/>
      <c r="AH630" s="77"/>
      <c r="AI630" s="694"/>
      <c r="AJ630" s="694"/>
      <c r="AK630" s="694"/>
      <c r="AL630" s="694"/>
      <c r="AM630" s="77"/>
      <c r="AN630" s="77"/>
      <c r="AO630" s="77"/>
      <c r="AP630" s="77"/>
      <c r="AQ630" s="77"/>
      <c r="AR630" s="77"/>
      <c r="AS630" s="77"/>
      <c r="AT630" s="77"/>
      <c r="AU630" s="77"/>
      <c r="AV630" s="77"/>
      <c r="AW630" s="77"/>
      <c r="AX630" s="77"/>
      <c r="AY630" s="77"/>
      <c r="AZ630" s="77"/>
      <c r="BA630" s="77"/>
      <c r="BB630" s="77"/>
      <c r="CJ630" s="2"/>
      <c r="CK630" s="2"/>
      <c r="CL630" s="2"/>
      <c r="CM630" s="2"/>
    </row>
    <row r="631" spans="1:91" ht="12.75" customHeight="1">
      <c r="A631" s="1"/>
      <c r="B631" s="1"/>
    </row>
    <row r="632" spans="1:91" ht="12.75" customHeight="1">
      <c r="A632" s="1"/>
      <c r="B632" s="1"/>
      <c r="CJ632" s="2"/>
      <c r="CK632" s="2"/>
      <c r="CL632" s="2"/>
      <c r="CM632" s="2"/>
    </row>
    <row r="633" spans="1:91" ht="12.75" customHeight="1">
      <c r="A633" s="1"/>
      <c r="B633" s="1"/>
      <c r="CJ633" s="2"/>
      <c r="CK633" s="2"/>
      <c r="CL633" s="2"/>
      <c r="CM633" s="2"/>
    </row>
    <row r="634" spans="1:91" ht="12.75" customHeight="1">
      <c r="A634" s="1"/>
      <c r="B634" s="1"/>
      <c r="CJ634" s="2"/>
      <c r="CK634" s="2"/>
      <c r="CL634" s="2"/>
      <c r="CM634" s="2"/>
    </row>
    <row r="635" spans="1:91" ht="12.75" customHeight="1">
      <c r="A635" s="1"/>
      <c r="B635" s="1"/>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692"/>
      <c r="AJ635" s="692"/>
      <c r="AK635" s="692"/>
      <c r="AL635" s="692"/>
      <c r="AM635" s="12"/>
      <c r="AN635" s="12"/>
      <c r="AO635" s="12"/>
      <c r="AP635" s="12"/>
      <c r="AQ635" s="12"/>
      <c r="AR635" s="12"/>
      <c r="AS635" s="12"/>
      <c r="AT635" s="12"/>
      <c r="AU635" s="12"/>
      <c r="AV635" s="12"/>
      <c r="AW635" s="12"/>
      <c r="AX635" s="12"/>
      <c r="AY635" s="12"/>
      <c r="AZ635" s="12"/>
      <c r="BA635" s="12"/>
      <c r="BB635" s="12"/>
    </row>
    <row r="636" spans="1:91" ht="12.75" customHeight="1">
      <c r="A636" s="1"/>
      <c r="B636" s="1"/>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692"/>
      <c r="AJ636" s="692"/>
      <c r="AK636" s="692"/>
      <c r="AL636" s="692"/>
      <c r="AM636" s="12"/>
      <c r="AN636" s="12"/>
      <c r="AO636" s="12"/>
      <c r="AP636" s="12"/>
      <c r="AQ636" s="12"/>
      <c r="AR636" s="12"/>
      <c r="AS636" s="12"/>
      <c r="AT636" s="12"/>
      <c r="AU636" s="12"/>
      <c r="AV636" s="12"/>
      <c r="AW636" s="12"/>
      <c r="AX636" s="12"/>
      <c r="AY636" s="12"/>
      <c r="AZ636" s="12"/>
      <c r="BA636" s="12"/>
      <c r="BB636" s="12"/>
    </row>
    <row r="637" spans="1:91" ht="12.75" customHeight="1">
      <c r="A637" s="1"/>
      <c r="B637" s="1"/>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692"/>
      <c r="AJ637" s="692"/>
      <c r="AK637" s="692"/>
      <c r="AL637" s="692"/>
      <c r="AM637" s="12"/>
      <c r="AN637" s="12"/>
      <c r="AO637" s="12"/>
      <c r="AP637" s="12"/>
      <c r="AQ637" s="12"/>
      <c r="AR637" s="12"/>
      <c r="AS637" s="12"/>
      <c r="AT637" s="12"/>
      <c r="AU637" s="12"/>
      <c r="AV637" s="12"/>
      <c r="AW637" s="12"/>
      <c r="AX637" s="12"/>
      <c r="AY637" s="12"/>
      <c r="AZ637" s="12"/>
      <c r="BA637" s="12"/>
      <c r="BB637" s="12"/>
      <c r="BS637" s="133"/>
    </row>
    <row r="638" spans="1:91" ht="12.75" customHeight="1">
      <c r="A638" s="1"/>
      <c r="B638" s="1"/>
      <c r="L638" s="2"/>
      <c r="M638" s="2"/>
      <c r="N638" s="2"/>
      <c r="O638" s="2"/>
      <c r="P638" s="2"/>
      <c r="Q638" s="2"/>
      <c r="R638" s="2"/>
      <c r="S638" s="2"/>
      <c r="T638" s="2"/>
      <c r="U638" s="2"/>
      <c r="V638" s="2"/>
      <c r="W638" s="2"/>
      <c r="X638" s="2"/>
      <c r="Y638" s="2"/>
      <c r="Z638" s="2"/>
      <c r="AA638" s="2"/>
      <c r="AB638" s="2"/>
      <c r="AC638" s="2"/>
      <c r="AD638" s="2"/>
      <c r="AE638" s="2"/>
      <c r="AF638" s="2"/>
      <c r="AG638" s="2"/>
      <c r="AH638" s="2"/>
      <c r="AI638" s="690"/>
      <c r="AJ638" s="690"/>
      <c r="AK638" s="690"/>
      <c r="AL638" s="690"/>
      <c r="AM638" s="2"/>
      <c r="AN638" s="2"/>
      <c r="AO638" s="2"/>
      <c r="AP638" s="2"/>
      <c r="AQ638" s="2"/>
      <c r="AR638" s="2"/>
      <c r="AS638" s="2"/>
      <c r="AT638" s="2"/>
      <c r="AU638" s="2"/>
      <c r="AV638" s="2"/>
      <c r="AW638" s="2"/>
      <c r="AX638" s="2"/>
      <c r="AY638" s="2"/>
      <c r="AZ638" s="2"/>
      <c r="BA638" s="2"/>
      <c r="BB638" s="2"/>
    </row>
    <row r="639" spans="1:91" ht="12.75" customHeight="1">
      <c r="A639" s="1"/>
      <c r="B639" s="1"/>
      <c r="L639" s="2"/>
      <c r="M639" s="2"/>
      <c r="N639" s="2"/>
      <c r="O639" s="2"/>
      <c r="P639" s="2"/>
      <c r="Q639" s="2"/>
      <c r="R639" s="2"/>
      <c r="S639" s="2"/>
      <c r="T639" s="2"/>
      <c r="U639" s="2"/>
      <c r="V639" s="2"/>
      <c r="W639" s="2"/>
      <c r="X639" s="2"/>
      <c r="Y639" s="2"/>
      <c r="Z639" s="2"/>
      <c r="AA639" s="2"/>
      <c r="AB639" s="2"/>
      <c r="AC639" s="2"/>
      <c r="AD639" s="2"/>
      <c r="AE639" s="2"/>
      <c r="AF639" s="2"/>
      <c r="AG639" s="2"/>
      <c r="AH639" s="2"/>
      <c r="AI639" s="690"/>
      <c r="AJ639" s="690"/>
      <c r="AK639" s="690"/>
      <c r="AL639" s="690"/>
      <c r="AM639" s="2"/>
      <c r="AN639" s="2"/>
      <c r="AO639" s="2"/>
      <c r="AP639" s="2"/>
      <c r="AQ639" s="2"/>
      <c r="AR639" s="2"/>
      <c r="AS639" s="2"/>
      <c r="AT639" s="2"/>
      <c r="AU639" s="2"/>
      <c r="AV639" s="2"/>
      <c r="AW639" s="2"/>
      <c r="AX639" s="2"/>
      <c r="AY639" s="2"/>
      <c r="AZ639" s="2"/>
      <c r="BA639" s="2"/>
      <c r="BB639" s="2"/>
      <c r="BS639" s="133"/>
    </row>
    <row r="640" spans="1:91" ht="12.75" customHeight="1">
      <c r="A640" s="1"/>
      <c r="B640" s="1"/>
      <c r="L640" s="184"/>
      <c r="M640" s="77"/>
      <c r="BT640" s="3"/>
      <c r="BU640" s="3"/>
      <c r="BV640" s="3"/>
      <c r="BW640" s="3"/>
      <c r="BX640" s="3"/>
      <c r="BY640" s="3"/>
      <c r="BZ640" s="3"/>
      <c r="CA640" s="3"/>
      <c r="CB640" s="3"/>
    </row>
    <row r="641" spans="1:80" ht="12.75" customHeight="1">
      <c r="A641" s="1"/>
      <c r="B641" s="1"/>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692"/>
      <c r="AJ641" s="692"/>
      <c r="AK641" s="692"/>
      <c r="AL641" s="692"/>
      <c r="AM641" s="12"/>
      <c r="AN641" s="12"/>
      <c r="AO641" s="12"/>
      <c r="AP641" s="12"/>
      <c r="AQ641" s="12"/>
      <c r="AR641" s="12"/>
      <c r="AS641" s="12"/>
      <c r="AT641" s="12"/>
      <c r="AU641" s="12"/>
      <c r="AV641" s="12"/>
      <c r="AW641" s="12"/>
      <c r="AX641" s="12"/>
      <c r="AY641" s="12"/>
      <c r="AZ641" s="12"/>
      <c r="BA641" s="12"/>
      <c r="BB641" s="12"/>
      <c r="BT641" s="3"/>
      <c r="BU641" s="3"/>
      <c r="BV641" s="3"/>
      <c r="BW641" s="3"/>
      <c r="BX641" s="3"/>
      <c r="BY641" s="3"/>
      <c r="BZ641" s="3"/>
      <c r="CA641" s="3"/>
      <c r="CB641" s="3"/>
    </row>
    <row r="642" spans="1:80" ht="12.75" customHeight="1">
      <c r="A642" s="1"/>
      <c r="B642" s="1"/>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692"/>
      <c r="AJ642" s="692"/>
      <c r="AK642" s="692"/>
      <c r="AL642" s="692"/>
      <c r="AM642" s="12"/>
      <c r="AN642" s="12"/>
      <c r="AO642" s="12"/>
      <c r="AP642" s="12"/>
      <c r="AQ642" s="12"/>
      <c r="AR642" s="12"/>
      <c r="AS642" s="12"/>
      <c r="AT642" s="12"/>
      <c r="AU642" s="12"/>
      <c r="AV642" s="12"/>
      <c r="AW642" s="12"/>
      <c r="AX642" s="12"/>
      <c r="AY642" s="12"/>
      <c r="AZ642" s="12"/>
      <c r="BA642" s="12"/>
      <c r="BB642" s="12"/>
      <c r="BT642" s="3"/>
      <c r="BU642" s="3"/>
      <c r="BV642" s="3"/>
      <c r="BW642" s="3"/>
      <c r="BX642" s="3"/>
      <c r="BY642" s="3"/>
      <c r="BZ642" s="3"/>
      <c r="CA642" s="3"/>
      <c r="CB642" s="3"/>
    </row>
    <row r="643" spans="1:80" ht="12.75" customHeight="1">
      <c r="A643" s="1"/>
      <c r="B643" s="1"/>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692"/>
      <c r="AJ643" s="692"/>
      <c r="AK643" s="692"/>
      <c r="AL643" s="692"/>
      <c r="AM643" s="12"/>
      <c r="AN643" s="12"/>
      <c r="AO643" s="12"/>
      <c r="AP643" s="12"/>
      <c r="AQ643" s="12"/>
      <c r="AR643" s="12"/>
      <c r="AS643" s="12"/>
      <c r="AT643" s="12"/>
      <c r="AU643" s="12"/>
      <c r="AV643" s="12"/>
      <c r="AW643" s="12"/>
      <c r="AX643" s="12"/>
      <c r="AY643" s="12"/>
      <c r="AZ643" s="12"/>
      <c r="BA643" s="12"/>
      <c r="BB643" s="12"/>
      <c r="BT643" s="120"/>
      <c r="BU643" s="120"/>
      <c r="BV643" s="120"/>
      <c r="BW643" s="120"/>
      <c r="BX643" s="120"/>
      <c r="BY643" s="120"/>
      <c r="BZ643" s="120"/>
      <c r="CA643" s="120"/>
      <c r="CB643" s="120"/>
    </row>
    <row r="644" spans="1:80" ht="12.75" customHeight="1">
      <c r="A644" s="1"/>
      <c r="B644" s="1"/>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692"/>
      <c r="AJ644" s="692"/>
      <c r="AK644" s="692"/>
      <c r="AL644" s="692"/>
      <c r="AM644" s="12"/>
      <c r="AN644" s="12"/>
      <c r="AO644" s="12"/>
      <c r="AP644" s="12"/>
      <c r="AQ644" s="12"/>
      <c r="AR644" s="12"/>
      <c r="AS644" s="12"/>
      <c r="AT644" s="12"/>
      <c r="AU644" s="12"/>
      <c r="AV644" s="12"/>
      <c r="AW644" s="12"/>
      <c r="AX644" s="12"/>
      <c r="AY644" s="12"/>
      <c r="AZ644" s="12"/>
      <c r="BA644" s="12"/>
      <c r="BB644" s="12"/>
    </row>
    <row r="645" spans="1:80" ht="12.75" customHeight="1">
      <c r="A645" s="1"/>
      <c r="B645" s="1"/>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692"/>
      <c r="AJ645" s="692"/>
      <c r="AK645" s="692"/>
      <c r="AL645" s="692"/>
      <c r="AM645" s="12"/>
      <c r="AN645" s="12"/>
      <c r="AO645" s="12"/>
      <c r="AP645" s="12"/>
      <c r="AQ645" s="12"/>
      <c r="AR645" s="12"/>
      <c r="AS645" s="12"/>
      <c r="AT645" s="12"/>
      <c r="AU645" s="12"/>
      <c r="AV645" s="12"/>
      <c r="AW645" s="12"/>
      <c r="AX645" s="12"/>
      <c r="AY645" s="12"/>
      <c r="AZ645" s="12"/>
      <c r="BA645" s="12"/>
      <c r="BB645" s="12"/>
      <c r="BT645" s="77"/>
      <c r="BU645" s="77"/>
      <c r="BV645" s="77"/>
      <c r="BW645" s="77"/>
      <c r="BX645" s="77"/>
      <c r="BY645" s="77"/>
      <c r="BZ645" s="77"/>
      <c r="CA645" s="77"/>
      <c r="CB645" s="77"/>
    </row>
    <row r="646" spans="1:80" ht="12.75" customHeight="1">
      <c r="A646" s="1"/>
      <c r="B646" s="1"/>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692"/>
      <c r="AJ646" s="692"/>
      <c r="AK646" s="692"/>
      <c r="AL646" s="692"/>
      <c r="AM646" s="12"/>
      <c r="AN646" s="12"/>
      <c r="AO646" s="12"/>
      <c r="AP646" s="12"/>
      <c r="AQ646" s="12"/>
      <c r="AR646" s="12"/>
      <c r="AS646" s="12"/>
      <c r="AT646" s="12"/>
      <c r="AU646" s="12"/>
      <c r="AV646" s="12"/>
      <c r="AW646" s="12"/>
      <c r="AX646" s="12"/>
      <c r="AY646" s="12"/>
      <c r="AZ646" s="12"/>
      <c r="BA646" s="12"/>
      <c r="BB646" s="12"/>
      <c r="BT646" s="77"/>
      <c r="BU646" s="77"/>
      <c r="BV646" s="77"/>
      <c r="BW646" s="77"/>
      <c r="BX646" s="77"/>
      <c r="BY646" s="77"/>
      <c r="BZ646" s="77"/>
      <c r="CA646" s="77"/>
      <c r="CB646" s="77"/>
    </row>
    <row r="647" spans="1:80" ht="12.75" customHeight="1">
      <c r="A647" s="1"/>
      <c r="B647" s="1"/>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692"/>
      <c r="AJ647" s="692"/>
      <c r="AK647" s="692"/>
      <c r="AL647" s="692"/>
      <c r="AM647" s="12"/>
      <c r="AN647" s="12"/>
      <c r="AO647" s="12"/>
      <c r="AP647" s="12"/>
      <c r="AQ647" s="12"/>
      <c r="AR647" s="12"/>
      <c r="AS647" s="12"/>
      <c r="AT647" s="12"/>
      <c r="AU647" s="12"/>
      <c r="AV647" s="12"/>
      <c r="AW647" s="12"/>
      <c r="AX647" s="12"/>
      <c r="AY647" s="12"/>
      <c r="AZ647" s="12"/>
      <c r="BA647" s="12"/>
      <c r="BB647" s="12"/>
    </row>
    <row r="648" spans="1:80" ht="12.75" customHeight="1">
      <c r="A648" s="1"/>
      <c r="B648" s="1"/>
      <c r="AO648" s="116"/>
    </row>
    <row r="649" spans="1:80" ht="12.75" customHeight="1">
      <c r="A649" s="1"/>
      <c r="B649" s="1"/>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692"/>
      <c r="AJ649" s="692"/>
      <c r="AK649" s="692"/>
      <c r="AL649" s="692"/>
      <c r="AM649" s="12"/>
      <c r="AN649" s="12"/>
      <c r="AO649" s="12"/>
      <c r="AP649" s="12"/>
      <c r="AQ649" s="12"/>
      <c r="AR649" s="12"/>
      <c r="AS649" s="12"/>
      <c r="AT649" s="12"/>
      <c r="AU649" s="12"/>
      <c r="AV649" s="12"/>
      <c r="AW649" s="12"/>
      <c r="AX649" s="12"/>
      <c r="AY649" s="12"/>
      <c r="AZ649" s="12"/>
      <c r="BA649" s="12"/>
      <c r="BB649" s="12"/>
    </row>
    <row r="650" spans="1:80" ht="12.75" customHeight="1">
      <c r="A650" s="1"/>
      <c r="B650" s="1"/>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692"/>
      <c r="AJ650" s="692"/>
      <c r="AK650" s="692"/>
      <c r="AL650" s="692"/>
      <c r="AM650" s="12"/>
      <c r="AN650" s="12"/>
      <c r="AO650" s="12"/>
      <c r="AP650" s="12"/>
      <c r="AQ650" s="12"/>
      <c r="AR650" s="12"/>
      <c r="AS650" s="12"/>
      <c r="AT650" s="12"/>
      <c r="AU650" s="12"/>
      <c r="AV650" s="12"/>
      <c r="AW650" s="12"/>
      <c r="AX650" s="12"/>
      <c r="AY650" s="12"/>
      <c r="AZ650" s="12"/>
      <c r="BA650" s="12"/>
      <c r="BB650" s="12"/>
    </row>
    <row r="651" spans="1:80" ht="12.75" customHeight="1">
      <c r="A651" s="1"/>
      <c r="B651" s="1"/>
      <c r="BS651" s="133"/>
    </row>
    <row r="652" spans="1:80" ht="12.75" customHeight="1">
      <c r="A652" s="1"/>
      <c r="B652" s="1"/>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692"/>
      <c r="AJ652" s="692"/>
      <c r="AK652" s="692"/>
      <c r="AL652" s="692"/>
      <c r="AM652" s="12"/>
      <c r="AN652" s="12"/>
      <c r="AO652" s="12"/>
      <c r="AP652" s="12"/>
      <c r="AQ652" s="12"/>
      <c r="AR652" s="12"/>
      <c r="AS652" s="12"/>
      <c r="AT652" s="12"/>
      <c r="AU652" s="12"/>
      <c r="AV652" s="12"/>
      <c r="AW652" s="12"/>
      <c r="AX652" s="12"/>
      <c r="AY652" s="12"/>
      <c r="AZ652" s="12"/>
      <c r="BA652" s="12"/>
      <c r="BB652" s="12"/>
      <c r="BT652" s="3"/>
      <c r="BU652" s="3"/>
      <c r="BV652" s="3"/>
      <c r="BW652" s="3"/>
      <c r="BX652" s="3"/>
      <c r="BY652" s="3"/>
      <c r="BZ652" s="3"/>
      <c r="CA652" s="3"/>
      <c r="CB652" s="3"/>
    </row>
    <row r="653" spans="1:80" ht="12.75" customHeight="1">
      <c r="A653" s="1"/>
      <c r="B653" s="1"/>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692"/>
      <c r="AJ653" s="692"/>
      <c r="AK653" s="692"/>
      <c r="AL653" s="692"/>
      <c r="AM653" s="12"/>
      <c r="AN653" s="12"/>
      <c r="AO653" s="12"/>
      <c r="AP653" s="12"/>
      <c r="AQ653" s="12"/>
      <c r="AR653" s="12"/>
      <c r="AS653" s="12"/>
      <c r="AT653" s="12"/>
      <c r="AU653" s="12"/>
      <c r="AV653" s="12"/>
      <c r="AW653" s="12"/>
      <c r="AX653" s="12"/>
      <c r="AY653" s="12"/>
      <c r="AZ653" s="12"/>
      <c r="BA653" s="12"/>
      <c r="BB653" s="12"/>
      <c r="BT653" s="3"/>
      <c r="BU653" s="3"/>
      <c r="BV653" s="3"/>
      <c r="BW653" s="3"/>
      <c r="BX653" s="3"/>
      <c r="BY653" s="3"/>
      <c r="BZ653" s="3"/>
      <c r="CA653" s="3"/>
      <c r="CB653" s="3"/>
    </row>
    <row r="654" spans="1:80" ht="12.75" customHeight="1">
      <c r="A654" s="1"/>
      <c r="B654" s="1"/>
      <c r="AM654" s="185"/>
      <c r="AO654" s="12"/>
      <c r="BT654" s="3"/>
      <c r="BU654" s="3"/>
      <c r="BV654" s="3"/>
      <c r="BW654" s="3"/>
      <c r="BX654" s="3"/>
      <c r="BY654" s="3"/>
      <c r="BZ654" s="3"/>
      <c r="CA654" s="3"/>
      <c r="CB654" s="3"/>
    </row>
    <row r="655" spans="1:80" ht="12.75" customHeight="1">
      <c r="A655" s="1"/>
      <c r="B655" s="1"/>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692"/>
      <c r="AJ655" s="692"/>
      <c r="AK655" s="692"/>
      <c r="AL655" s="692"/>
      <c r="AM655" s="12"/>
      <c r="AN655" s="12"/>
      <c r="AO655" s="12"/>
      <c r="AP655" s="12"/>
      <c r="AQ655" s="12"/>
      <c r="AR655" s="12"/>
      <c r="AS655" s="12"/>
      <c r="AT655" s="12"/>
      <c r="AU655" s="12"/>
      <c r="AV655" s="12"/>
      <c r="AW655" s="12"/>
      <c r="AX655" s="12"/>
      <c r="AY655" s="12"/>
      <c r="AZ655" s="12"/>
      <c r="BA655" s="12"/>
      <c r="BB655" s="12"/>
      <c r="BT655" s="120"/>
      <c r="BU655" s="120"/>
      <c r="BV655" s="120"/>
      <c r="BW655" s="120"/>
      <c r="BX655" s="120"/>
      <c r="BY655" s="120"/>
      <c r="BZ655" s="120"/>
      <c r="CA655" s="120"/>
      <c r="CB655" s="120"/>
    </row>
    <row r="656" spans="1:80" ht="12.75" customHeight="1">
      <c r="A656" s="1"/>
      <c r="B656" s="1"/>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692"/>
      <c r="AJ656" s="692"/>
      <c r="AK656" s="692"/>
      <c r="AL656" s="692"/>
      <c r="AM656" s="12"/>
      <c r="AN656" s="12"/>
      <c r="AO656" s="12"/>
      <c r="AP656" s="12"/>
      <c r="AQ656" s="12"/>
      <c r="AR656" s="12"/>
      <c r="AS656" s="12"/>
      <c r="AT656" s="12"/>
      <c r="AU656" s="12"/>
      <c r="AV656" s="12"/>
      <c r="AW656" s="12"/>
      <c r="AX656" s="12"/>
      <c r="AY656" s="12"/>
      <c r="AZ656" s="12"/>
      <c r="BA656" s="12"/>
      <c r="BB656" s="12"/>
    </row>
    <row r="657" spans="1:80" ht="12.75" customHeight="1">
      <c r="A657" s="1"/>
      <c r="B657" s="1"/>
      <c r="BT657" s="77"/>
      <c r="BU657" s="77"/>
      <c r="BV657" s="77"/>
      <c r="BW657" s="77"/>
      <c r="BX657" s="77"/>
      <c r="BY657" s="77"/>
      <c r="BZ657" s="77"/>
      <c r="CA657" s="77"/>
      <c r="CB657" s="77"/>
    </row>
    <row r="658" spans="1:80" ht="12.75" customHeight="1">
      <c r="A658" s="1"/>
      <c r="B658" s="1"/>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692"/>
      <c r="AJ658" s="692"/>
      <c r="AK658" s="692"/>
      <c r="AL658" s="692"/>
      <c r="AM658" s="12"/>
      <c r="AN658" s="12"/>
      <c r="AO658" s="12"/>
      <c r="AP658" s="12"/>
      <c r="AQ658" s="12"/>
      <c r="AR658" s="12"/>
      <c r="AS658" s="12"/>
      <c r="AT658" s="12"/>
      <c r="AU658" s="12"/>
      <c r="AV658" s="12"/>
      <c r="AW658" s="12"/>
      <c r="AX658" s="12"/>
      <c r="AY658" s="12"/>
      <c r="AZ658" s="12"/>
      <c r="BA658" s="12"/>
      <c r="BB658" s="12"/>
      <c r="BT658" s="77"/>
      <c r="BU658" s="77"/>
      <c r="BV658" s="77"/>
      <c r="BW658" s="77"/>
      <c r="BX658" s="77"/>
      <c r="BY658" s="77"/>
      <c r="BZ658" s="77"/>
      <c r="CA658" s="77"/>
      <c r="CB658" s="77"/>
    </row>
    <row r="659" spans="1:80" ht="12.75" customHeight="1">
      <c r="A659" s="1"/>
      <c r="B659" s="1"/>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692"/>
      <c r="AJ659" s="692"/>
      <c r="AK659" s="692"/>
      <c r="AL659" s="692"/>
      <c r="AM659" s="12"/>
      <c r="AN659" s="12"/>
      <c r="AO659" s="12"/>
      <c r="AP659" s="12"/>
      <c r="AQ659" s="12"/>
      <c r="AR659" s="12"/>
      <c r="AS659" s="12"/>
      <c r="AT659" s="12"/>
      <c r="AU659" s="12"/>
      <c r="AV659" s="12"/>
      <c r="AW659" s="12"/>
      <c r="AX659" s="12"/>
      <c r="AY659" s="12"/>
      <c r="AZ659" s="12"/>
      <c r="BA659" s="12"/>
      <c r="BB659" s="12"/>
    </row>
    <row r="660" spans="1:80" ht="12.75" customHeight="1">
      <c r="A660" s="1"/>
      <c r="B660" s="1"/>
      <c r="L660" s="2"/>
      <c r="M660" s="2"/>
      <c r="N660" s="2"/>
      <c r="O660" s="2"/>
      <c r="P660" s="2"/>
      <c r="Q660" s="2"/>
      <c r="R660" s="2"/>
      <c r="S660" s="2"/>
      <c r="T660" s="2"/>
      <c r="U660" s="2"/>
      <c r="V660" s="2"/>
      <c r="W660" s="2"/>
      <c r="X660" s="2"/>
      <c r="Y660" s="2"/>
      <c r="Z660" s="2"/>
      <c r="AA660" s="2"/>
      <c r="AB660" s="2"/>
      <c r="AC660" s="2"/>
      <c r="AD660" s="2"/>
      <c r="AE660" s="2"/>
      <c r="AF660" s="2"/>
      <c r="AG660" s="2"/>
      <c r="AH660" s="2"/>
      <c r="AI660" s="690"/>
      <c r="AJ660" s="690"/>
      <c r="AK660" s="690"/>
      <c r="AL660" s="690"/>
      <c r="AM660" s="2"/>
      <c r="AN660" s="2"/>
      <c r="AO660" s="2"/>
      <c r="AP660" s="2"/>
      <c r="AQ660" s="2"/>
      <c r="AR660" s="2"/>
      <c r="AS660" s="2"/>
      <c r="AT660" s="2"/>
      <c r="AU660" s="2"/>
      <c r="AV660" s="2"/>
      <c r="AW660" s="2"/>
      <c r="AX660" s="2"/>
      <c r="AY660" s="2"/>
      <c r="AZ660" s="2"/>
      <c r="BA660" s="2"/>
      <c r="BB660" s="2"/>
    </row>
    <row r="661" spans="1:80" ht="12.75" customHeight="1">
      <c r="A661" s="1"/>
      <c r="B661" s="1"/>
      <c r="L661" s="2"/>
      <c r="M661" s="2"/>
      <c r="N661" s="2"/>
      <c r="O661" s="2"/>
      <c r="P661" s="2"/>
      <c r="Q661" s="2"/>
      <c r="R661" s="2"/>
      <c r="S661" s="2"/>
      <c r="T661" s="2"/>
      <c r="U661" s="2"/>
      <c r="V661" s="2"/>
      <c r="W661" s="2"/>
      <c r="X661" s="2"/>
      <c r="Y661" s="2"/>
      <c r="Z661" s="2"/>
      <c r="AA661" s="2"/>
      <c r="AB661" s="2"/>
      <c r="AC661" s="2"/>
      <c r="AD661" s="2"/>
      <c r="AE661" s="2"/>
      <c r="AF661" s="2"/>
      <c r="AG661" s="2"/>
      <c r="AH661" s="2"/>
      <c r="AI661" s="690"/>
      <c r="AJ661" s="690"/>
      <c r="AK661" s="690"/>
      <c r="AL661" s="690"/>
      <c r="AM661" s="2"/>
      <c r="AN661" s="2"/>
      <c r="AO661" s="2"/>
      <c r="AP661" s="2"/>
      <c r="AQ661" s="2"/>
      <c r="AR661" s="2"/>
      <c r="AS661" s="2"/>
      <c r="AT661" s="2"/>
      <c r="AU661" s="2"/>
      <c r="AV661" s="2"/>
      <c r="AW661" s="2"/>
      <c r="AX661" s="2"/>
      <c r="AY661" s="2"/>
      <c r="AZ661" s="2"/>
      <c r="BA661" s="2"/>
      <c r="BB661" s="2"/>
    </row>
    <row r="662" spans="1:80" ht="12.75" customHeight="1">
      <c r="A662" s="1"/>
      <c r="B662" s="1"/>
      <c r="L662" s="2"/>
      <c r="M662" s="2"/>
      <c r="N662" s="2"/>
      <c r="O662" s="2"/>
      <c r="P662" s="2"/>
      <c r="Q662" s="2"/>
      <c r="R662" s="2"/>
      <c r="S662" s="2"/>
      <c r="T662" s="2"/>
      <c r="U662" s="2"/>
      <c r="V662" s="2"/>
      <c r="W662" s="2"/>
      <c r="X662" s="2"/>
      <c r="Y662" s="2"/>
      <c r="Z662" s="2"/>
      <c r="AA662" s="2"/>
      <c r="AB662" s="2"/>
      <c r="AC662" s="2"/>
      <c r="AD662" s="2"/>
      <c r="AE662" s="2"/>
      <c r="AF662" s="2"/>
      <c r="AG662" s="2"/>
      <c r="AH662" s="2"/>
      <c r="AI662" s="690"/>
      <c r="AJ662" s="690"/>
      <c r="AK662" s="690"/>
      <c r="AL662" s="690"/>
      <c r="AM662" s="2"/>
      <c r="AN662" s="2"/>
      <c r="AO662" s="2"/>
      <c r="AP662" s="2"/>
      <c r="AQ662" s="2"/>
      <c r="AR662" s="2"/>
      <c r="AS662" s="2"/>
      <c r="AT662" s="2"/>
      <c r="AU662" s="2"/>
      <c r="AV662" s="2"/>
      <c r="AW662" s="2"/>
      <c r="AX662" s="2"/>
      <c r="AY662" s="2"/>
      <c r="AZ662" s="2"/>
      <c r="BA662" s="2"/>
      <c r="BB662" s="2"/>
    </row>
    <row r="663" spans="1:80" ht="12.75" customHeight="1">
      <c r="A663" s="1"/>
      <c r="B663" s="1"/>
      <c r="L663" s="2"/>
      <c r="M663" s="2"/>
      <c r="N663" s="2"/>
      <c r="O663" s="2"/>
      <c r="P663" s="2"/>
      <c r="Q663" s="2"/>
      <c r="R663" s="2"/>
      <c r="S663" s="2"/>
      <c r="T663" s="2"/>
      <c r="U663" s="2"/>
      <c r="V663" s="2"/>
      <c r="W663" s="2"/>
      <c r="X663" s="2"/>
      <c r="Y663" s="2"/>
      <c r="Z663" s="2"/>
      <c r="AA663" s="2"/>
      <c r="AB663" s="2"/>
      <c r="AC663" s="2"/>
      <c r="AD663" s="2"/>
      <c r="AE663" s="2"/>
      <c r="AF663" s="2"/>
      <c r="AG663" s="2"/>
      <c r="AH663" s="2"/>
      <c r="AI663" s="690"/>
      <c r="AJ663" s="690"/>
      <c r="AK663" s="690"/>
      <c r="AL663" s="690"/>
      <c r="AM663" s="2"/>
      <c r="AN663" s="2"/>
      <c r="AO663" s="2"/>
      <c r="AP663" s="2"/>
      <c r="AQ663" s="2"/>
      <c r="AR663" s="2"/>
      <c r="AS663" s="2"/>
      <c r="AT663" s="2"/>
      <c r="AU663" s="2"/>
      <c r="AV663" s="2"/>
      <c r="AW663" s="2"/>
      <c r="AX663" s="2"/>
      <c r="AY663" s="2"/>
      <c r="AZ663" s="2"/>
      <c r="BA663" s="2"/>
      <c r="BB663" s="2"/>
    </row>
    <row r="664" spans="1:80" ht="12.75" customHeight="1">
      <c r="A664" s="1"/>
      <c r="B664" s="1"/>
      <c r="L664" s="2"/>
      <c r="M664" s="2"/>
      <c r="N664" s="2"/>
      <c r="O664" s="2"/>
      <c r="P664" s="2"/>
      <c r="Q664" s="2"/>
      <c r="R664" s="2"/>
      <c r="S664" s="2"/>
      <c r="T664" s="2"/>
      <c r="U664" s="2"/>
      <c r="V664" s="2"/>
      <c r="W664" s="2"/>
      <c r="X664" s="2"/>
      <c r="Y664" s="2"/>
      <c r="Z664" s="2"/>
      <c r="AA664" s="2"/>
      <c r="AB664" s="2"/>
      <c r="AC664" s="2"/>
      <c r="AD664" s="2"/>
      <c r="AE664" s="2"/>
      <c r="AF664" s="2"/>
      <c r="AG664" s="2"/>
      <c r="AH664" s="2"/>
      <c r="AI664" s="690"/>
      <c r="AJ664" s="690"/>
      <c r="AK664" s="690"/>
      <c r="AL664" s="690"/>
      <c r="AM664" s="2"/>
      <c r="AN664" s="2"/>
      <c r="AO664" s="2"/>
      <c r="AP664" s="2"/>
      <c r="AQ664" s="2"/>
      <c r="AR664" s="2"/>
      <c r="AS664" s="2"/>
      <c r="AT664" s="2"/>
      <c r="AU664" s="2"/>
      <c r="AV664" s="2"/>
      <c r="AW664" s="2"/>
      <c r="AX664" s="2"/>
      <c r="AY664" s="2"/>
      <c r="AZ664" s="2"/>
      <c r="BA664" s="2"/>
      <c r="BB664" s="2"/>
    </row>
    <row r="665" spans="1:80" ht="12.75" customHeight="1">
      <c r="A665" s="1"/>
      <c r="B665" s="1"/>
      <c r="L665" s="2"/>
      <c r="M665" s="2"/>
      <c r="N665" s="2"/>
      <c r="O665" s="2"/>
      <c r="P665" s="2"/>
      <c r="Q665" s="2"/>
      <c r="R665" s="2"/>
      <c r="S665" s="2"/>
      <c r="T665" s="2"/>
      <c r="U665" s="2"/>
      <c r="V665" s="2"/>
      <c r="W665" s="2"/>
      <c r="X665" s="2"/>
      <c r="Y665" s="2"/>
      <c r="Z665" s="2"/>
      <c r="AA665" s="2"/>
      <c r="AB665" s="2"/>
      <c r="AC665" s="2"/>
      <c r="AD665" s="2"/>
      <c r="AE665" s="2"/>
      <c r="AF665" s="2"/>
      <c r="AG665" s="2"/>
      <c r="AH665" s="2"/>
      <c r="AI665" s="690"/>
      <c r="AJ665" s="690"/>
      <c r="AK665" s="690"/>
      <c r="AL665" s="690"/>
      <c r="AM665" s="2"/>
      <c r="AN665" s="2"/>
      <c r="AO665" s="2"/>
      <c r="AP665" s="2"/>
      <c r="AQ665" s="2"/>
      <c r="AR665" s="2"/>
      <c r="AS665" s="2"/>
      <c r="AT665" s="2"/>
      <c r="AU665" s="2"/>
      <c r="AV665" s="2"/>
      <c r="AW665" s="2"/>
      <c r="AX665" s="2"/>
      <c r="AY665" s="2"/>
      <c r="AZ665" s="2"/>
      <c r="BA665" s="2"/>
      <c r="BB665" s="2"/>
    </row>
    <row r="666" spans="1:80" ht="12.75" customHeight="1">
      <c r="A666" s="1"/>
      <c r="B666" s="1"/>
      <c r="L666" s="2"/>
      <c r="M666" s="2"/>
      <c r="N666" s="2"/>
      <c r="O666" s="2"/>
      <c r="P666" s="2"/>
      <c r="Q666" s="2"/>
      <c r="R666" s="2"/>
      <c r="S666" s="2"/>
      <c r="T666" s="2"/>
      <c r="U666" s="2"/>
      <c r="V666" s="2"/>
      <c r="W666" s="2"/>
      <c r="X666" s="2"/>
      <c r="Y666" s="2"/>
      <c r="Z666" s="2"/>
      <c r="AA666" s="2"/>
      <c r="AB666" s="2"/>
      <c r="AC666" s="2"/>
      <c r="AD666" s="2"/>
      <c r="AE666" s="2"/>
      <c r="AF666" s="2"/>
      <c r="AG666" s="2"/>
      <c r="AH666" s="2"/>
      <c r="AI666" s="690"/>
      <c r="AJ666" s="690"/>
      <c r="AK666" s="690"/>
      <c r="AL666" s="690"/>
      <c r="AM666" s="2"/>
      <c r="AN666" s="2"/>
      <c r="AO666" s="2"/>
      <c r="AP666" s="2"/>
      <c r="AQ666" s="2"/>
      <c r="AR666" s="2"/>
      <c r="AS666" s="2"/>
      <c r="AT666" s="2"/>
      <c r="AU666" s="2"/>
      <c r="AV666" s="2"/>
      <c r="AW666" s="2"/>
      <c r="AX666" s="2"/>
      <c r="AY666" s="2"/>
      <c r="AZ666" s="2"/>
      <c r="BA666" s="2"/>
      <c r="BB666" s="2"/>
    </row>
    <row r="667" spans="1:80" ht="12.75" customHeight="1">
      <c r="A667" s="1"/>
      <c r="B667" s="1"/>
      <c r="L667" s="2"/>
      <c r="M667" s="2"/>
      <c r="N667" s="2"/>
      <c r="O667" s="2"/>
      <c r="P667" s="2"/>
      <c r="Q667" s="2"/>
      <c r="R667" s="2"/>
      <c r="S667" s="2"/>
      <c r="T667" s="2"/>
      <c r="U667" s="2"/>
      <c r="V667" s="2"/>
      <c r="W667" s="2"/>
      <c r="X667" s="2"/>
      <c r="Y667" s="2"/>
      <c r="Z667" s="2"/>
      <c r="AA667" s="2"/>
      <c r="AB667" s="2"/>
      <c r="AC667" s="2"/>
      <c r="AD667" s="2"/>
      <c r="AE667" s="2"/>
      <c r="AF667" s="2"/>
      <c r="AG667" s="2"/>
      <c r="AH667" s="2"/>
      <c r="AI667" s="690"/>
      <c r="AJ667" s="690"/>
      <c r="AK667" s="690"/>
      <c r="AL667" s="690"/>
      <c r="AM667" s="2"/>
      <c r="AN667" s="2"/>
      <c r="AO667" s="2"/>
      <c r="AP667" s="2"/>
      <c r="AQ667" s="2"/>
      <c r="AR667" s="2"/>
      <c r="AS667" s="2"/>
      <c r="AT667" s="2"/>
      <c r="AU667" s="2"/>
      <c r="AV667" s="2"/>
      <c r="AW667" s="2"/>
      <c r="AX667" s="2"/>
      <c r="AY667" s="2"/>
      <c r="AZ667" s="2"/>
      <c r="BA667" s="2"/>
      <c r="BB667" s="2"/>
    </row>
    <row r="668" spans="1:80" ht="12.75" customHeight="1">
      <c r="A668" s="1"/>
      <c r="B668" s="1"/>
      <c r="L668" s="2"/>
      <c r="M668" s="2"/>
      <c r="N668" s="2"/>
      <c r="O668" s="2"/>
      <c r="P668" s="2"/>
      <c r="Q668" s="2"/>
      <c r="R668" s="2"/>
      <c r="S668" s="2"/>
      <c r="T668" s="2"/>
      <c r="U668" s="2"/>
      <c r="V668" s="2"/>
      <c r="W668" s="2"/>
      <c r="X668" s="2"/>
      <c r="Y668" s="2"/>
      <c r="Z668" s="2"/>
      <c r="AA668" s="2"/>
      <c r="AB668" s="2"/>
      <c r="AC668" s="2"/>
      <c r="AD668" s="2"/>
      <c r="AE668" s="2"/>
      <c r="AF668" s="2"/>
      <c r="AG668" s="2"/>
      <c r="AH668" s="2"/>
      <c r="AI668" s="690"/>
      <c r="AJ668" s="690"/>
      <c r="AK668" s="690"/>
      <c r="AL668" s="690"/>
      <c r="AM668" s="2"/>
      <c r="AN668" s="2"/>
      <c r="AO668" s="2"/>
      <c r="AP668" s="2"/>
      <c r="AQ668" s="2"/>
      <c r="AR668" s="2"/>
      <c r="AS668" s="2"/>
      <c r="AT668" s="2"/>
      <c r="AU668" s="2"/>
      <c r="AV668" s="2"/>
      <c r="AW668" s="2"/>
      <c r="AX668" s="2"/>
      <c r="AY668" s="2"/>
      <c r="AZ668" s="2"/>
      <c r="BA668" s="2"/>
      <c r="BB668" s="2"/>
    </row>
    <row r="669" spans="1:80" ht="12.75" customHeight="1">
      <c r="A669" s="1"/>
      <c r="B669" s="1"/>
      <c r="L669" s="2"/>
      <c r="M669" s="2"/>
      <c r="N669" s="2"/>
      <c r="O669" s="2"/>
      <c r="P669" s="2"/>
      <c r="Q669" s="2"/>
      <c r="R669" s="2"/>
      <c r="S669" s="2"/>
      <c r="T669" s="2"/>
      <c r="U669" s="2"/>
      <c r="V669" s="2"/>
      <c r="W669" s="2"/>
      <c r="X669" s="2"/>
      <c r="Y669" s="2"/>
      <c r="Z669" s="2"/>
      <c r="AA669" s="2"/>
      <c r="AB669" s="2"/>
      <c r="AC669" s="2"/>
      <c r="AD669" s="2"/>
      <c r="AE669" s="2"/>
      <c r="AF669" s="2"/>
      <c r="AG669" s="2"/>
      <c r="AH669" s="2"/>
      <c r="AI669" s="690"/>
      <c r="AJ669" s="690"/>
      <c r="AK669" s="690"/>
      <c r="AL669" s="690"/>
      <c r="AM669" s="2"/>
      <c r="AN669" s="2"/>
      <c r="AO669" s="2"/>
      <c r="AP669" s="2"/>
      <c r="AQ669" s="2"/>
      <c r="AR669" s="2"/>
      <c r="AS669" s="2"/>
      <c r="AT669" s="2"/>
      <c r="AU669" s="2"/>
      <c r="AV669" s="2"/>
      <c r="AW669" s="2"/>
      <c r="AX669" s="2"/>
      <c r="AY669" s="2"/>
      <c r="AZ669" s="2"/>
      <c r="BA669" s="2"/>
      <c r="BB669" s="2"/>
    </row>
    <row r="670" spans="1:80" ht="12.75" customHeight="1">
      <c r="A670" s="1"/>
      <c r="B670" s="1"/>
      <c r="L670" s="2"/>
      <c r="M670" s="2"/>
      <c r="N670" s="2"/>
      <c r="O670" s="2"/>
      <c r="P670" s="2"/>
      <c r="Q670" s="2"/>
      <c r="R670" s="2"/>
      <c r="S670" s="2"/>
      <c r="T670" s="2"/>
      <c r="U670" s="2"/>
      <c r="V670" s="2"/>
      <c r="W670" s="2"/>
      <c r="X670" s="2"/>
      <c r="Y670" s="2"/>
      <c r="Z670" s="2"/>
      <c r="AA670" s="2"/>
      <c r="AB670" s="2"/>
      <c r="AC670" s="2"/>
      <c r="AD670" s="2"/>
      <c r="AE670" s="2"/>
      <c r="AF670" s="2"/>
      <c r="AG670" s="2"/>
      <c r="AH670" s="2"/>
      <c r="AI670" s="690"/>
      <c r="AJ670" s="690"/>
      <c r="AK670" s="690"/>
      <c r="AL670" s="690"/>
      <c r="AM670" s="2"/>
      <c r="AN670" s="2"/>
      <c r="AO670" s="2"/>
      <c r="AP670" s="2"/>
      <c r="AQ670" s="2"/>
      <c r="AR670" s="2"/>
      <c r="AS670" s="2"/>
      <c r="AT670" s="2"/>
      <c r="AU670" s="2"/>
      <c r="AV670" s="2"/>
      <c r="AW670" s="2"/>
      <c r="AX670" s="2"/>
      <c r="AY670" s="2"/>
      <c r="AZ670" s="2"/>
      <c r="BA670" s="2"/>
      <c r="BB670" s="2"/>
    </row>
    <row r="671" spans="1:80" ht="12.75" customHeight="1">
      <c r="A671" s="1"/>
      <c r="B671" s="1"/>
    </row>
    <row r="672" spans="1:80" ht="12.75" customHeight="1">
      <c r="A672" s="1"/>
      <c r="B672" s="1"/>
    </row>
    <row r="673" spans="1:23" ht="12.75" customHeight="1">
      <c r="A673" s="1"/>
      <c r="B673" s="1"/>
    </row>
    <row r="674" spans="1:23" ht="12.75" customHeight="1">
      <c r="A674" s="1"/>
      <c r="B674" s="1"/>
      <c r="N674" s="133"/>
      <c r="O674" s="133"/>
      <c r="P674" s="133"/>
      <c r="Q674" s="133"/>
      <c r="R674" s="133"/>
      <c r="S674" s="119"/>
      <c r="T674" s="119"/>
      <c r="U674" s="119"/>
      <c r="V674" s="119"/>
      <c r="W674" s="119"/>
    </row>
    <row r="675" spans="1:23" ht="12.75" customHeight="1">
      <c r="A675" s="1"/>
      <c r="B675" s="1"/>
      <c r="N675" s="133"/>
      <c r="O675" s="133"/>
      <c r="P675" s="133"/>
      <c r="Q675" s="133"/>
      <c r="R675" s="133"/>
      <c r="S675" s="119"/>
      <c r="T675" s="119"/>
      <c r="U675" s="119"/>
      <c r="V675" s="119"/>
      <c r="W675" s="119"/>
    </row>
    <row r="676" spans="1:23" ht="12.75" customHeight="1">
      <c r="A676" s="1"/>
      <c r="B676" s="1"/>
    </row>
    <row r="677" spans="1:23" ht="12.75" customHeight="1">
      <c r="A677" s="1"/>
      <c r="B677" s="1"/>
    </row>
    <row r="678" spans="1:23" ht="12.75" customHeight="1">
      <c r="A678" s="1"/>
      <c r="B678" s="1"/>
    </row>
    <row r="679" spans="1:23" ht="12.75" customHeight="1">
      <c r="A679" s="1"/>
      <c r="B679" s="1"/>
    </row>
    <row r="680" spans="1:23" ht="12.75" customHeight="1">
      <c r="A680" s="1"/>
      <c r="B680" s="1"/>
    </row>
    <row r="681" spans="1:23" ht="12.75" customHeight="1">
      <c r="A681" s="1"/>
      <c r="B681" s="1"/>
    </row>
    <row r="682" spans="1:23" ht="12.75" customHeight="1">
      <c r="A682" s="1"/>
      <c r="B682" s="1"/>
    </row>
    <row r="683" spans="1:23" ht="12.75" customHeight="1">
      <c r="A683" s="1"/>
      <c r="B683" s="1"/>
    </row>
    <row r="684" spans="1:23" ht="12.75" customHeight="1">
      <c r="A684" s="1"/>
      <c r="B684" s="1"/>
    </row>
    <row r="685" spans="1:23" ht="12.75" customHeight="1">
      <c r="A685" s="1"/>
      <c r="B685" s="1"/>
    </row>
    <row r="686" spans="1:23" ht="12.75" customHeight="1">
      <c r="A686" s="1"/>
      <c r="B686" s="1"/>
    </row>
    <row r="687" spans="1:23" ht="12.75" customHeight="1">
      <c r="A687" s="1"/>
      <c r="B687" s="1"/>
    </row>
    <row r="688" spans="1:23" ht="12.75" customHeight="1">
      <c r="A688" s="1"/>
      <c r="B688" s="1"/>
    </row>
    <row r="689" spans="1:2" ht="12.75" customHeight="1">
      <c r="A689" s="1"/>
      <c r="B689" s="1"/>
    </row>
    <row r="690" spans="1:2" ht="12.75" customHeight="1">
      <c r="A690" s="1"/>
      <c r="B690" s="1"/>
    </row>
    <row r="691" spans="1:2" ht="12.75" customHeight="1">
      <c r="A691" s="1"/>
      <c r="B691" s="1"/>
    </row>
    <row r="692" spans="1:2" ht="12.75" customHeight="1">
      <c r="A692" s="1"/>
      <c r="B692" s="1"/>
    </row>
    <row r="693" spans="1:2" ht="12.75" customHeight="1">
      <c r="A693" s="1"/>
      <c r="B693" s="1"/>
    </row>
    <row r="694" spans="1:2" ht="12.75" customHeight="1">
      <c r="A694" s="1"/>
      <c r="B694" s="1"/>
    </row>
    <row r="695" spans="1:2" ht="12.75" customHeight="1">
      <c r="A695" s="1"/>
      <c r="B695" s="1"/>
    </row>
    <row r="696" spans="1:2" ht="12.75" customHeight="1">
      <c r="A696" s="1"/>
      <c r="B696" s="1"/>
    </row>
    <row r="697" spans="1:2" ht="12.75" customHeight="1">
      <c r="A697" s="1"/>
      <c r="B697" s="1"/>
    </row>
    <row r="698" spans="1:2" ht="12.75" customHeight="1">
      <c r="A698" s="1"/>
      <c r="B698" s="1"/>
    </row>
    <row r="699" spans="1:2" ht="12.75" customHeight="1">
      <c r="A699" s="1"/>
      <c r="B699" s="1"/>
    </row>
    <row r="700" spans="1:2" ht="12.75" customHeight="1">
      <c r="A700" s="1"/>
      <c r="B700" s="1"/>
    </row>
    <row r="701" spans="1:2" ht="12.75" customHeight="1">
      <c r="A701" s="1"/>
      <c r="B701" s="1"/>
    </row>
    <row r="702" spans="1:2" ht="12.75" customHeight="1">
      <c r="A702" s="1"/>
      <c r="B702" s="1"/>
    </row>
    <row r="703" spans="1:2" ht="12.75" customHeight="1">
      <c r="A703" s="1"/>
      <c r="B703" s="1"/>
    </row>
    <row r="704" spans="1:2" ht="12.75" customHeight="1">
      <c r="A704" s="1"/>
      <c r="B704" s="1"/>
    </row>
    <row r="705" spans="1:2" ht="12.75" customHeight="1">
      <c r="A705" s="1"/>
      <c r="B705" s="1"/>
    </row>
    <row r="706" spans="1:2" ht="12.75" customHeight="1">
      <c r="A706" s="1"/>
      <c r="B706" s="1"/>
    </row>
    <row r="707" spans="1:2" ht="12.75" customHeight="1">
      <c r="A707" s="1"/>
      <c r="B707" s="1"/>
    </row>
    <row r="708" spans="1:2" ht="12.75" customHeight="1">
      <c r="A708" s="1"/>
      <c r="B708" s="1"/>
    </row>
    <row r="709" spans="1:2" ht="12.75" customHeight="1">
      <c r="A709" s="1"/>
      <c r="B709" s="1"/>
    </row>
    <row r="710" spans="1:2" ht="12.75" customHeight="1">
      <c r="A710" s="1"/>
      <c r="B710" s="1"/>
    </row>
    <row r="711" spans="1:2" ht="12.75" customHeight="1">
      <c r="A711" s="1"/>
      <c r="B711" s="1"/>
    </row>
    <row r="712" spans="1:2" ht="12.75" customHeight="1">
      <c r="A712" s="1"/>
      <c r="B712" s="1"/>
    </row>
    <row r="713" spans="1:2" ht="12.75" customHeight="1">
      <c r="A713" s="1"/>
      <c r="B713" s="1"/>
    </row>
    <row r="714" spans="1:2" ht="12.75" customHeight="1">
      <c r="A714" s="1"/>
      <c r="B714" s="1"/>
    </row>
    <row r="715" spans="1:2" ht="12.75" customHeight="1">
      <c r="A715" s="1"/>
      <c r="B715" s="1"/>
    </row>
    <row r="716" spans="1:2" ht="12.75" customHeight="1">
      <c r="A716" s="1"/>
      <c r="B716" s="1"/>
    </row>
    <row r="717" spans="1:2" ht="12.75" customHeight="1">
      <c r="A717" s="1"/>
      <c r="B717" s="1"/>
    </row>
    <row r="718" spans="1:2" ht="12.75" customHeight="1">
      <c r="A718" s="1"/>
      <c r="B718" s="1"/>
    </row>
    <row r="719" spans="1:2" ht="12.75" customHeight="1">
      <c r="A719" s="1"/>
      <c r="B719" s="1"/>
    </row>
    <row r="720" spans="1:2" ht="12.75" customHeight="1">
      <c r="A720" s="1"/>
      <c r="B720" s="1"/>
    </row>
    <row r="721" spans="1:2" ht="12.75" customHeight="1">
      <c r="A721" s="1"/>
      <c r="B721" s="1"/>
    </row>
    <row r="722" spans="1:2" ht="12.75" customHeight="1">
      <c r="A722" s="1"/>
      <c r="B722" s="1"/>
    </row>
    <row r="723" spans="1:2" ht="12.75" customHeight="1">
      <c r="A723" s="1"/>
      <c r="B723" s="1"/>
    </row>
    <row r="724" spans="1:2" ht="12.75" customHeight="1">
      <c r="A724" s="1"/>
      <c r="B724" s="1"/>
    </row>
    <row r="725" spans="1:2" ht="12.75" customHeight="1">
      <c r="A725" s="1"/>
      <c r="B725" s="1"/>
    </row>
    <row r="726" spans="1:2" ht="12.75" customHeight="1">
      <c r="A726" s="1"/>
      <c r="B726" s="1"/>
    </row>
    <row r="727" spans="1:2" ht="12.75" customHeight="1">
      <c r="A727" s="1"/>
      <c r="B727" s="1"/>
    </row>
    <row r="728" spans="1:2" ht="12.75" customHeight="1">
      <c r="A728" s="1"/>
      <c r="B728" s="1"/>
    </row>
    <row r="729" spans="1:2" ht="12.75" customHeight="1">
      <c r="A729" s="1"/>
      <c r="B729" s="1"/>
    </row>
    <row r="730" spans="1:2" ht="12.75" customHeight="1">
      <c r="A730" s="1"/>
      <c r="B730" s="1"/>
    </row>
    <row r="731" spans="1:2" ht="12.75" customHeight="1">
      <c r="A731" s="1"/>
      <c r="B731" s="1"/>
    </row>
    <row r="732" spans="1:2" ht="12.75" customHeight="1">
      <c r="A732" s="1"/>
      <c r="B732" s="1"/>
    </row>
    <row r="733" spans="1:2" ht="12.75" customHeight="1">
      <c r="A733" s="1"/>
      <c r="B733" s="1"/>
    </row>
    <row r="734" spans="1:2" ht="12.75" customHeight="1">
      <c r="A734" s="1"/>
      <c r="B734" s="1"/>
    </row>
    <row r="735" spans="1:2" ht="12.75" customHeight="1">
      <c r="A735" s="1"/>
      <c r="B735" s="1"/>
    </row>
    <row r="736" spans="1:2" ht="12.75" customHeight="1">
      <c r="A736" s="1"/>
      <c r="B736" s="1"/>
    </row>
    <row r="737" spans="1:2" ht="12.75" customHeight="1">
      <c r="A737" s="1"/>
      <c r="B737" s="1"/>
    </row>
    <row r="738" spans="1:2" ht="12.75" customHeight="1">
      <c r="A738" s="1"/>
      <c r="B738" s="1"/>
    </row>
    <row r="739" spans="1:2" ht="12.75" customHeight="1">
      <c r="A739" s="1"/>
      <c r="B739" s="1"/>
    </row>
    <row r="740" spans="1:2" ht="12.75" customHeight="1">
      <c r="A740" s="1"/>
      <c r="B740" s="1"/>
    </row>
    <row r="741" spans="1:2" ht="12.75" customHeight="1">
      <c r="A741" s="1"/>
      <c r="B741" s="1"/>
    </row>
    <row r="742" spans="1:2" ht="12.75" customHeight="1">
      <c r="A742" s="1"/>
      <c r="B742" s="1"/>
    </row>
    <row r="743" spans="1:2" ht="12.75" customHeight="1">
      <c r="A743" s="1"/>
      <c r="B743" s="1"/>
    </row>
    <row r="744" spans="1:2" ht="12.75" customHeight="1">
      <c r="A744" s="1"/>
      <c r="B744" s="1"/>
    </row>
    <row r="745" spans="1:2" ht="12.75" customHeight="1">
      <c r="A745" s="1"/>
      <c r="B745" s="1"/>
    </row>
    <row r="746" spans="1:2" ht="12.75" customHeight="1">
      <c r="A746" s="1"/>
      <c r="B746" s="1"/>
    </row>
    <row r="747" spans="1:2" ht="12.75" customHeight="1">
      <c r="A747" s="1"/>
      <c r="B747" s="1"/>
    </row>
    <row r="748" spans="1:2" ht="12.75" customHeight="1">
      <c r="A748" s="1"/>
      <c r="B748" s="1"/>
    </row>
    <row r="749" spans="1:2" ht="12.75" customHeight="1">
      <c r="A749" s="1"/>
      <c r="B749" s="1"/>
    </row>
    <row r="750" spans="1:2" ht="12.75" customHeight="1">
      <c r="A750" s="1"/>
      <c r="B750" s="1"/>
    </row>
    <row r="751" spans="1:2" ht="12.75" customHeight="1">
      <c r="A751" s="1"/>
      <c r="B751" s="1"/>
    </row>
    <row r="752" spans="1:2" ht="12.75" customHeight="1">
      <c r="A752" s="1"/>
      <c r="B752" s="1"/>
    </row>
    <row r="753" spans="1:2" ht="12.75" customHeight="1">
      <c r="A753" s="1"/>
      <c r="B753" s="1"/>
    </row>
    <row r="754" spans="1:2" ht="12.75" customHeight="1">
      <c r="A754" s="1"/>
      <c r="B754" s="1"/>
    </row>
    <row r="755" spans="1:2" ht="12.75" customHeight="1">
      <c r="A755" s="1"/>
      <c r="B755" s="1"/>
    </row>
    <row r="756" spans="1:2" ht="12.75" customHeight="1">
      <c r="A756" s="1"/>
      <c r="B756" s="1"/>
    </row>
    <row r="757" spans="1:2" ht="12.75" customHeight="1">
      <c r="A757" s="1"/>
      <c r="B757" s="1"/>
    </row>
    <row r="758" spans="1:2" ht="12.75" customHeight="1">
      <c r="A758" s="1"/>
      <c r="B758" s="1"/>
    </row>
    <row r="759" spans="1:2" ht="12.75" customHeight="1">
      <c r="A759" s="1"/>
      <c r="B759" s="1"/>
    </row>
    <row r="760" spans="1:2" ht="12.75" customHeight="1">
      <c r="A760" s="1"/>
      <c r="B760" s="1"/>
    </row>
    <row r="761" spans="1:2" ht="12.75" customHeight="1">
      <c r="A761" s="1"/>
      <c r="B761" s="1"/>
    </row>
    <row r="762" spans="1:2" ht="12.75" customHeight="1">
      <c r="A762" s="1"/>
      <c r="B762" s="1"/>
    </row>
    <row r="763" spans="1:2" ht="12.75" customHeight="1">
      <c r="A763" s="1"/>
      <c r="B763" s="1"/>
    </row>
    <row r="764" spans="1:2" ht="12.75" customHeight="1">
      <c r="A764" s="1"/>
      <c r="B764" s="1"/>
    </row>
    <row r="765" spans="1:2" ht="12.75" customHeight="1">
      <c r="A765" s="1"/>
      <c r="B765" s="1"/>
    </row>
    <row r="766" spans="1:2" ht="12.75" customHeight="1">
      <c r="A766" s="1"/>
      <c r="B766" s="1"/>
    </row>
    <row r="767" spans="1:2" ht="12.75" customHeight="1">
      <c r="A767" s="1"/>
      <c r="B767" s="1"/>
    </row>
    <row r="768" spans="1:2" ht="12.75" customHeight="1">
      <c r="A768" s="1"/>
      <c r="B768" s="1"/>
    </row>
    <row r="769" spans="1:2" ht="12.75" customHeight="1">
      <c r="A769" s="1"/>
      <c r="B769" s="1"/>
    </row>
    <row r="770" spans="1:2" ht="12.75" customHeight="1">
      <c r="A770" s="1"/>
      <c r="B770" s="1"/>
    </row>
    <row r="771" spans="1:2" ht="12.75" customHeight="1">
      <c r="A771" s="1"/>
      <c r="B771" s="1"/>
    </row>
    <row r="772" spans="1:2" ht="12.75" customHeight="1">
      <c r="A772" s="1"/>
      <c r="B772" s="1"/>
    </row>
    <row r="773" spans="1:2" ht="12.75" customHeight="1">
      <c r="A773" s="1"/>
      <c r="B773" s="1"/>
    </row>
    <row r="774" spans="1:2" ht="12.75" customHeight="1">
      <c r="A774" s="1"/>
      <c r="B774" s="1"/>
    </row>
    <row r="775" spans="1:2" ht="12.75" customHeight="1">
      <c r="A775" s="1"/>
      <c r="B775" s="1"/>
    </row>
    <row r="776" spans="1:2" ht="12.75" customHeight="1">
      <c r="A776" s="1"/>
      <c r="B776" s="1"/>
    </row>
    <row r="777" spans="1:2" ht="12.75" customHeight="1">
      <c r="A777" s="1"/>
      <c r="B777" s="1"/>
    </row>
    <row r="778" spans="1:2" ht="12.75" customHeight="1">
      <c r="A778" s="1"/>
      <c r="B778" s="1"/>
    </row>
    <row r="779" spans="1:2" ht="12.75" customHeight="1">
      <c r="A779" s="1"/>
      <c r="B779" s="1"/>
    </row>
    <row r="780" spans="1:2" ht="12.75" customHeight="1">
      <c r="A780" s="1"/>
      <c r="B780" s="1"/>
    </row>
    <row r="781" spans="1:2" ht="12.75" customHeight="1">
      <c r="A781" s="1"/>
      <c r="B781" s="1"/>
    </row>
    <row r="782" spans="1:2" ht="12.75" customHeight="1">
      <c r="A782" s="1"/>
      <c r="B782" s="1"/>
    </row>
    <row r="783" spans="1:2" ht="12.75" customHeight="1">
      <c r="A783" s="1"/>
      <c r="B783" s="1"/>
    </row>
    <row r="784" spans="1:2" ht="12.75" customHeight="1">
      <c r="A784" s="1"/>
      <c r="B784" s="1"/>
    </row>
    <row r="785" spans="1:2" ht="12.75" customHeight="1">
      <c r="A785" s="1"/>
      <c r="B785" s="1"/>
    </row>
    <row r="786" spans="1:2" ht="12.75" customHeight="1">
      <c r="A786" s="1"/>
      <c r="B786" s="1"/>
    </row>
    <row r="787" spans="1:2" ht="12.75" customHeight="1">
      <c r="A787" s="1"/>
      <c r="B787" s="1"/>
    </row>
    <row r="788" spans="1:2" ht="12.75" customHeight="1">
      <c r="A788" s="1"/>
      <c r="B788" s="1"/>
    </row>
    <row r="789" spans="1:2" ht="12.75" customHeight="1">
      <c r="A789" s="1"/>
      <c r="B789" s="1"/>
    </row>
    <row r="790" spans="1:2" ht="12.75" customHeight="1">
      <c r="A790" s="1"/>
      <c r="B790" s="1"/>
    </row>
    <row r="791" spans="1:2" ht="12.75" customHeight="1">
      <c r="A791" s="1"/>
      <c r="B791" s="1"/>
    </row>
    <row r="792" spans="1:2" ht="12.75" customHeight="1">
      <c r="A792" s="1"/>
      <c r="B792" s="1"/>
    </row>
    <row r="793" spans="1:2" ht="12.75" customHeight="1">
      <c r="A793" s="1"/>
      <c r="B793" s="1"/>
    </row>
    <row r="794" spans="1:2" ht="12.75" customHeight="1">
      <c r="A794" s="1"/>
      <c r="B794" s="1"/>
    </row>
    <row r="795" spans="1:2" ht="12.75" customHeight="1">
      <c r="A795" s="1"/>
      <c r="B795" s="1"/>
    </row>
    <row r="796" spans="1:2" ht="12.75" customHeight="1">
      <c r="A796" s="1"/>
      <c r="B796" s="1"/>
    </row>
    <row r="797" spans="1:2" ht="12.75" customHeight="1">
      <c r="A797" s="1"/>
      <c r="B797" s="1"/>
    </row>
    <row r="798" spans="1:2" ht="12.75" customHeight="1">
      <c r="A798" s="1"/>
      <c r="B798" s="1"/>
    </row>
    <row r="799" spans="1:2" ht="12.75" customHeight="1">
      <c r="A799" s="1"/>
      <c r="B799" s="1"/>
    </row>
    <row r="800" spans="1:2" ht="12.75" customHeight="1">
      <c r="A800" s="1"/>
      <c r="B800" s="1"/>
    </row>
    <row r="801" spans="1:2" ht="12.75" customHeight="1">
      <c r="A801" s="1"/>
      <c r="B801" s="1"/>
    </row>
    <row r="802" spans="1:2" ht="12.75" customHeight="1">
      <c r="A802" s="1"/>
      <c r="B802" s="1"/>
    </row>
    <row r="803" spans="1:2" ht="12.75" customHeight="1">
      <c r="A803" s="1"/>
      <c r="B803" s="1"/>
    </row>
    <row r="804" spans="1:2" ht="12.75" customHeight="1">
      <c r="A804" s="1"/>
      <c r="B804" s="1"/>
    </row>
    <row r="805" spans="1:2" ht="12.75" customHeight="1">
      <c r="A805" s="1"/>
      <c r="B805" s="1"/>
    </row>
    <row r="806" spans="1:2" ht="12.75" customHeight="1">
      <c r="A806" s="1"/>
      <c r="B806" s="1"/>
    </row>
    <row r="807" spans="1:2" ht="12.75" customHeight="1">
      <c r="A807" s="1"/>
      <c r="B807" s="1"/>
    </row>
    <row r="808" spans="1:2" ht="12.75" customHeight="1">
      <c r="A808" s="1"/>
      <c r="B808" s="1"/>
    </row>
    <row r="809" spans="1:2" ht="12.75" customHeight="1">
      <c r="A809" s="1"/>
      <c r="B809" s="1"/>
    </row>
    <row r="810" spans="1:2" ht="12.75" customHeight="1">
      <c r="A810" s="1"/>
      <c r="B810" s="1"/>
    </row>
    <row r="811" spans="1:2" ht="12.75" customHeight="1">
      <c r="A811" s="1"/>
      <c r="B811" s="1"/>
    </row>
    <row r="812" spans="1:2" ht="12.75" customHeight="1">
      <c r="A812" s="1"/>
      <c r="B812" s="1"/>
    </row>
    <row r="813" spans="1:2" ht="12.75" customHeight="1">
      <c r="A813" s="1"/>
      <c r="B813" s="1"/>
    </row>
    <row r="814" spans="1:2" ht="12.75" customHeight="1">
      <c r="A814" s="1"/>
      <c r="B814" s="1"/>
    </row>
    <row r="815" spans="1:2" ht="12.75" customHeight="1">
      <c r="A815" s="1"/>
      <c r="B815" s="1"/>
    </row>
    <row r="816" spans="1:2" ht="12.75" customHeight="1">
      <c r="A816" s="1"/>
      <c r="B816" s="1"/>
    </row>
    <row r="817" spans="1:2" ht="12.75" customHeight="1">
      <c r="A817" s="1"/>
      <c r="B817" s="1"/>
    </row>
    <row r="818" spans="1:2" ht="12.75" customHeight="1">
      <c r="A818" s="1"/>
      <c r="B818" s="1"/>
    </row>
    <row r="819" spans="1:2" ht="12.75" customHeight="1">
      <c r="A819" s="1"/>
      <c r="B819" s="1"/>
    </row>
    <row r="820" spans="1:2" ht="12.75" customHeight="1">
      <c r="A820" s="1"/>
      <c r="B820" s="1"/>
    </row>
    <row r="821" spans="1:2" ht="12.75" customHeight="1">
      <c r="A821" s="1"/>
      <c r="B821" s="1"/>
    </row>
    <row r="822" spans="1:2" ht="12.75" customHeight="1">
      <c r="A822" s="1"/>
      <c r="B822" s="1"/>
    </row>
    <row r="823" spans="1:2" ht="12.75" customHeight="1">
      <c r="A823" s="1"/>
      <c r="B823" s="1"/>
    </row>
    <row r="824" spans="1:2" ht="12.75" customHeight="1">
      <c r="A824" s="1"/>
      <c r="B824" s="1"/>
    </row>
    <row r="825" spans="1:2" ht="12.75" customHeight="1">
      <c r="A825" s="1"/>
      <c r="B825" s="1"/>
    </row>
    <row r="826" spans="1:2" ht="12.75" customHeight="1">
      <c r="A826" s="1"/>
      <c r="B826" s="1"/>
    </row>
    <row r="827" spans="1:2" ht="12.75" customHeight="1">
      <c r="A827" s="1"/>
      <c r="B827" s="1"/>
    </row>
    <row r="828" spans="1:2" ht="12.75" customHeight="1">
      <c r="A828" s="1"/>
      <c r="B828" s="1"/>
    </row>
    <row r="829" spans="1:2" ht="12.75" customHeight="1">
      <c r="A829" s="1"/>
      <c r="B829" s="1"/>
    </row>
    <row r="830" spans="1:2" ht="12.75" customHeight="1">
      <c r="A830" s="1"/>
      <c r="B830" s="1"/>
    </row>
    <row r="831" spans="1:2" ht="12.75" customHeight="1">
      <c r="A831" s="1"/>
      <c r="B831" s="1"/>
    </row>
    <row r="832" spans="1:2" ht="12.75" customHeight="1">
      <c r="A832" s="1"/>
      <c r="B832" s="1"/>
    </row>
    <row r="833" spans="1:2" ht="12.75" customHeight="1">
      <c r="A833" s="1"/>
      <c r="B833" s="1"/>
    </row>
    <row r="834" spans="1:2" ht="12.75" customHeight="1">
      <c r="A834" s="1"/>
      <c r="B834" s="1"/>
    </row>
    <row r="835" spans="1:2" ht="12.75" customHeight="1">
      <c r="A835" s="1"/>
      <c r="B835" s="1"/>
    </row>
    <row r="836" spans="1:2" ht="12.75" customHeight="1">
      <c r="A836" s="1"/>
      <c r="B836" s="1"/>
    </row>
    <row r="837" spans="1:2" ht="12.75" customHeight="1">
      <c r="A837" s="1"/>
      <c r="B837" s="1"/>
    </row>
    <row r="838" spans="1:2" ht="12.75" customHeight="1">
      <c r="A838" s="1"/>
      <c r="B838" s="1"/>
    </row>
    <row r="839" spans="1:2" ht="12.75" customHeight="1">
      <c r="A839" s="1"/>
      <c r="B839" s="1"/>
    </row>
    <row r="840" spans="1:2" ht="12.75" customHeight="1">
      <c r="A840" s="1"/>
      <c r="B840" s="1"/>
    </row>
    <row r="841" spans="1:2" ht="12.75" customHeight="1">
      <c r="A841" s="1"/>
      <c r="B841" s="1"/>
    </row>
    <row r="842" spans="1:2" ht="12.75" customHeight="1">
      <c r="A842" s="1"/>
      <c r="B842" s="1"/>
    </row>
    <row r="843" spans="1:2" ht="12.75" customHeight="1">
      <c r="A843" s="1"/>
      <c r="B843" s="1"/>
    </row>
    <row r="844" spans="1:2" ht="12.75" customHeight="1">
      <c r="A844" s="1"/>
      <c r="B844" s="1"/>
    </row>
    <row r="845" spans="1:2" ht="12.75" customHeight="1">
      <c r="A845" s="1"/>
      <c r="B845" s="1"/>
    </row>
    <row r="846" spans="1:2" ht="12.75" customHeight="1">
      <c r="A846" s="1"/>
      <c r="B846" s="1"/>
    </row>
    <row r="847" spans="1:2" ht="12.75" customHeight="1">
      <c r="A847" s="1"/>
      <c r="B847" s="1"/>
    </row>
    <row r="848" spans="1:2" ht="12.75" customHeight="1">
      <c r="A848" s="1"/>
      <c r="B848" s="1"/>
    </row>
    <row r="849" spans="1:2" ht="12.75" customHeight="1">
      <c r="A849" s="1"/>
      <c r="B849" s="1"/>
    </row>
    <row r="850" spans="1:2" ht="12.75" customHeight="1">
      <c r="A850" s="1"/>
      <c r="B850" s="1"/>
    </row>
    <row r="851" spans="1:2" ht="12.75" customHeight="1">
      <c r="A851" s="1"/>
      <c r="B851" s="1"/>
    </row>
    <row r="852" spans="1:2" ht="12.75" customHeight="1">
      <c r="A852" s="1"/>
      <c r="B852" s="1"/>
    </row>
    <row r="853" spans="1:2" ht="12.75" customHeight="1">
      <c r="A853" s="1"/>
      <c r="B853" s="1"/>
    </row>
    <row r="854" spans="1:2" ht="12.75" customHeight="1">
      <c r="A854" s="1"/>
      <c r="B854" s="1"/>
    </row>
    <row r="855" spans="1:2" ht="12.75" customHeight="1">
      <c r="A855" s="1"/>
      <c r="B855" s="1"/>
    </row>
    <row r="856" spans="1:2" ht="12.75" customHeight="1">
      <c r="A856" s="1"/>
      <c r="B856" s="1"/>
    </row>
    <row r="857" spans="1:2" ht="12.75" customHeight="1">
      <c r="A857" s="1"/>
      <c r="B857" s="1"/>
    </row>
    <row r="858" spans="1:2" ht="12.75" customHeight="1">
      <c r="A858" s="1"/>
      <c r="B858" s="1"/>
    </row>
    <row r="859" spans="1:2" ht="12.75" customHeight="1">
      <c r="A859" s="1"/>
      <c r="B859" s="1"/>
    </row>
    <row r="860" spans="1:2" ht="12.75" customHeight="1">
      <c r="A860" s="1"/>
      <c r="B860" s="1"/>
    </row>
    <row r="861" spans="1:2" ht="12.75" customHeight="1">
      <c r="A861" s="1"/>
      <c r="B861" s="1"/>
    </row>
    <row r="862" spans="1:2" ht="12.75" customHeight="1">
      <c r="A862" s="1"/>
      <c r="B862" s="1"/>
    </row>
    <row r="863" spans="1:2" ht="12.75" customHeight="1">
      <c r="A863" s="1"/>
      <c r="B863" s="1"/>
    </row>
    <row r="864" spans="1:2" ht="12.75" customHeight="1">
      <c r="A864" s="1"/>
      <c r="B864" s="1"/>
    </row>
    <row r="865" spans="1:2" ht="12.75" customHeight="1">
      <c r="A865" s="1"/>
      <c r="B865" s="1"/>
    </row>
    <row r="866" spans="1:2" ht="12.75" customHeight="1">
      <c r="A866" s="1"/>
      <c r="B866" s="1"/>
    </row>
    <row r="867" spans="1:2" ht="12.75" customHeight="1">
      <c r="A867" s="1"/>
      <c r="B867" s="1"/>
    </row>
    <row r="868" spans="1:2" ht="12.75" customHeight="1">
      <c r="A868" s="1"/>
      <c r="B868" s="1"/>
    </row>
    <row r="869" spans="1:2" ht="12.75" customHeight="1">
      <c r="A869" s="1"/>
      <c r="B869" s="1"/>
    </row>
    <row r="870" spans="1:2" ht="12.75" customHeight="1">
      <c r="A870" s="1"/>
      <c r="B870" s="1"/>
    </row>
    <row r="871" spans="1:2" ht="12.75" customHeight="1">
      <c r="A871" s="1"/>
      <c r="B871" s="1"/>
    </row>
    <row r="872" spans="1:2" ht="12.75" customHeight="1">
      <c r="A872" s="1"/>
      <c r="B872" s="1"/>
    </row>
    <row r="873" spans="1:2" ht="12.75" customHeight="1">
      <c r="A873" s="1"/>
      <c r="B873" s="1"/>
    </row>
    <row r="874" spans="1:2" ht="12.75" customHeight="1">
      <c r="A874" s="1"/>
      <c r="B874" s="1"/>
    </row>
    <row r="875" spans="1:2" ht="12.75" customHeight="1">
      <c r="A875" s="1"/>
      <c r="B875" s="1"/>
    </row>
    <row r="876" spans="1:2" ht="12.75" customHeight="1">
      <c r="A876" s="1"/>
      <c r="B876" s="1"/>
    </row>
    <row r="877" spans="1:2" ht="12.75" customHeight="1">
      <c r="A877" s="1"/>
      <c r="B877" s="1"/>
    </row>
    <row r="878" spans="1:2" ht="12.75" customHeight="1">
      <c r="A878" s="1"/>
      <c r="B878" s="1"/>
    </row>
    <row r="879" spans="1:2" ht="12.75" customHeight="1">
      <c r="A879" s="1"/>
      <c r="B879" s="1"/>
    </row>
    <row r="880" spans="1:2" ht="12.75" customHeight="1">
      <c r="A880" s="1"/>
      <c r="B880" s="1"/>
    </row>
    <row r="881" spans="1:2" ht="12.75" customHeight="1">
      <c r="A881" s="1"/>
      <c r="B881" s="1"/>
    </row>
    <row r="882" spans="1:2" ht="12.75" customHeight="1">
      <c r="A882" s="1"/>
      <c r="B882" s="1"/>
    </row>
    <row r="883" spans="1:2" ht="12.75" customHeight="1">
      <c r="A883" s="1"/>
      <c r="B883" s="1"/>
    </row>
    <row r="884" spans="1:2" ht="12.75" customHeight="1">
      <c r="A884" s="1"/>
      <c r="B884" s="1"/>
    </row>
    <row r="885" spans="1:2" ht="12.75" customHeight="1">
      <c r="A885" s="1"/>
      <c r="B885" s="1"/>
    </row>
    <row r="886" spans="1:2" ht="12.75" customHeight="1">
      <c r="A886" s="1"/>
      <c r="B886" s="1"/>
    </row>
    <row r="887" spans="1:2" ht="12.75" customHeight="1">
      <c r="A887" s="1"/>
      <c r="B887" s="1"/>
    </row>
    <row r="888" spans="1:2" ht="12.75" customHeight="1">
      <c r="A888" s="1"/>
      <c r="B888" s="1"/>
    </row>
    <row r="889" spans="1:2" ht="12.75" customHeight="1">
      <c r="A889" s="1"/>
      <c r="B889" s="1"/>
    </row>
    <row r="890" spans="1:2" ht="12.75" customHeight="1">
      <c r="A890" s="1"/>
      <c r="B890" s="1"/>
    </row>
    <row r="891" spans="1:2" ht="12.75" customHeight="1">
      <c r="A891" s="1"/>
      <c r="B891" s="1"/>
    </row>
    <row r="892" spans="1:2" ht="12.75" customHeight="1">
      <c r="A892" s="1"/>
      <c r="B892" s="1"/>
    </row>
    <row r="893" spans="1:2" ht="12.75" customHeight="1">
      <c r="A893" s="1"/>
      <c r="B893" s="1"/>
    </row>
    <row r="894" spans="1:2" ht="12.75" customHeight="1">
      <c r="A894" s="1"/>
      <c r="B894" s="1"/>
    </row>
    <row r="895" spans="1:2" ht="12.75" customHeight="1">
      <c r="A895" s="1"/>
      <c r="B895" s="1"/>
    </row>
    <row r="896" spans="1:2" ht="12.75" customHeight="1">
      <c r="A896" s="1"/>
      <c r="B896" s="1"/>
    </row>
    <row r="897" spans="1:2" ht="12.75" customHeight="1">
      <c r="A897" s="1"/>
      <c r="B897" s="1"/>
    </row>
    <row r="898" spans="1:2" ht="12.75" customHeight="1">
      <c r="A898" s="1"/>
      <c r="B898" s="1"/>
    </row>
    <row r="899" spans="1:2" ht="12.75" customHeight="1">
      <c r="A899" s="1"/>
      <c r="B899" s="1"/>
    </row>
    <row r="900" spans="1:2" ht="12.75" customHeight="1">
      <c r="A900" s="1"/>
      <c r="B900" s="1"/>
    </row>
    <row r="901" spans="1:2" ht="12.75" customHeight="1">
      <c r="A901" s="1"/>
      <c r="B901" s="1"/>
    </row>
    <row r="902" spans="1:2" ht="12.75" customHeight="1">
      <c r="A902" s="1"/>
      <c r="B902" s="1"/>
    </row>
    <row r="903" spans="1:2" ht="12.75" customHeight="1">
      <c r="A903" s="1"/>
      <c r="B903" s="1"/>
    </row>
    <row r="904" spans="1:2" ht="12.75" customHeight="1">
      <c r="A904" s="1"/>
      <c r="B904" s="1"/>
    </row>
    <row r="905" spans="1:2" ht="12.75" customHeight="1">
      <c r="A905" s="1"/>
      <c r="B905" s="1"/>
    </row>
    <row r="906" spans="1:2" ht="12.75" customHeight="1">
      <c r="A906" s="1"/>
      <c r="B906" s="1"/>
    </row>
    <row r="907" spans="1:2" ht="12.75" customHeight="1">
      <c r="A907" s="1"/>
      <c r="B907" s="1"/>
    </row>
    <row r="908" spans="1:2" ht="12.75" customHeight="1">
      <c r="A908" s="1"/>
      <c r="B908" s="1"/>
    </row>
    <row r="909" spans="1:2" ht="12.75" customHeight="1">
      <c r="A909" s="1"/>
      <c r="B909" s="1"/>
    </row>
    <row r="910" spans="1:2" ht="12.75" customHeight="1">
      <c r="A910" s="1"/>
      <c r="B910" s="1"/>
    </row>
    <row r="911" spans="1:2" ht="12.75" customHeight="1">
      <c r="A911" s="1"/>
      <c r="B911" s="1"/>
    </row>
    <row r="912" spans="1:2" ht="12.75" customHeight="1">
      <c r="A912" s="1"/>
      <c r="B912" s="1"/>
    </row>
    <row r="913" spans="1:2" ht="12.75" customHeight="1">
      <c r="A913" s="1"/>
      <c r="B913" s="1"/>
    </row>
    <row r="914" spans="1:2" ht="12.75" customHeight="1">
      <c r="A914" s="1"/>
      <c r="B914" s="1"/>
    </row>
    <row r="915" spans="1:2" ht="12.75" customHeight="1">
      <c r="A915" s="1"/>
      <c r="B915" s="1"/>
    </row>
    <row r="916" spans="1:2" ht="12.75" customHeight="1">
      <c r="A916" s="1"/>
      <c r="B916" s="1"/>
    </row>
    <row r="917" spans="1:2" ht="12.75" customHeight="1">
      <c r="A917" s="1"/>
      <c r="B917" s="1"/>
    </row>
    <row r="918" spans="1:2" ht="12.75" customHeight="1">
      <c r="A918" s="1"/>
      <c r="B918" s="1"/>
    </row>
    <row r="919" spans="1:2" ht="12.75" customHeight="1">
      <c r="A919" s="1"/>
      <c r="B919" s="1"/>
    </row>
    <row r="920" spans="1:2" ht="12.75" customHeight="1">
      <c r="A920" s="1"/>
      <c r="B920" s="1"/>
    </row>
    <row r="921" spans="1:2" ht="12.75" customHeight="1">
      <c r="A921" s="1"/>
      <c r="B921" s="1"/>
    </row>
    <row r="922" spans="1:2" ht="12.75" customHeight="1">
      <c r="A922" s="1"/>
      <c r="B922" s="1"/>
    </row>
    <row r="923" spans="1:2" ht="12.75" customHeight="1">
      <c r="A923" s="1"/>
      <c r="B923" s="1"/>
    </row>
    <row r="924" spans="1:2" ht="12.75" customHeight="1">
      <c r="A924" s="1"/>
      <c r="B924" s="1"/>
    </row>
    <row r="925" spans="1:2" ht="12.75" customHeight="1">
      <c r="A925" s="1"/>
      <c r="B925" s="1"/>
    </row>
    <row r="926" spans="1:2" ht="12.75" customHeight="1">
      <c r="A926" s="1"/>
      <c r="B926" s="1"/>
    </row>
    <row r="927" spans="1:2" ht="12.75" customHeight="1">
      <c r="A927" s="1"/>
      <c r="B927" s="1"/>
    </row>
    <row r="928" spans="1:2" ht="12.75" customHeight="1">
      <c r="A928" s="1"/>
      <c r="B928" s="1"/>
    </row>
    <row r="929" spans="1:2" ht="12.75" customHeight="1">
      <c r="A929" s="1"/>
      <c r="B929" s="1"/>
    </row>
    <row r="930" spans="1:2" ht="12.75" customHeight="1">
      <c r="A930" s="1"/>
      <c r="B930" s="1"/>
    </row>
    <row r="931" spans="1:2" ht="12.75" customHeight="1">
      <c r="A931" s="1"/>
      <c r="B931" s="1"/>
    </row>
    <row r="932" spans="1:2" ht="12.75" customHeight="1">
      <c r="A932" s="1"/>
      <c r="B932" s="1"/>
    </row>
    <row r="933" spans="1:2" ht="12.75" customHeight="1">
      <c r="A933" s="1"/>
      <c r="B933" s="1"/>
    </row>
    <row r="934" spans="1:2" ht="12.75" customHeight="1">
      <c r="A934" s="1"/>
      <c r="B934" s="1"/>
    </row>
    <row r="935" spans="1:2" ht="12.75" customHeight="1">
      <c r="A935" s="1"/>
      <c r="B935" s="1"/>
    </row>
    <row r="936" spans="1:2" ht="12.75" customHeight="1">
      <c r="A936" s="1"/>
      <c r="B936" s="1"/>
    </row>
    <row r="937" spans="1:2" ht="12.75" customHeight="1">
      <c r="A937" s="1"/>
      <c r="B937" s="1"/>
    </row>
    <row r="938" spans="1:2" ht="12.75" customHeight="1">
      <c r="A938" s="1"/>
      <c r="B938" s="1"/>
    </row>
    <row r="939" spans="1:2" ht="12.75" customHeight="1">
      <c r="A939" s="1"/>
      <c r="B939" s="1"/>
    </row>
    <row r="940" spans="1:2" ht="12.75" customHeight="1">
      <c r="A940" s="1"/>
      <c r="B940" s="1"/>
    </row>
    <row r="941" spans="1:2" ht="12.75" customHeight="1">
      <c r="A941" s="1"/>
      <c r="B941" s="1"/>
    </row>
    <row r="942" spans="1:2" ht="12.75" customHeight="1">
      <c r="A942" s="1"/>
      <c r="B942" s="1"/>
    </row>
    <row r="943" spans="1:2" ht="12.75" customHeight="1">
      <c r="A943" s="1"/>
      <c r="B943" s="1"/>
    </row>
    <row r="944" spans="1:2" ht="12.75" customHeight="1">
      <c r="A944" s="1"/>
      <c r="B944" s="1"/>
    </row>
    <row r="945" spans="1:2" ht="12.75" customHeight="1">
      <c r="A945" s="1"/>
      <c r="B945" s="1"/>
    </row>
    <row r="946" spans="1:2" ht="12.75" customHeight="1">
      <c r="A946" s="1"/>
      <c r="B946" s="1"/>
    </row>
    <row r="947" spans="1:2" ht="12.75" customHeight="1">
      <c r="A947" s="1"/>
      <c r="B947" s="1"/>
    </row>
    <row r="948" spans="1:2" ht="12.75" customHeight="1">
      <c r="A948" s="1"/>
      <c r="B948" s="1"/>
    </row>
    <row r="949" spans="1:2" ht="12.75" customHeight="1">
      <c r="A949" s="1"/>
      <c r="B949" s="1"/>
    </row>
    <row r="950" spans="1:2" ht="12.75" customHeight="1">
      <c r="A950" s="1"/>
      <c r="B950" s="1"/>
    </row>
    <row r="951" spans="1:2" ht="12.75" customHeight="1">
      <c r="A951" s="1"/>
      <c r="B951" s="1"/>
    </row>
    <row r="952" spans="1:2" ht="12.75" customHeight="1">
      <c r="A952" s="1"/>
      <c r="B952" s="1"/>
    </row>
    <row r="953" spans="1:2" ht="12.75" customHeight="1">
      <c r="A953" s="1"/>
      <c r="B953" s="1"/>
    </row>
    <row r="954" spans="1:2" ht="12.75" customHeight="1">
      <c r="A954" s="1"/>
      <c r="B954" s="1"/>
    </row>
    <row r="955" spans="1:2" ht="12.75" customHeight="1">
      <c r="A955" s="1"/>
      <c r="B955" s="1"/>
    </row>
    <row r="956" spans="1:2" ht="12.75" customHeight="1">
      <c r="A956" s="1"/>
      <c r="B956" s="1"/>
    </row>
    <row r="957" spans="1:2" ht="12.75" customHeight="1">
      <c r="A957" s="1"/>
      <c r="B957" s="1"/>
    </row>
    <row r="958" spans="1:2" ht="12.75" customHeight="1">
      <c r="A958" s="1"/>
      <c r="B958" s="1"/>
    </row>
    <row r="959" spans="1:2" ht="12.75" customHeight="1">
      <c r="A959" s="1"/>
      <c r="B959" s="1"/>
    </row>
    <row r="960" spans="1:2" ht="12.75" customHeight="1">
      <c r="A960" s="1"/>
      <c r="B960" s="1"/>
    </row>
    <row r="961" spans="1:2" ht="12.75" customHeight="1">
      <c r="A961" s="1"/>
      <c r="B961" s="1"/>
    </row>
    <row r="962" spans="1:2" ht="12.75" customHeight="1">
      <c r="A962" s="1"/>
      <c r="B962" s="1"/>
    </row>
    <row r="963" spans="1:2" ht="12.75" customHeight="1">
      <c r="A963" s="1"/>
      <c r="B963" s="1"/>
    </row>
    <row r="964" spans="1:2" ht="12.75" customHeight="1">
      <c r="A964" s="1"/>
      <c r="B964" s="1"/>
    </row>
    <row r="965" spans="1:2" ht="12.75" customHeight="1">
      <c r="A965" s="1"/>
      <c r="B965" s="1"/>
    </row>
    <row r="966" spans="1:2" ht="12.75" customHeight="1">
      <c r="A966" s="1"/>
      <c r="B966" s="1"/>
    </row>
    <row r="967" spans="1:2" ht="12.75" customHeight="1">
      <c r="A967" s="1"/>
      <c r="B967" s="1"/>
    </row>
    <row r="968" spans="1:2" ht="12.75" customHeight="1">
      <c r="A968" s="1"/>
      <c r="B968" s="1"/>
    </row>
    <row r="969" spans="1:2" ht="12.75" customHeight="1">
      <c r="A969" s="1"/>
      <c r="B969" s="1"/>
    </row>
    <row r="970" spans="1:2" ht="12.75" customHeight="1">
      <c r="A970" s="1"/>
      <c r="B970" s="1"/>
    </row>
    <row r="971" spans="1:2" ht="12.75" customHeight="1">
      <c r="A971" s="1"/>
      <c r="B971" s="1"/>
    </row>
    <row r="972" spans="1:2" ht="12.75" customHeight="1">
      <c r="A972" s="1"/>
      <c r="B972" s="1"/>
    </row>
    <row r="973" spans="1:2" ht="12.75" customHeight="1">
      <c r="A973" s="1"/>
      <c r="B973" s="1"/>
    </row>
    <row r="974" spans="1:2" ht="12.75" customHeight="1">
      <c r="A974" s="1"/>
      <c r="B974" s="1"/>
    </row>
    <row r="975" spans="1:2" ht="12.75" customHeight="1">
      <c r="A975" s="1"/>
      <c r="B975" s="1"/>
    </row>
    <row r="976" spans="1:2" ht="12.75" customHeight="1">
      <c r="A976" s="1"/>
      <c r="B976" s="1"/>
    </row>
    <row r="977" spans="1:2" ht="12.75" customHeight="1">
      <c r="A977" s="1"/>
      <c r="B977" s="1"/>
    </row>
    <row r="978" spans="1:2" ht="12.75" customHeight="1">
      <c r="A978" s="1"/>
      <c r="B978" s="1"/>
    </row>
    <row r="979" spans="1:2" ht="12.75" customHeight="1">
      <c r="A979" s="1"/>
      <c r="B979" s="1"/>
    </row>
    <row r="980" spans="1:2" ht="12.75" customHeight="1">
      <c r="A980" s="1"/>
      <c r="B980" s="1"/>
    </row>
    <row r="981" spans="1:2" ht="12.75" customHeight="1">
      <c r="A981" s="1"/>
      <c r="B981" s="1"/>
    </row>
    <row r="982" spans="1:2" ht="12.75" customHeight="1">
      <c r="A982" s="1"/>
      <c r="B982" s="1"/>
    </row>
    <row r="983" spans="1:2" ht="12.75" customHeight="1">
      <c r="A983" s="1"/>
      <c r="B983" s="1"/>
    </row>
    <row r="984" spans="1:2" ht="12.75" customHeight="1">
      <c r="A984" s="1"/>
      <c r="B984" s="1"/>
    </row>
    <row r="985" spans="1:2" ht="12.75" customHeight="1">
      <c r="A985" s="1"/>
      <c r="B985" s="1"/>
    </row>
    <row r="986" spans="1:2" ht="12.75" customHeight="1">
      <c r="A986" s="1"/>
      <c r="B986" s="1"/>
    </row>
    <row r="987" spans="1:2" ht="12.75" customHeight="1">
      <c r="A987" s="1"/>
      <c r="B987" s="1"/>
    </row>
    <row r="988" spans="1:2" ht="12.75" customHeight="1">
      <c r="A988" s="1"/>
      <c r="B988" s="1"/>
    </row>
    <row r="989" spans="1:2" ht="12.75" customHeight="1">
      <c r="A989" s="1"/>
      <c r="B989" s="1"/>
    </row>
    <row r="990" spans="1:2" ht="12.75" customHeight="1">
      <c r="A990" s="1"/>
      <c r="B990" s="1"/>
    </row>
    <row r="991" spans="1:2" ht="12.75" customHeight="1">
      <c r="A991" s="1"/>
      <c r="B991" s="1"/>
    </row>
    <row r="992" spans="1:2" ht="12.75" customHeight="1">
      <c r="A992" s="1"/>
      <c r="B992" s="1"/>
    </row>
    <row r="993" spans="1:2" ht="12.75" customHeight="1">
      <c r="A993" s="1"/>
      <c r="B993" s="1"/>
    </row>
    <row r="994" spans="1:2" ht="12.75" customHeight="1">
      <c r="A994" s="1"/>
      <c r="B994" s="1"/>
    </row>
    <row r="995" spans="1:2" ht="12.75" customHeight="1">
      <c r="A995" s="1"/>
      <c r="B995" s="1"/>
    </row>
    <row r="996" spans="1:2" ht="12.75" customHeight="1">
      <c r="A996" s="1"/>
      <c r="B996" s="1"/>
    </row>
    <row r="997" spans="1:2" ht="12.75" customHeight="1">
      <c r="A997" s="1"/>
      <c r="B997" s="1"/>
    </row>
    <row r="998" spans="1:2" ht="12.75" customHeight="1">
      <c r="A998" s="1"/>
      <c r="B998" s="1"/>
    </row>
    <row r="999" spans="1:2" ht="12.75" customHeight="1">
      <c r="A999" s="1"/>
      <c r="B999" s="1"/>
    </row>
    <row r="1000" spans="1:2" ht="12.75" customHeight="1">
      <c r="A1000" s="1"/>
      <c r="B1000" s="1"/>
    </row>
    <row r="1001" spans="1:2" ht="12.75" customHeight="1">
      <c r="A1001" s="1"/>
      <c r="B1001" s="1"/>
    </row>
    <row r="1002" spans="1:2" ht="12.75" customHeight="1">
      <c r="A1002" s="1"/>
      <c r="B1002" s="1"/>
    </row>
    <row r="1003" spans="1:2" ht="12.75" customHeight="1">
      <c r="A1003" s="1"/>
      <c r="B1003" s="1"/>
    </row>
    <row r="1004" spans="1:2" ht="12.75" customHeight="1">
      <c r="A1004" s="1"/>
      <c r="B1004" s="1"/>
    </row>
    <row r="1005" spans="1:2" ht="12.75" customHeight="1">
      <c r="A1005" s="1"/>
      <c r="B1005" s="1"/>
    </row>
    <row r="1006" spans="1:2" ht="12.75" customHeight="1">
      <c r="A1006" s="1"/>
      <c r="B1006" s="1"/>
    </row>
    <row r="1007" spans="1:2" ht="12.75" customHeight="1">
      <c r="A1007" s="1"/>
      <c r="B1007" s="1"/>
    </row>
    <row r="1008" spans="1:2" ht="12.75" customHeight="1">
      <c r="A1008" s="1"/>
      <c r="B1008" s="1"/>
    </row>
    <row r="1009" spans="1:2" ht="12.75" customHeight="1">
      <c r="A1009" s="1"/>
      <c r="B1009" s="1"/>
    </row>
    <row r="1010" spans="1:2" ht="12.75" customHeight="1">
      <c r="A1010" s="1"/>
      <c r="B1010" s="1"/>
    </row>
    <row r="1011" spans="1:2" ht="12.75" customHeight="1">
      <c r="A1011" s="1"/>
      <c r="B1011" s="1"/>
    </row>
    <row r="1012" spans="1:2" ht="12.75" customHeight="1">
      <c r="A1012" s="1"/>
      <c r="B1012" s="1"/>
    </row>
    <row r="1013" spans="1:2" ht="12.75" customHeight="1">
      <c r="A1013" s="1"/>
      <c r="B1013" s="1"/>
    </row>
    <row r="1014" spans="1:2" ht="12.75" customHeight="1">
      <c r="A1014" s="1"/>
      <c r="B1014" s="1"/>
    </row>
    <row r="1015" spans="1:2" ht="12.75" customHeight="1">
      <c r="A1015" s="1"/>
      <c r="B1015" s="1"/>
    </row>
    <row r="1016" spans="1:2" ht="12.75" customHeight="1">
      <c r="A1016" s="1"/>
      <c r="B1016" s="1"/>
    </row>
    <row r="1017" spans="1:2" ht="12.75" customHeight="1">
      <c r="A1017" s="1"/>
      <c r="B1017" s="1"/>
    </row>
    <row r="1018" spans="1:2" ht="12.75" customHeight="1">
      <c r="A1018" s="1"/>
      <c r="B1018" s="1"/>
    </row>
    <row r="1019" spans="1:2" ht="12.75" customHeight="1">
      <c r="A1019" s="1"/>
      <c r="B1019" s="1"/>
    </row>
    <row r="1020" spans="1:2" ht="12.75" customHeight="1">
      <c r="A1020" s="1"/>
      <c r="B1020" s="1"/>
    </row>
    <row r="1021" spans="1:2" ht="12.75" customHeight="1">
      <c r="A1021" s="1"/>
      <c r="B1021" s="1"/>
    </row>
    <row r="1022" spans="1:2" ht="12.75" customHeight="1">
      <c r="A1022" s="1"/>
      <c r="B1022" s="1"/>
    </row>
    <row r="1023" spans="1:2" ht="12.75" customHeight="1">
      <c r="A1023" s="1"/>
      <c r="B1023" s="1"/>
    </row>
    <row r="1024" spans="1:2" ht="12.75" customHeight="1">
      <c r="A1024" s="1"/>
      <c r="B1024" s="1"/>
    </row>
    <row r="1025" spans="1:2" ht="12.75" customHeight="1">
      <c r="A1025" s="1"/>
      <c r="B1025" s="1"/>
    </row>
    <row r="1026" spans="1:2" ht="12.75" customHeight="1">
      <c r="A1026" s="1"/>
      <c r="B1026" s="1"/>
    </row>
    <row r="1027" spans="1:2" ht="12.75" customHeight="1">
      <c r="A1027" s="1"/>
      <c r="B1027" s="1"/>
    </row>
    <row r="1028" spans="1:2" ht="12.75" customHeight="1">
      <c r="A1028" s="1"/>
      <c r="B1028" s="1"/>
    </row>
    <row r="1029" spans="1:2" ht="12.75" customHeight="1">
      <c r="A1029" s="1"/>
      <c r="B1029" s="1"/>
    </row>
    <row r="1030" spans="1:2" ht="12.75" customHeight="1">
      <c r="A1030" s="1"/>
      <c r="B1030" s="1"/>
    </row>
    <row r="1031" spans="1:2" ht="12.75" customHeight="1">
      <c r="A1031" s="1"/>
      <c r="B1031" s="1"/>
    </row>
    <row r="1032" spans="1:2" ht="12.75" customHeight="1">
      <c r="A1032" s="1"/>
      <c r="B1032" s="1"/>
    </row>
    <row r="1033" spans="1:2" ht="12.75" customHeight="1">
      <c r="A1033" s="1"/>
      <c r="B1033" s="1"/>
    </row>
    <row r="1034" spans="1:2" ht="12.75" customHeight="1">
      <c r="A1034" s="1"/>
      <c r="B1034" s="1"/>
    </row>
    <row r="1035" spans="1:2" ht="12.75" customHeight="1">
      <c r="A1035" s="1"/>
      <c r="B1035" s="1"/>
    </row>
    <row r="1036" spans="1:2" ht="12.75" customHeight="1">
      <c r="A1036" s="1"/>
      <c r="B1036" s="1"/>
    </row>
    <row r="1037" spans="1:2" ht="12.75" customHeight="1">
      <c r="A1037" s="1"/>
      <c r="B1037" s="1"/>
    </row>
    <row r="1038" spans="1:2" ht="12.75" customHeight="1">
      <c r="A1038" s="1"/>
      <c r="B1038" s="1"/>
    </row>
    <row r="1039" spans="1:2" ht="12.75" customHeight="1">
      <c r="A1039" s="1"/>
      <c r="B1039" s="1"/>
    </row>
    <row r="1040" spans="1:2" ht="12.75" customHeight="1">
      <c r="A1040" s="1"/>
      <c r="B1040" s="1"/>
    </row>
    <row r="1041" spans="1:2" ht="12.75" customHeight="1">
      <c r="A1041" s="1"/>
      <c r="B1041" s="1"/>
    </row>
    <row r="1042" spans="1:2" ht="12.75" customHeight="1">
      <c r="A1042" s="1"/>
      <c r="B1042" s="1"/>
    </row>
    <row r="1043" spans="1:2" ht="12.75" customHeight="1">
      <c r="A1043" s="1"/>
      <c r="B1043" s="1"/>
    </row>
    <row r="1044" spans="1:2" ht="12.75" customHeight="1">
      <c r="A1044" s="1"/>
      <c r="B1044" s="1"/>
    </row>
    <row r="1045" spans="1:2" ht="12.75" customHeight="1">
      <c r="A1045" s="1"/>
      <c r="B1045" s="1"/>
    </row>
    <row r="1046" spans="1:2" ht="12.75" customHeight="1">
      <c r="A1046" s="1"/>
      <c r="B1046" s="1"/>
    </row>
    <row r="1047" spans="1:2" ht="12.75" customHeight="1">
      <c r="A1047" s="1"/>
      <c r="B1047" s="1"/>
    </row>
    <row r="1048" spans="1:2" ht="12.75" customHeight="1">
      <c r="A1048" s="1"/>
      <c r="B1048" s="1"/>
    </row>
    <row r="1049" spans="1:2" ht="12.75" customHeight="1">
      <c r="A1049" s="1"/>
      <c r="B1049" s="1"/>
    </row>
    <row r="1050" spans="1:2" ht="12.75" customHeight="1">
      <c r="A1050" s="1"/>
      <c r="B1050" s="1"/>
    </row>
    <row r="1051" spans="1:2" ht="12.75" customHeight="1">
      <c r="A1051" s="1"/>
      <c r="B1051" s="1"/>
    </row>
    <row r="1052" spans="1:2" ht="12.75" customHeight="1">
      <c r="A1052" s="1"/>
      <c r="B1052" s="1"/>
    </row>
    <row r="1053" spans="1:2" ht="12.75" customHeight="1">
      <c r="A1053" s="1"/>
      <c r="B1053" s="1"/>
    </row>
    <row r="1054" spans="1:2" ht="12.75" customHeight="1">
      <c r="A1054" s="1"/>
      <c r="B1054" s="1"/>
    </row>
    <row r="1055" spans="1:2" ht="12.75" customHeight="1">
      <c r="A1055" s="1"/>
      <c r="B1055" s="1"/>
    </row>
    <row r="1056" spans="1:2" ht="12.75" customHeight="1">
      <c r="A1056" s="1"/>
      <c r="B1056" s="1"/>
    </row>
    <row r="1057" spans="1:2" ht="12.75" customHeight="1">
      <c r="A1057" s="1"/>
      <c r="B1057" s="1"/>
    </row>
    <row r="1058" spans="1:2" ht="12.75" customHeight="1">
      <c r="A1058" s="1"/>
      <c r="B1058" s="1"/>
    </row>
    <row r="1059" spans="1:2" ht="12.75" customHeight="1">
      <c r="A1059" s="1"/>
      <c r="B1059" s="1"/>
    </row>
    <row r="1060" spans="1:2" ht="12.75" customHeight="1">
      <c r="A1060" s="1"/>
      <c r="B1060" s="1"/>
    </row>
    <row r="1061" spans="1:2" ht="12.75" customHeight="1">
      <c r="A1061" s="1"/>
      <c r="B1061" s="1"/>
    </row>
    <row r="1062" spans="1:2" ht="12.75" customHeight="1">
      <c r="A1062" s="1"/>
      <c r="B1062" s="1"/>
    </row>
    <row r="1063" spans="1:2" ht="12.75" customHeight="1">
      <c r="A1063" s="1"/>
      <c r="B1063" s="1"/>
    </row>
    <row r="1064" spans="1:2" ht="12.75" customHeight="1">
      <c r="A1064" s="1"/>
      <c r="B1064" s="1"/>
    </row>
    <row r="1065" spans="1:2" ht="12.75" customHeight="1">
      <c r="A1065" s="1"/>
      <c r="B1065" s="1"/>
    </row>
    <row r="1066" spans="1:2" ht="12.75" customHeight="1">
      <c r="A1066" s="1"/>
      <c r="B1066" s="1"/>
    </row>
    <row r="1067" spans="1:2" ht="12.75" customHeight="1">
      <c r="A1067" s="1"/>
      <c r="B1067" s="1"/>
    </row>
    <row r="1068" spans="1:2" ht="12.75" customHeight="1">
      <c r="A1068" s="1"/>
      <c r="B1068" s="1"/>
    </row>
    <row r="1069" spans="1:2" ht="12.75" customHeight="1">
      <c r="A1069" s="1"/>
      <c r="B1069" s="1"/>
    </row>
    <row r="1070" spans="1:2" ht="12.75" customHeight="1">
      <c r="A1070" s="1"/>
      <c r="B1070" s="1"/>
    </row>
  </sheetData>
  <mergeCells count="1">
    <mergeCell ref="AH1:AN1"/>
  </mergeCells>
  <phoneticPr fontId="21" type="noConversion"/>
  <hyperlinks>
    <hyperlink ref="BC6" r:id="rId1"/>
    <hyperlink ref="BC22" r:id="rId2"/>
  </hyperlinks>
  <pageMargins left="0.7" right="0.7" top="0.75" bottom="0.75" header="0.3" footer="0.3"/>
  <pageSetup orientation="portrait"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S141"/>
  <sheetViews>
    <sheetView zoomScaleNormal="100" workbookViewId="0">
      <pane xSplit="2" ySplit="3" topLeftCell="I102" activePane="bottomRight" state="frozen"/>
      <selection pane="topRight" activeCell="C1" sqref="C1"/>
      <selection pane="bottomLeft" activeCell="A3" sqref="A3"/>
      <selection pane="bottomRight" activeCell="N56" sqref="N56"/>
    </sheetView>
  </sheetViews>
  <sheetFormatPr defaultRowHeight="12.75" outlineLevelRow="2"/>
  <cols>
    <col min="1" max="1" width="2.42578125" style="454" customWidth="1"/>
    <col min="2" max="2" width="30" style="319" bestFit="1" customWidth="1"/>
    <col min="3" max="16384" width="9.140625" style="319"/>
  </cols>
  <sheetData>
    <row r="1" spans="1:45">
      <c r="A1" s="213"/>
      <c r="B1" s="215" t="s">
        <v>602</v>
      </c>
      <c r="C1" s="213"/>
      <c r="D1" s="213"/>
      <c r="E1" s="1011">
        <f>DCF!C25</f>
        <v>2</v>
      </c>
      <c r="F1" s="1011"/>
      <c r="G1" s="213"/>
      <c r="H1" s="1010" t="s">
        <v>603</v>
      </c>
      <c r="I1" s="1010"/>
      <c r="J1" s="1010"/>
      <c r="K1" s="213"/>
      <c r="L1" s="213"/>
      <c r="M1" s="213"/>
      <c r="N1" s="213"/>
      <c r="O1" s="213"/>
      <c r="P1" s="213"/>
      <c r="Q1" s="213"/>
      <c r="R1" s="213"/>
      <c r="S1" s="213"/>
      <c r="T1" s="213"/>
      <c r="U1" s="213"/>
      <c r="V1" s="213"/>
      <c r="W1" s="213"/>
      <c r="X1" s="213"/>
      <c r="Y1" s="213"/>
      <c r="Z1" s="213"/>
      <c r="AA1" s="213"/>
      <c r="AB1" s="213"/>
      <c r="AC1" s="213"/>
      <c r="AD1" s="213"/>
      <c r="AE1" s="213"/>
      <c r="AF1" s="213"/>
      <c r="AG1" s="213"/>
      <c r="AH1" s="213"/>
      <c r="AI1" s="213"/>
      <c r="AJ1" s="213"/>
      <c r="AK1" s="213"/>
      <c r="AL1" s="213"/>
      <c r="AM1" s="213"/>
      <c r="AN1" s="213"/>
      <c r="AO1" s="213"/>
      <c r="AP1" s="213"/>
      <c r="AQ1" s="213"/>
    </row>
    <row r="2" spans="1:45">
      <c r="A2" s="451">
        <v>1</v>
      </c>
    </row>
    <row r="3" spans="1:45" ht="13.5" thickBot="1">
      <c r="A3" s="451">
        <v>2</v>
      </c>
      <c r="B3" s="452"/>
      <c r="C3" s="452">
        <v>2007</v>
      </c>
      <c r="D3" s="452">
        <f>C3+1</f>
        <v>2008</v>
      </c>
      <c r="E3" s="452">
        <f t="shared" ref="E3:P3" si="0">D3+1</f>
        <v>2009</v>
      </c>
      <c r="F3" s="452">
        <f t="shared" si="0"/>
        <v>2010</v>
      </c>
      <c r="G3" s="452">
        <f t="shared" si="0"/>
        <v>2011</v>
      </c>
      <c r="H3" s="452">
        <f t="shared" si="0"/>
        <v>2012</v>
      </c>
      <c r="I3" s="452">
        <f t="shared" si="0"/>
        <v>2013</v>
      </c>
      <c r="J3" s="452">
        <f t="shared" si="0"/>
        <v>2014</v>
      </c>
      <c r="K3" s="452">
        <f t="shared" si="0"/>
        <v>2015</v>
      </c>
      <c r="L3" s="452">
        <f t="shared" si="0"/>
        <v>2016</v>
      </c>
      <c r="M3" s="452">
        <f t="shared" si="0"/>
        <v>2017</v>
      </c>
      <c r="N3" s="452">
        <f t="shared" si="0"/>
        <v>2018</v>
      </c>
      <c r="O3" s="452">
        <f t="shared" si="0"/>
        <v>2019</v>
      </c>
      <c r="P3" s="452">
        <f t="shared" si="0"/>
        <v>2020</v>
      </c>
      <c r="Q3" s="452">
        <f t="shared" ref="Q3:Z3" si="1">P3+1</f>
        <v>2021</v>
      </c>
      <c r="R3" s="452">
        <f t="shared" si="1"/>
        <v>2022</v>
      </c>
      <c r="S3" s="452">
        <f t="shared" si="1"/>
        <v>2023</v>
      </c>
      <c r="T3" s="452">
        <f t="shared" si="1"/>
        <v>2024</v>
      </c>
      <c r="U3" s="452">
        <f t="shared" si="1"/>
        <v>2025</v>
      </c>
      <c r="V3" s="452">
        <f t="shared" si="1"/>
        <v>2026</v>
      </c>
      <c r="W3" s="452">
        <f t="shared" si="1"/>
        <v>2027</v>
      </c>
      <c r="X3" s="452">
        <f t="shared" si="1"/>
        <v>2028</v>
      </c>
      <c r="Y3" s="452">
        <f t="shared" si="1"/>
        <v>2029</v>
      </c>
      <c r="Z3" s="452">
        <f t="shared" si="1"/>
        <v>2030</v>
      </c>
    </row>
    <row r="4" spans="1:45">
      <c r="A4" s="451">
        <v>3</v>
      </c>
      <c r="B4" s="453" t="s">
        <v>574</v>
      </c>
      <c r="C4" s="453"/>
      <c r="D4" s="453"/>
      <c r="E4" s="453"/>
      <c r="F4" s="453"/>
      <c r="G4" s="453"/>
      <c r="H4" s="453"/>
      <c r="I4" s="453"/>
      <c r="J4" s="453"/>
      <c r="K4" s="453"/>
      <c r="L4" s="453"/>
      <c r="M4" s="453"/>
      <c r="N4" s="453"/>
      <c r="O4" s="453"/>
      <c r="P4" s="453"/>
      <c r="Q4" s="453"/>
      <c r="R4" s="453"/>
      <c r="S4" s="453"/>
      <c r="T4" s="453"/>
      <c r="U4" s="453"/>
      <c r="V4" s="453"/>
      <c r="W4" s="453"/>
      <c r="X4" s="453"/>
      <c r="Y4" s="453"/>
      <c r="Z4" s="453"/>
    </row>
    <row r="5" spans="1:45">
      <c r="B5" s="319" t="s">
        <v>530</v>
      </c>
      <c r="C5" s="455">
        <v>301139</v>
      </c>
      <c r="D5" s="455">
        <f>C5*(1+D6)</f>
        <v>303277.08690000005</v>
      </c>
      <c r="E5" s="455">
        <f t="shared" ref="E5:O5" si="2">D5*(1+E6)</f>
        <v>305430.35421699006</v>
      </c>
      <c r="F5" s="455">
        <f t="shared" si="2"/>
        <v>307598.9097319307</v>
      </c>
      <c r="G5" s="455">
        <f t="shared" si="2"/>
        <v>309782.86199102743</v>
      </c>
      <c r="H5" s="455">
        <f t="shared" si="2"/>
        <v>311982.32031116378</v>
      </c>
      <c r="I5" s="455">
        <f t="shared" si="2"/>
        <v>314197.39478537306</v>
      </c>
      <c r="J5" s="455">
        <f t="shared" si="2"/>
        <v>316428.19628834922</v>
      </c>
      <c r="K5" s="455">
        <f t="shared" si="2"/>
        <v>318674.83648199652</v>
      </c>
      <c r="L5" s="455">
        <f t="shared" si="2"/>
        <v>320937.42782101873</v>
      </c>
      <c r="M5" s="455">
        <f t="shared" si="2"/>
        <v>323216.08355854801</v>
      </c>
      <c r="N5" s="455">
        <f t="shared" si="2"/>
        <v>325510.91775181371</v>
      </c>
      <c r="O5" s="455">
        <f t="shared" si="2"/>
        <v>327822.04526785162</v>
      </c>
      <c r="P5" s="455">
        <f>O5*(1+P6)</f>
        <v>330149.5817892534</v>
      </c>
      <c r="Q5" s="455">
        <f t="shared" ref="Q5:Z5" si="3">P5*(1+Q6)</f>
        <v>332493.64381995716</v>
      </c>
      <c r="R5" s="455">
        <f t="shared" si="3"/>
        <v>334854.34869107889</v>
      </c>
      <c r="S5" s="455">
        <f t="shared" si="3"/>
        <v>337231.81456678559</v>
      </c>
      <c r="T5" s="455">
        <f t="shared" si="3"/>
        <v>339626.16045020981</v>
      </c>
      <c r="U5" s="455">
        <f t="shared" si="3"/>
        <v>342037.50618940633</v>
      </c>
      <c r="V5" s="455">
        <f t="shared" si="3"/>
        <v>344465.97248335113</v>
      </c>
      <c r="W5" s="455">
        <f t="shared" si="3"/>
        <v>346911.68088798295</v>
      </c>
      <c r="X5" s="455">
        <f t="shared" si="3"/>
        <v>349374.75382228766</v>
      </c>
      <c r="Y5" s="455">
        <f t="shared" si="3"/>
        <v>351855.31457442592</v>
      </c>
      <c r="Z5" s="455">
        <f t="shared" si="3"/>
        <v>354353.4873079044</v>
      </c>
    </row>
    <row r="6" spans="1:45" s="458" customFormat="1">
      <c r="A6" s="456"/>
      <c r="B6" s="457" t="s">
        <v>531</v>
      </c>
      <c r="D6" s="459">
        <v>7.1000000000000004E-3</v>
      </c>
      <c r="E6" s="460">
        <f>D6</f>
        <v>7.1000000000000004E-3</v>
      </c>
      <c r="F6" s="460">
        <f t="shared" ref="F6:P6" si="4">E6</f>
        <v>7.1000000000000004E-3</v>
      </c>
      <c r="G6" s="460">
        <f t="shared" si="4"/>
        <v>7.1000000000000004E-3</v>
      </c>
      <c r="H6" s="460">
        <f t="shared" si="4"/>
        <v>7.1000000000000004E-3</v>
      </c>
      <c r="I6" s="460">
        <f t="shared" si="4"/>
        <v>7.1000000000000004E-3</v>
      </c>
      <c r="J6" s="460">
        <f t="shared" si="4"/>
        <v>7.1000000000000004E-3</v>
      </c>
      <c r="K6" s="460">
        <f t="shared" si="4"/>
        <v>7.1000000000000004E-3</v>
      </c>
      <c r="L6" s="460">
        <f t="shared" si="4"/>
        <v>7.1000000000000004E-3</v>
      </c>
      <c r="M6" s="460">
        <f t="shared" si="4"/>
        <v>7.1000000000000004E-3</v>
      </c>
      <c r="N6" s="460">
        <f t="shared" si="4"/>
        <v>7.1000000000000004E-3</v>
      </c>
      <c r="O6" s="460">
        <f t="shared" si="4"/>
        <v>7.1000000000000004E-3</v>
      </c>
      <c r="P6" s="460">
        <f t="shared" si="4"/>
        <v>7.1000000000000004E-3</v>
      </c>
      <c r="Q6" s="460">
        <f t="shared" ref="Q6:Z6" si="5">P6</f>
        <v>7.1000000000000004E-3</v>
      </c>
      <c r="R6" s="460">
        <f t="shared" si="5"/>
        <v>7.1000000000000004E-3</v>
      </c>
      <c r="S6" s="460">
        <f t="shared" si="5"/>
        <v>7.1000000000000004E-3</v>
      </c>
      <c r="T6" s="460">
        <f t="shared" si="5"/>
        <v>7.1000000000000004E-3</v>
      </c>
      <c r="U6" s="460">
        <f t="shared" si="5"/>
        <v>7.1000000000000004E-3</v>
      </c>
      <c r="V6" s="460">
        <f t="shared" si="5"/>
        <v>7.1000000000000004E-3</v>
      </c>
      <c r="W6" s="460">
        <f t="shared" si="5"/>
        <v>7.1000000000000004E-3</v>
      </c>
      <c r="X6" s="460">
        <f t="shared" si="5"/>
        <v>7.1000000000000004E-3</v>
      </c>
      <c r="Y6" s="460">
        <f t="shared" si="5"/>
        <v>7.1000000000000004E-3</v>
      </c>
      <c r="Z6" s="460">
        <f t="shared" si="5"/>
        <v>7.1000000000000004E-3</v>
      </c>
    </row>
    <row r="7" spans="1:45">
      <c r="P7" s="466"/>
    </row>
    <row r="8" spans="1:45">
      <c r="B8" s="461" t="s">
        <v>575</v>
      </c>
      <c r="C8" s="461"/>
      <c r="D8" s="462"/>
      <c r="E8" s="461"/>
      <c r="F8" s="461"/>
      <c r="G8" s="461"/>
      <c r="H8" s="461"/>
      <c r="I8" s="461"/>
      <c r="J8" s="461"/>
      <c r="K8" s="461"/>
      <c r="L8" s="461"/>
      <c r="M8" s="461"/>
      <c r="N8" s="461"/>
      <c r="O8" s="461"/>
      <c r="P8" s="461"/>
      <c r="Q8" s="461"/>
      <c r="R8" s="461"/>
      <c r="S8" s="461"/>
      <c r="T8" s="461"/>
      <c r="U8" s="461"/>
      <c r="V8" s="461"/>
      <c r="W8" s="461"/>
      <c r="X8" s="461"/>
      <c r="Y8" s="461"/>
      <c r="Z8" s="461"/>
      <c r="AA8" s="211"/>
      <c r="AB8" s="211"/>
      <c r="AC8" s="211"/>
      <c r="AD8" s="211"/>
      <c r="AE8" s="211"/>
      <c r="AF8" s="211"/>
      <c r="AG8" s="211"/>
      <c r="AH8" s="211"/>
      <c r="AI8" s="211"/>
      <c r="AJ8" s="211"/>
      <c r="AK8" s="211"/>
      <c r="AL8" s="211"/>
      <c r="AM8" s="211"/>
      <c r="AN8" s="211"/>
      <c r="AO8" s="211"/>
      <c r="AP8" s="211"/>
      <c r="AQ8" s="211"/>
      <c r="AR8" s="211"/>
      <c r="AS8" s="211"/>
    </row>
    <row r="9" spans="1:45">
      <c r="B9" s="319" t="s">
        <v>532</v>
      </c>
      <c r="C9" s="463">
        <f>C10/C5</f>
        <v>1.4254784765851446E-2</v>
      </c>
      <c r="D9" s="463">
        <f t="shared" ref="D9:O9" si="6">D10/D5</f>
        <v>1.4064137491266183E-2</v>
      </c>
      <c r="E9" s="463">
        <f t="shared" si="6"/>
        <v>1.3874054181747135E-2</v>
      </c>
      <c r="F9" s="463">
        <f t="shared" si="6"/>
        <v>1.3686230517758699E-2</v>
      </c>
      <c r="G9" s="463">
        <f t="shared" si="6"/>
        <v>1.3511435046058534E-2</v>
      </c>
      <c r="H9" s="463">
        <f t="shared" si="6"/>
        <v>1.3288030497007422E-2</v>
      </c>
      <c r="I9" s="463">
        <f t="shared" si="6"/>
        <v>1.3049121565125303E-2</v>
      </c>
      <c r="J9" s="463">
        <f t="shared" si="6"/>
        <v>1.2839621864957811E-2</v>
      </c>
      <c r="K9" s="463">
        <f t="shared" si="6"/>
        <v>1.2382924668695634E-2</v>
      </c>
      <c r="L9" s="463">
        <f t="shared" si="6"/>
        <v>1.1600323569921318E-2</v>
      </c>
      <c r="M9" s="463">
        <f t="shared" si="6"/>
        <v>1.086027479098115E-2</v>
      </c>
      <c r="N9" s="463">
        <f t="shared" si="6"/>
        <v>1.0205899847684771E-2</v>
      </c>
      <c r="O9" s="463">
        <f t="shared" si="6"/>
        <v>9.6263783981444129E-3</v>
      </c>
      <c r="P9" s="463">
        <f>P10/P5</f>
        <v>9.1041227226653348E-3</v>
      </c>
      <c r="Q9" s="463">
        <f t="shared" ref="Q9:Z9" si="7">Q10/Q5</f>
        <v>8.6329723849788657E-3</v>
      </c>
      <c r="R9" s="463">
        <f t="shared" si="7"/>
        <v>8.1889096005456352E-3</v>
      </c>
      <c r="S9" s="463">
        <f t="shared" si="7"/>
        <v>7.7701297854589641E-3</v>
      </c>
      <c r="T9" s="463">
        <f t="shared" si="7"/>
        <v>7.374975287608606E-3</v>
      </c>
      <c r="U9" s="463">
        <f t="shared" si="7"/>
        <v>7.0019182546593867E-3</v>
      </c>
      <c r="V9" s="463">
        <f t="shared" si="7"/>
        <v>6.6495463727779171E-3</v>
      </c>
      <c r="W9" s="463">
        <f t="shared" si="7"/>
        <v>6.316550873682397E-3</v>
      </c>
      <c r="X9" s="463">
        <f t="shared" si="7"/>
        <v>6.0017163499721353E-3</v>
      </c>
      <c r="Y9" s="463">
        <f t="shared" si="7"/>
        <v>5.7039120248531363E-3</v>
      </c>
      <c r="Z9" s="463">
        <f t="shared" si="7"/>
        <v>5.4220842020623432E-3</v>
      </c>
    </row>
    <row r="10" spans="1:45">
      <c r="B10" s="319" t="s">
        <v>591</v>
      </c>
      <c r="C10" s="455">
        <f t="shared" ref="C10:H10" si="8">D10-C11+C12+C13</f>
        <v>4292.6716296037384</v>
      </c>
      <c r="D10" s="455">
        <f t="shared" si="8"/>
        <v>4265.3306481122827</v>
      </c>
      <c r="E10" s="455">
        <f t="shared" si="8"/>
        <v>4237.5572831567397</v>
      </c>
      <c r="F10" s="455">
        <f t="shared" si="8"/>
        <v>4209.8695856024533</v>
      </c>
      <c r="G10" s="455">
        <f t="shared" si="8"/>
        <v>4185.6110181738823</v>
      </c>
      <c r="H10" s="455">
        <f t="shared" si="8"/>
        <v>4145.6305868218824</v>
      </c>
      <c r="I10" s="464">
        <v>4100</v>
      </c>
      <c r="J10" s="455">
        <f>I10+I11-I12-I13</f>
        <v>4062.8183877530505</v>
      </c>
      <c r="K10" s="455">
        <f t="shared" ref="K10:P10" si="9">J10+J11-J12-J13</f>
        <v>3946.126493965462</v>
      </c>
      <c r="L10" s="455">
        <f t="shared" si="9"/>
        <v>3722.9780084220852</v>
      </c>
      <c r="M10" s="455">
        <f t="shared" si="9"/>
        <v>3510.2154843105559</v>
      </c>
      <c r="N10" s="455">
        <f t="shared" si="9"/>
        <v>3322.1318259029654</v>
      </c>
      <c r="O10" s="455">
        <f t="shared" si="9"/>
        <v>3155.7390550019668</v>
      </c>
      <c r="P10" s="455">
        <f t="shared" si="9"/>
        <v>3005.7223094459991</v>
      </c>
      <c r="Q10" s="455">
        <f t="shared" ref="Q10:Z10" si="10">P10+P11-P12-P13</f>
        <v>2870.4084452786888</v>
      </c>
      <c r="R10" s="455">
        <f t="shared" si="10"/>
        <v>2742.0919907808316</v>
      </c>
      <c r="S10" s="455">
        <f t="shared" si="10"/>
        <v>2620.334966969755</v>
      </c>
      <c r="T10" s="455">
        <f t="shared" si="10"/>
        <v>2504.7345403456925</v>
      </c>
      <c r="U10" s="455">
        <f t="shared" si="10"/>
        <v>2394.918658365777</v>
      </c>
      <c r="V10" s="455">
        <f t="shared" si="10"/>
        <v>2290.5424578720854</v>
      </c>
      <c r="W10" s="455">
        <f t="shared" si="10"/>
        <v>2191.2852810036175</v>
      </c>
      <c r="X10" s="455">
        <f t="shared" si="10"/>
        <v>2096.8481722827137</v>
      </c>
      <c r="Y10" s="455">
        <f t="shared" si="10"/>
        <v>2006.951759809551</v>
      </c>
      <c r="Z10" s="455">
        <f t="shared" si="10"/>
        <v>1921.3344454778874</v>
      </c>
      <c r="AB10" s="319" t="s">
        <v>534</v>
      </c>
    </row>
    <row r="11" spans="1:45">
      <c r="B11" s="465" t="s">
        <v>535</v>
      </c>
      <c r="C11" s="466">
        <f t="shared" ref="C11:H11" si="11">D11*1.01</f>
        <v>16.984322409615999</v>
      </c>
      <c r="D11" s="466">
        <f t="shared" si="11"/>
        <v>16.816160801599999</v>
      </c>
      <c r="E11" s="466">
        <f t="shared" si="11"/>
        <v>16.64966416</v>
      </c>
      <c r="F11" s="466">
        <f t="shared" si="11"/>
        <v>16.484815999999999</v>
      </c>
      <c r="G11" s="466">
        <f t="shared" si="11"/>
        <v>16.3216</v>
      </c>
      <c r="H11" s="466">
        <f t="shared" si="11"/>
        <v>16.16</v>
      </c>
      <c r="I11" s="467">
        <f>20*0.8</f>
        <v>16</v>
      </c>
      <c r="J11" s="466">
        <f>I11*0.99</f>
        <v>15.84</v>
      </c>
      <c r="K11" s="466">
        <f t="shared" ref="K11:P11" si="12">J11*0.99</f>
        <v>15.6816</v>
      </c>
      <c r="L11" s="466">
        <f t="shared" si="12"/>
        <v>15.524783999999999</v>
      </c>
      <c r="M11" s="466">
        <f t="shared" si="12"/>
        <v>15.369536159999999</v>
      </c>
      <c r="N11" s="466">
        <f t="shared" si="12"/>
        <v>15.215840798399999</v>
      </c>
      <c r="O11" s="466">
        <f t="shared" si="12"/>
        <v>15.063682390415998</v>
      </c>
      <c r="P11" s="466">
        <f t="shared" si="12"/>
        <v>14.913045566511839</v>
      </c>
      <c r="Q11" s="466">
        <f t="shared" ref="Q11:Z11" si="13">P11*0.99</f>
        <v>14.763915110846719</v>
      </c>
      <c r="R11" s="466">
        <f t="shared" si="13"/>
        <v>14.616275959738251</v>
      </c>
      <c r="S11" s="466">
        <f t="shared" si="13"/>
        <v>14.470113200140869</v>
      </c>
      <c r="T11" s="466">
        <f t="shared" si="13"/>
        <v>14.32541206813946</v>
      </c>
      <c r="U11" s="466">
        <f t="shared" si="13"/>
        <v>14.182157947458066</v>
      </c>
      <c r="V11" s="466">
        <f t="shared" si="13"/>
        <v>14.040336367983485</v>
      </c>
      <c r="W11" s="466">
        <f t="shared" si="13"/>
        <v>13.89993300430365</v>
      </c>
      <c r="X11" s="466">
        <f t="shared" si="13"/>
        <v>13.760933674260613</v>
      </c>
      <c r="Y11" s="466">
        <f t="shared" si="13"/>
        <v>13.623324337518007</v>
      </c>
      <c r="Z11" s="466">
        <f t="shared" si="13"/>
        <v>13.487091094142826</v>
      </c>
      <c r="AB11" s="319" t="s">
        <v>536</v>
      </c>
    </row>
    <row r="12" spans="1:45">
      <c r="B12" s="465" t="s">
        <v>537</v>
      </c>
      <c r="C12" s="468">
        <v>12</v>
      </c>
      <c r="D12" s="466">
        <f>C12*1.01</f>
        <v>12.120000000000001</v>
      </c>
      <c r="E12" s="466">
        <f t="shared" ref="E12:P12" si="14">D12*1.01</f>
        <v>12.241200000000001</v>
      </c>
      <c r="F12" s="466">
        <f t="shared" si="14"/>
        <v>12.363612000000002</v>
      </c>
      <c r="G12" s="466">
        <f t="shared" si="14"/>
        <v>12.487248120000002</v>
      </c>
      <c r="H12" s="466">
        <f t="shared" si="14"/>
        <v>12.612120601200003</v>
      </c>
      <c r="I12" s="466">
        <f t="shared" si="14"/>
        <v>12.738241807212002</v>
      </c>
      <c r="J12" s="466">
        <f t="shared" si="14"/>
        <v>12.865624225284122</v>
      </c>
      <c r="K12" s="466">
        <f t="shared" si="14"/>
        <v>12.994280467536964</v>
      </c>
      <c r="L12" s="466">
        <f t="shared" si="14"/>
        <v>13.124223272212333</v>
      </c>
      <c r="M12" s="466">
        <f t="shared" si="14"/>
        <v>13.255465504934456</v>
      </c>
      <c r="N12" s="466">
        <f t="shared" si="14"/>
        <v>13.388020159983801</v>
      </c>
      <c r="O12" s="466">
        <f t="shared" si="14"/>
        <v>13.52190036158364</v>
      </c>
      <c r="P12" s="466">
        <f t="shared" si="14"/>
        <v>13.657119365199476</v>
      </c>
      <c r="Q12" s="466">
        <f t="shared" ref="Q12:Z12" si="15">P12*1.01</f>
        <v>13.79369055885147</v>
      </c>
      <c r="R12" s="466">
        <f t="shared" si="15"/>
        <v>13.931627464439984</v>
      </c>
      <c r="S12" s="466">
        <f t="shared" si="15"/>
        <v>14.070943739084385</v>
      </c>
      <c r="T12" s="466">
        <f t="shared" si="15"/>
        <v>14.211653176475229</v>
      </c>
      <c r="U12" s="466">
        <f t="shared" si="15"/>
        <v>14.353769708239982</v>
      </c>
      <c r="V12" s="466">
        <f t="shared" si="15"/>
        <v>14.497307405322381</v>
      </c>
      <c r="W12" s="466">
        <f t="shared" si="15"/>
        <v>14.642280479375605</v>
      </c>
      <c r="X12" s="466">
        <f t="shared" si="15"/>
        <v>14.788703284169362</v>
      </c>
      <c r="Y12" s="466">
        <f t="shared" si="15"/>
        <v>14.936590317011056</v>
      </c>
      <c r="Z12" s="466">
        <f t="shared" si="15"/>
        <v>15.085956220181167</v>
      </c>
      <c r="AB12" s="319" t="s">
        <v>536</v>
      </c>
    </row>
    <row r="13" spans="1:45">
      <c r="B13" s="465" t="s">
        <v>538</v>
      </c>
      <c r="C13" s="210">
        <f t="shared" ref="C13:Z13" si="16">C36+C37+C38+C61</f>
        <v>32.325303901071436</v>
      </c>
      <c r="D13" s="210">
        <f t="shared" si="16"/>
        <v>32.469525757142861</v>
      </c>
      <c r="E13" s="210">
        <f t="shared" si="16"/>
        <v>32.096161714285714</v>
      </c>
      <c r="F13" s="210">
        <f t="shared" si="16"/>
        <v>28.379771428571427</v>
      </c>
      <c r="G13" s="210">
        <f t="shared" si="16"/>
        <v>43.814783231999996</v>
      </c>
      <c r="H13" s="210">
        <f t="shared" si="16"/>
        <v>49.178466220681514</v>
      </c>
      <c r="I13" s="210">
        <f t="shared" si="16"/>
        <v>40.443370439737265</v>
      </c>
      <c r="J13" s="210">
        <f t="shared" si="16"/>
        <v>119.66626956230425</v>
      </c>
      <c r="K13" s="210">
        <f t="shared" si="16"/>
        <v>225.83580507583963</v>
      </c>
      <c r="L13" s="210">
        <f t="shared" si="16"/>
        <v>215.16308483931684</v>
      </c>
      <c r="M13" s="210">
        <f t="shared" si="16"/>
        <v>190.19772906265612</v>
      </c>
      <c r="N13" s="210">
        <f t="shared" si="16"/>
        <v>168.22059153941498</v>
      </c>
      <c r="O13" s="210">
        <f t="shared" si="16"/>
        <v>151.55852758480015</v>
      </c>
      <c r="P13" s="210">
        <f t="shared" si="16"/>
        <v>136.56979036862293</v>
      </c>
      <c r="Q13" s="210">
        <f t="shared" si="16"/>
        <v>129.28667904985272</v>
      </c>
      <c r="R13" s="210">
        <f t="shared" si="16"/>
        <v>122.44167230637505</v>
      </c>
      <c r="S13" s="210">
        <f t="shared" si="16"/>
        <v>115.99959608511945</v>
      </c>
      <c r="T13" s="210">
        <f t="shared" si="16"/>
        <v>109.92964087158016</v>
      </c>
      <c r="U13" s="210">
        <f t="shared" si="16"/>
        <v>104.20458873290946</v>
      </c>
      <c r="V13" s="210">
        <f t="shared" si="16"/>
        <v>98.800205831128963</v>
      </c>
      <c r="W13" s="210">
        <f t="shared" si="16"/>
        <v>93.69476124583197</v>
      </c>
      <c r="X13" s="210">
        <f t="shared" si="16"/>
        <v>88.868642863253839</v>
      </c>
      <c r="Y13" s="210">
        <f t="shared" si="16"/>
        <v>84.304048352170582</v>
      </c>
      <c r="Z13" s="210">
        <f t="shared" si="16"/>
        <v>79.984734602133784</v>
      </c>
    </row>
    <row r="15" spans="1:45">
      <c r="B15" s="319" t="s">
        <v>540</v>
      </c>
      <c r="C15" s="455">
        <f t="shared" ref="C15:H15" si="17">C16*C10</f>
        <v>1779.8882366649646</v>
      </c>
      <c r="D15" s="455">
        <f t="shared" si="17"/>
        <v>1768.5517321441171</v>
      </c>
      <c r="E15" s="455">
        <f t="shared" si="17"/>
        <v>1757.0359466747457</v>
      </c>
      <c r="F15" s="455">
        <f t="shared" si="17"/>
        <v>1745.5556818351636</v>
      </c>
      <c r="G15" s="455">
        <f t="shared" si="17"/>
        <v>1735.497251437951</v>
      </c>
      <c r="H15" s="455">
        <f t="shared" si="17"/>
        <v>1718.9199994139512</v>
      </c>
      <c r="I15" s="464">
        <v>1700</v>
      </c>
      <c r="J15" s="455">
        <f>J16*J10</f>
        <v>1684.5832339463866</v>
      </c>
      <c r="K15" s="455">
        <f t="shared" ref="K15:P15" si="18">K16*K10</f>
        <v>1636.1987901808013</v>
      </c>
      <c r="L15" s="455">
        <f t="shared" si="18"/>
        <v>1543.6738083701327</v>
      </c>
      <c r="M15" s="455">
        <f t="shared" si="18"/>
        <v>1455.4552008116939</v>
      </c>
      <c r="N15" s="455">
        <f t="shared" si="18"/>
        <v>1377.4692936670831</v>
      </c>
      <c r="O15" s="455">
        <f t="shared" si="18"/>
        <v>1308.4771691471569</v>
      </c>
      <c r="P15" s="455">
        <f t="shared" si="18"/>
        <v>1246.2751039166337</v>
      </c>
      <c r="Q15" s="455">
        <f t="shared" ref="Q15:Z15" si="19">Q16*Q10</f>
        <v>1190.1693553594562</v>
      </c>
      <c r="R15" s="455">
        <f t="shared" si="19"/>
        <v>1136.9649717871739</v>
      </c>
      <c r="S15" s="455">
        <f t="shared" si="19"/>
        <v>1086.480352158191</v>
      </c>
      <c r="T15" s="455">
        <f t="shared" si="19"/>
        <v>1038.548467948214</v>
      </c>
      <c r="U15" s="455">
        <f t="shared" si="19"/>
        <v>993.01505346873671</v>
      </c>
      <c r="V15" s="455">
        <f t="shared" si="19"/>
        <v>949.73711667866951</v>
      </c>
      <c r="W15" s="455">
        <f t="shared" si="19"/>
        <v>908.58170187954863</v>
      </c>
      <c r="X15" s="455">
        <f t="shared" si="19"/>
        <v>869.42485192210074</v>
      </c>
      <c r="Y15" s="455">
        <f t="shared" si="19"/>
        <v>832.15072967713093</v>
      </c>
      <c r="Z15" s="455">
        <f t="shared" si="19"/>
        <v>796.65086763717272</v>
      </c>
      <c r="AB15" s="319" t="s">
        <v>541</v>
      </c>
    </row>
    <row r="16" spans="1:45">
      <c r="B16" s="319" t="s">
        <v>539</v>
      </c>
      <c r="C16" s="469">
        <f t="shared" ref="C16:H16" si="20">D16</f>
        <v>0.41463414634146339</v>
      </c>
      <c r="D16" s="469">
        <f t="shared" si="20"/>
        <v>0.41463414634146339</v>
      </c>
      <c r="E16" s="469">
        <f t="shared" si="20"/>
        <v>0.41463414634146339</v>
      </c>
      <c r="F16" s="469">
        <f t="shared" si="20"/>
        <v>0.41463414634146339</v>
      </c>
      <c r="G16" s="469">
        <f t="shared" si="20"/>
        <v>0.41463414634146339</v>
      </c>
      <c r="H16" s="469">
        <f t="shared" si="20"/>
        <v>0.41463414634146339</v>
      </c>
      <c r="I16" s="470">
        <f>I15/I10</f>
        <v>0.41463414634146339</v>
      </c>
      <c r="J16" s="469">
        <f>I16</f>
        <v>0.41463414634146339</v>
      </c>
      <c r="K16" s="469">
        <f t="shared" ref="K16:P16" si="21">J16</f>
        <v>0.41463414634146339</v>
      </c>
      <c r="L16" s="469">
        <f t="shared" si="21"/>
        <v>0.41463414634146339</v>
      </c>
      <c r="M16" s="469">
        <f t="shared" si="21"/>
        <v>0.41463414634146339</v>
      </c>
      <c r="N16" s="469">
        <f t="shared" si="21"/>
        <v>0.41463414634146339</v>
      </c>
      <c r="O16" s="469">
        <f t="shared" si="21"/>
        <v>0.41463414634146339</v>
      </c>
      <c r="P16" s="469">
        <f t="shared" si="21"/>
        <v>0.41463414634146339</v>
      </c>
      <c r="Q16" s="469">
        <f t="shared" ref="Q16:Z16" si="22">P16</f>
        <v>0.41463414634146339</v>
      </c>
      <c r="R16" s="469">
        <f t="shared" si="22"/>
        <v>0.41463414634146339</v>
      </c>
      <c r="S16" s="469">
        <f t="shared" si="22"/>
        <v>0.41463414634146339</v>
      </c>
      <c r="T16" s="469">
        <f t="shared" si="22"/>
        <v>0.41463414634146339</v>
      </c>
      <c r="U16" s="469">
        <f t="shared" si="22"/>
        <v>0.41463414634146339</v>
      </c>
      <c r="V16" s="469">
        <f t="shared" si="22"/>
        <v>0.41463414634146339</v>
      </c>
      <c r="W16" s="469">
        <f t="shared" si="22"/>
        <v>0.41463414634146339</v>
      </c>
      <c r="X16" s="469">
        <f t="shared" si="22"/>
        <v>0.41463414634146339</v>
      </c>
      <c r="Y16" s="469">
        <f t="shared" si="22"/>
        <v>0.41463414634146339</v>
      </c>
      <c r="Z16" s="469">
        <f t="shared" si="22"/>
        <v>0.41463414634146339</v>
      </c>
    </row>
    <row r="17" spans="1:28">
      <c r="K17" s="319">
        <v>247.48756941462543</v>
      </c>
      <c r="L17" s="319">
        <v>223.18442513817342</v>
      </c>
      <c r="M17" s="319">
        <v>222.46948938006332</v>
      </c>
      <c r="N17" s="319">
        <v>213.97772204978807</v>
      </c>
      <c r="O17" s="319">
        <v>206.28352237927641</v>
      </c>
      <c r="P17" s="319">
        <v>199.23433961392519</v>
      </c>
      <c r="Q17" s="319">
        <v>188.21740205316257</v>
      </c>
      <c r="R17" s="319">
        <v>177.95625907320868</v>
      </c>
      <c r="S17" s="319">
        <v>168.36920343490365</v>
      </c>
      <c r="T17" s="319">
        <v>159.3888672243601</v>
      </c>
      <c r="U17" s="319">
        <v>150.9589257436254</v>
      </c>
      <c r="V17" s="319">
        <v>143.03165848708088</v>
      </c>
      <c r="W17" s="319">
        <v>135.56612757239969</v>
      </c>
      <c r="X17" s="319">
        <v>128.52680483824298</v>
      </c>
      <c r="Y17" s="319">
        <v>121.88252768805381</v>
      </c>
      <c r="Z17" s="319">
        <v>115.60569776724593</v>
      </c>
    </row>
    <row r="18" spans="1:28">
      <c r="B18" s="319" t="s">
        <v>543</v>
      </c>
      <c r="C18" s="455">
        <f t="shared" ref="C18:O18" si="23">C25+C58</f>
        <v>69.466519505357141</v>
      </c>
      <c r="D18" s="455">
        <f t="shared" si="23"/>
        <v>69.107628785714283</v>
      </c>
      <c r="E18" s="455">
        <f t="shared" si="23"/>
        <v>68.720808571428563</v>
      </c>
      <c r="F18" s="455">
        <f t="shared" si="23"/>
        <v>58.951428571428572</v>
      </c>
      <c r="G18" s="455">
        <f t="shared" si="23"/>
        <v>76.439256</v>
      </c>
      <c r="H18" s="455">
        <f t="shared" si="23"/>
        <v>70.798101637044851</v>
      </c>
      <c r="I18" s="464">
        <f t="shared" si="23"/>
        <v>58</v>
      </c>
      <c r="J18" s="455">
        <f t="shared" si="23"/>
        <v>148</v>
      </c>
      <c r="K18" s="455">
        <f t="shared" si="23"/>
        <v>247.48756941462543</v>
      </c>
      <c r="L18" s="455">
        <f>L25+L58</f>
        <v>228.01193430440736</v>
      </c>
      <c r="M18" s="455">
        <f t="shared" si="23"/>
        <v>201.37846610426772</v>
      </c>
      <c r="N18" s="455">
        <f t="shared" si="23"/>
        <v>177.95465880831256</v>
      </c>
      <c r="O18" s="455">
        <f t="shared" si="23"/>
        <v>160.33696537117763</v>
      </c>
      <c r="P18" s="455">
        <f>P25+P58</f>
        <v>144.48895276995188</v>
      </c>
      <c r="Q18" s="455">
        <f t="shared" ref="Q18:Z18" si="24">Q25+Q58</f>
        <v>136.75936979774417</v>
      </c>
      <c r="R18" s="455">
        <f t="shared" si="24"/>
        <v>129.49843154009585</v>
      </c>
      <c r="S18" s="455">
        <f t="shared" si="24"/>
        <v>122.66796262316122</v>
      </c>
      <c r="T18" s="455">
        <f t="shared" si="24"/>
        <v>116.23459181502173</v>
      </c>
      <c r="U18" s="455">
        <f t="shared" si="24"/>
        <v>110.16889545194653</v>
      </c>
      <c r="V18" s="455">
        <f t="shared" si="24"/>
        <v>104.44472460697695</v>
      </c>
      <c r="W18" s="455">
        <f t="shared" si="24"/>
        <v>99.03867249469414</v>
      </c>
      <c r="X18" s="455">
        <f t="shared" si="24"/>
        <v>93.929649625196632</v>
      </c>
      <c r="Y18" s="455">
        <f t="shared" si="24"/>
        <v>89.098542290691711</v>
      </c>
      <c r="Z18" s="455">
        <f t="shared" si="24"/>
        <v>84.527935917903505</v>
      </c>
      <c r="AB18" s="319" t="s">
        <v>576</v>
      </c>
    </row>
    <row r="19" spans="1:28">
      <c r="B19" s="319" t="s">
        <v>542</v>
      </c>
      <c r="C19" s="209">
        <f t="shared" ref="C19:Z19" si="25">C18/C15</f>
        <v>3.9028585095611877E-2</v>
      </c>
      <c r="D19" s="209">
        <f t="shared" si="25"/>
        <v>3.9075831104997495E-2</v>
      </c>
      <c r="E19" s="209">
        <f t="shared" si="25"/>
        <v>3.9111782944159561E-2</v>
      </c>
      <c r="F19" s="209">
        <f t="shared" si="25"/>
        <v>3.377229909357625E-2</v>
      </c>
      <c r="G19" s="209">
        <f t="shared" si="25"/>
        <v>4.404458488001986E-2</v>
      </c>
      <c r="H19" s="209">
        <f t="shared" si="25"/>
        <v>4.118754896166358E-2</v>
      </c>
      <c r="I19" s="209">
        <f t="shared" si="25"/>
        <v>3.411764705882353E-2</v>
      </c>
      <c r="J19" s="209">
        <f t="shared" si="25"/>
        <v>8.7855557990618255E-2</v>
      </c>
      <c r="K19" s="209">
        <f t="shared" si="25"/>
        <v>0.1512576411251825</v>
      </c>
      <c r="L19" s="209">
        <f t="shared" si="25"/>
        <v>0.14770732849652396</v>
      </c>
      <c r="M19" s="209">
        <f t="shared" si="25"/>
        <v>0.13836115738358748</v>
      </c>
      <c r="N19" s="209">
        <f t="shared" si="25"/>
        <v>0.12918956496994841</v>
      </c>
      <c r="O19" s="209">
        <f t="shared" si="25"/>
        <v>0.12253707527482693</v>
      </c>
      <c r="P19" s="209">
        <f t="shared" si="25"/>
        <v>0.11593664377621804</v>
      </c>
      <c r="Q19" s="209">
        <f t="shared" si="25"/>
        <v>0.11490748705795736</v>
      </c>
      <c r="R19" s="209">
        <f t="shared" si="25"/>
        <v>0.11389834757753328</v>
      </c>
      <c r="S19" s="209">
        <f t="shared" si="25"/>
        <v>0.11290398614157436</v>
      </c>
      <c r="T19" s="209">
        <f t="shared" si="25"/>
        <v>0.11192023810372385</v>
      </c>
      <c r="U19" s="209">
        <f t="shared" si="25"/>
        <v>0.11094383218775142</v>
      </c>
      <c r="V19" s="209">
        <f t="shared" si="25"/>
        <v>0.10997224681734154</v>
      </c>
      <c r="W19" s="209">
        <f t="shared" si="25"/>
        <v>0.10900359570285928</v>
      </c>
      <c r="X19" s="209">
        <f t="shared" si="25"/>
        <v>0.10803653635796069</v>
      </c>
      <c r="Y19" s="209">
        <f t="shared" si="25"/>
        <v>0.10707019667610142</v>
      </c>
      <c r="Z19" s="209">
        <f t="shared" si="25"/>
        <v>0.10610411580747939</v>
      </c>
    </row>
    <row r="20" spans="1:28">
      <c r="G20" s="455"/>
      <c r="M20" s="455">
        <f t="shared" ref="M20:Z20" si="26">M18-M17</f>
        <v>-21.091023275795607</v>
      </c>
      <c r="N20" s="455">
        <f t="shared" si="26"/>
        <v>-36.023063241475512</v>
      </c>
      <c r="O20" s="455">
        <f t="shared" si="26"/>
        <v>-45.946557008098779</v>
      </c>
      <c r="P20" s="455">
        <f t="shared" si="26"/>
        <v>-54.745386843973307</v>
      </c>
      <c r="Q20" s="455">
        <f t="shared" si="26"/>
        <v>-51.458032255418402</v>
      </c>
      <c r="R20" s="455">
        <f t="shared" si="26"/>
        <v>-48.457827533112834</v>
      </c>
      <c r="S20" s="455">
        <f t="shared" si="26"/>
        <v>-45.701240811742437</v>
      </c>
      <c r="T20" s="455">
        <f t="shared" si="26"/>
        <v>-43.154275409338368</v>
      </c>
      <c r="U20" s="455">
        <f t="shared" si="26"/>
        <v>-40.790030291678875</v>
      </c>
      <c r="V20" s="455">
        <f t="shared" si="26"/>
        <v>-38.586933880103928</v>
      </c>
      <c r="W20" s="455">
        <f t="shared" si="26"/>
        <v>-36.527455077705554</v>
      </c>
      <c r="X20" s="455">
        <f t="shared" si="26"/>
        <v>-34.597155213046349</v>
      </c>
      <c r="Y20" s="455">
        <f t="shared" si="26"/>
        <v>-32.783985397362102</v>
      </c>
      <c r="Z20" s="455">
        <f t="shared" si="26"/>
        <v>-31.077761849342423</v>
      </c>
    </row>
    <row r="21" spans="1:28">
      <c r="B21" s="471" t="s">
        <v>544</v>
      </c>
      <c r="C21" s="471"/>
      <c r="D21" s="472"/>
      <c r="E21" s="471"/>
      <c r="F21" s="471"/>
      <c r="G21" s="471"/>
      <c r="H21" s="471"/>
      <c r="I21" s="471"/>
      <c r="J21" s="471"/>
      <c r="K21" s="471"/>
      <c r="L21" s="471"/>
      <c r="M21" s="743"/>
      <c r="N21" s="471"/>
      <c r="O21" s="471"/>
      <c r="P21" s="471"/>
      <c r="Q21" s="471"/>
      <c r="R21" s="471"/>
      <c r="S21" s="471"/>
      <c r="T21" s="471"/>
      <c r="U21" s="471"/>
      <c r="V21" s="471"/>
      <c r="W21" s="471"/>
      <c r="X21" s="471"/>
      <c r="Y21" s="471"/>
      <c r="Z21" s="471"/>
    </row>
    <row r="22" spans="1:28" s="480" customFormat="1" ht="12.75" hidden="1" customHeight="1" outlineLevel="1">
      <c r="A22" s="473"/>
      <c r="B22" s="474" t="s">
        <v>601</v>
      </c>
      <c r="C22" s="474"/>
      <c r="D22" s="475"/>
      <c r="E22" s="474"/>
      <c r="F22" s="474"/>
      <c r="G22" s="474"/>
      <c r="H22" s="474"/>
      <c r="I22" s="474"/>
      <c r="J22" s="476"/>
      <c r="K22" s="476">
        <f>K23</f>
        <v>2.0299999999999998</v>
      </c>
      <c r="L22" s="478">
        <f>L23</f>
        <v>0.99</v>
      </c>
      <c r="M22" s="478">
        <v>0.85</v>
      </c>
      <c r="N22" s="649">
        <v>0.9</v>
      </c>
      <c r="O22" s="476">
        <v>0.9</v>
      </c>
      <c r="P22" s="649">
        <f>O22</f>
        <v>0.9</v>
      </c>
      <c r="Q22" s="649">
        <f>P22</f>
        <v>0.9</v>
      </c>
      <c r="R22" s="649">
        <f>Q22</f>
        <v>0.9</v>
      </c>
      <c r="S22" s="649">
        <f>R22</f>
        <v>0.9</v>
      </c>
      <c r="T22" s="649">
        <v>0.95</v>
      </c>
      <c r="U22" s="649">
        <f t="shared" ref="U22:Z24" si="27">T22</f>
        <v>0.95</v>
      </c>
      <c r="V22" s="649">
        <f t="shared" si="27"/>
        <v>0.95</v>
      </c>
      <c r="W22" s="649">
        <f t="shared" si="27"/>
        <v>0.95</v>
      </c>
      <c r="X22" s="649">
        <f t="shared" si="27"/>
        <v>0.95</v>
      </c>
      <c r="Y22" s="649">
        <f t="shared" si="27"/>
        <v>0.95</v>
      </c>
      <c r="Z22" s="649">
        <f t="shared" si="27"/>
        <v>0.95</v>
      </c>
    </row>
    <row r="23" spans="1:28" s="480" customFormat="1" ht="12.75" hidden="1" customHeight="1" outlineLevel="1">
      <c r="A23" s="473"/>
      <c r="B23" s="474" t="s">
        <v>599</v>
      </c>
      <c r="C23" s="474"/>
      <c r="D23" s="481">
        <f t="shared" ref="D23:J23" si="28">D25/C25</f>
        <v>0.984375</v>
      </c>
      <c r="E23" s="481">
        <f t="shared" si="28"/>
        <v>0.98412698412698407</v>
      </c>
      <c r="F23" s="481">
        <f t="shared" si="28"/>
        <v>0.85760368663594466</v>
      </c>
      <c r="G23" s="481">
        <f t="shared" si="28"/>
        <v>1.0305820526598601</v>
      </c>
      <c r="H23" s="481">
        <f t="shared" si="28"/>
        <v>1.0677761976200852</v>
      </c>
      <c r="I23" s="481">
        <f t="shared" si="28"/>
        <v>0.72552471175808664</v>
      </c>
      <c r="J23" s="481">
        <f t="shared" si="28"/>
        <v>2.3330862373226</v>
      </c>
      <c r="K23" s="482">
        <v>2.0299999999999998</v>
      </c>
      <c r="L23" s="482">
        <v>0.99</v>
      </c>
      <c r="M23" s="482">
        <v>0.9</v>
      </c>
      <c r="N23" s="483">
        <v>0.9</v>
      </c>
      <c r="O23" s="483">
        <v>0.9</v>
      </c>
      <c r="P23" s="483">
        <f>O23</f>
        <v>0.9</v>
      </c>
      <c r="Q23" s="483">
        <v>0.95</v>
      </c>
      <c r="R23" s="483">
        <f t="shared" ref="R23:T24" si="29">Q23</f>
        <v>0.95</v>
      </c>
      <c r="S23" s="483">
        <f t="shared" si="29"/>
        <v>0.95</v>
      </c>
      <c r="T23" s="483">
        <f t="shared" si="29"/>
        <v>0.95</v>
      </c>
      <c r="U23" s="483">
        <f t="shared" si="27"/>
        <v>0.95</v>
      </c>
      <c r="V23" s="483">
        <f t="shared" si="27"/>
        <v>0.95</v>
      </c>
      <c r="W23" s="483">
        <f t="shared" si="27"/>
        <v>0.95</v>
      </c>
      <c r="X23" s="483">
        <f t="shared" si="27"/>
        <v>0.95</v>
      </c>
      <c r="Y23" s="483">
        <f t="shared" si="27"/>
        <v>0.95</v>
      </c>
      <c r="Z23" s="483">
        <f t="shared" si="27"/>
        <v>0.95</v>
      </c>
    </row>
    <row r="24" spans="1:28" s="480" customFormat="1" ht="12.75" hidden="1" customHeight="1" outlineLevel="1">
      <c r="A24" s="473"/>
      <c r="B24" s="474" t="s">
        <v>600</v>
      </c>
      <c r="C24" s="474"/>
      <c r="D24" s="475"/>
      <c r="E24" s="474"/>
      <c r="F24" s="474"/>
      <c r="G24" s="474"/>
      <c r="H24" s="474"/>
      <c r="I24" s="474"/>
      <c r="J24" s="476"/>
      <c r="K24" s="476">
        <f>K23</f>
        <v>2.0299999999999998</v>
      </c>
      <c r="L24" s="478">
        <f>L23</f>
        <v>0.99</v>
      </c>
      <c r="M24" s="478">
        <v>0.7</v>
      </c>
      <c r="N24" s="478">
        <f>M24</f>
        <v>0.7</v>
      </c>
      <c r="O24" s="478">
        <f>N24</f>
        <v>0.7</v>
      </c>
      <c r="P24" s="479">
        <f>O24</f>
        <v>0.7</v>
      </c>
      <c r="Q24" s="479">
        <f>P24</f>
        <v>0.7</v>
      </c>
      <c r="R24" s="479">
        <f t="shared" si="29"/>
        <v>0.7</v>
      </c>
      <c r="S24" s="479">
        <f t="shared" si="29"/>
        <v>0.7</v>
      </c>
      <c r="T24" s="479">
        <f t="shared" si="29"/>
        <v>0.7</v>
      </c>
      <c r="U24" s="479">
        <f t="shared" si="27"/>
        <v>0.7</v>
      </c>
      <c r="V24" s="479">
        <f t="shared" si="27"/>
        <v>0.7</v>
      </c>
      <c r="W24" s="479">
        <f t="shared" si="27"/>
        <v>0.7</v>
      </c>
      <c r="X24" s="479">
        <f t="shared" si="27"/>
        <v>0.7</v>
      </c>
      <c r="Y24" s="479">
        <f t="shared" si="27"/>
        <v>0.7</v>
      </c>
      <c r="Z24" s="479">
        <f t="shared" si="27"/>
        <v>0.7</v>
      </c>
    </row>
    <row r="25" spans="1:28" collapsed="1">
      <c r="A25" s="484" t="s">
        <v>578</v>
      </c>
      <c r="B25" s="485" t="s">
        <v>547</v>
      </c>
      <c r="C25" s="485">
        <v>64</v>
      </c>
      <c r="D25" s="485">
        <v>63</v>
      </c>
      <c r="E25" s="485">
        <v>62</v>
      </c>
      <c r="F25" s="486">
        <f>F28/F31</f>
        <v>53.171428571428571</v>
      </c>
      <c r="G25" s="486">
        <f>G28/G31</f>
        <v>54.797519999999992</v>
      </c>
      <c r="H25" s="486">
        <f>H28/H31</f>
        <v>58.51148754461056</v>
      </c>
      <c r="I25" s="486">
        <f>58-I58</f>
        <v>42.451530135340455</v>
      </c>
      <c r="J25" s="486">
        <f>148-J58</f>
        <v>99.043080712048436</v>
      </c>
      <c r="K25" s="487">
        <f t="shared" ref="K25:Z25" si="30">CHOOSE($E$1,K22*J25,J25*K23,J25*K24)</f>
        <v>201.0574538454583</v>
      </c>
      <c r="L25" s="487">
        <f t="shared" si="30"/>
        <v>199.04687930700371</v>
      </c>
      <c r="M25" s="487">
        <f t="shared" si="30"/>
        <v>179.14219137630334</v>
      </c>
      <c r="N25" s="487">
        <f t="shared" si="30"/>
        <v>161.227972238673</v>
      </c>
      <c r="O25" s="487">
        <f t="shared" si="30"/>
        <v>145.1051750148057</v>
      </c>
      <c r="P25" s="487">
        <f t="shared" si="30"/>
        <v>130.59465751332513</v>
      </c>
      <c r="Q25" s="487">
        <f t="shared" si="30"/>
        <v>124.06492463765886</v>
      </c>
      <c r="R25" s="487">
        <f t="shared" si="30"/>
        <v>117.86167840577592</v>
      </c>
      <c r="S25" s="487">
        <f t="shared" si="30"/>
        <v>111.96859448548712</v>
      </c>
      <c r="T25" s="487">
        <f t="shared" si="30"/>
        <v>106.37016476121275</v>
      </c>
      <c r="U25" s="487">
        <f t="shared" si="30"/>
        <v>101.0516565231521</v>
      </c>
      <c r="V25" s="487">
        <f t="shared" si="30"/>
        <v>95.9990736969945</v>
      </c>
      <c r="W25" s="487">
        <f t="shared" si="30"/>
        <v>91.199120012144775</v>
      </c>
      <c r="X25" s="487">
        <f t="shared" si="30"/>
        <v>86.639164011537531</v>
      </c>
      <c r="Y25" s="487">
        <f t="shared" si="30"/>
        <v>82.307205810960653</v>
      </c>
      <c r="Z25" s="487">
        <f t="shared" si="30"/>
        <v>78.191845520412613</v>
      </c>
    </row>
    <row r="26" spans="1:28" s="458" customFormat="1">
      <c r="A26" s="456"/>
      <c r="B26" s="457" t="s">
        <v>545</v>
      </c>
      <c r="E26" s="488">
        <f t="shared" ref="E26:Z26" si="31">E25/E10</f>
        <v>1.4631070651583858E-2</v>
      </c>
      <c r="F26" s="488">
        <f t="shared" si="31"/>
        <v>1.2630184258740993E-2</v>
      </c>
      <c r="G26" s="488">
        <f t="shared" si="31"/>
        <v>1.3091880674546606E-2</v>
      </c>
      <c r="H26" s="488">
        <f t="shared" si="31"/>
        <v>1.4114013856084209E-2</v>
      </c>
      <c r="I26" s="488">
        <f t="shared" si="31"/>
        <v>1.035403174032694E-2</v>
      </c>
      <c r="J26" s="488">
        <f t="shared" si="31"/>
        <v>2.4377924696462841E-2</v>
      </c>
      <c r="K26" s="488">
        <f t="shared" si="31"/>
        <v>5.0950585125165537E-2</v>
      </c>
      <c r="L26" s="488">
        <f t="shared" si="31"/>
        <v>5.3464425214632419E-2</v>
      </c>
      <c r="M26" s="488">
        <f t="shared" si="31"/>
        <v>5.1034528272411402E-2</v>
      </c>
      <c r="N26" s="488">
        <f t="shared" si="31"/>
        <v>4.8531479389699039E-2</v>
      </c>
      <c r="O26" s="488">
        <f t="shared" si="31"/>
        <v>4.5981360462871115E-2</v>
      </c>
      <c r="P26" s="488">
        <f t="shared" si="31"/>
        <v>4.3448676913003227E-2</v>
      </c>
      <c r="Q26" s="488">
        <f t="shared" si="31"/>
        <v>4.3222045573940389E-2</v>
      </c>
      <c r="R26" s="488">
        <f t="shared" si="31"/>
        <v>4.2982394026910058E-2</v>
      </c>
      <c r="S26" s="488">
        <f t="shared" si="31"/>
        <v>4.2730641653410985E-2</v>
      </c>
      <c r="T26" s="488">
        <f t="shared" si="31"/>
        <v>4.2467640002493839E-2</v>
      </c>
      <c r="U26" s="488">
        <f t="shared" si="31"/>
        <v>4.2194191510498656E-2</v>
      </c>
      <c r="V26" s="488">
        <f t="shared" si="31"/>
        <v>4.1911064938817015E-2</v>
      </c>
      <c r="W26" s="488">
        <f t="shared" si="31"/>
        <v>4.1619008169659778E-2</v>
      </c>
      <c r="X26" s="488">
        <f t="shared" si="31"/>
        <v>4.1318758867132779E-2</v>
      </c>
      <c r="Y26" s="488">
        <f t="shared" si="31"/>
        <v>4.1011053409062088E-2</v>
      </c>
      <c r="Z26" s="488">
        <f t="shared" si="31"/>
        <v>4.0696634417005002E-2</v>
      </c>
    </row>
    <row r="27" spans="1:28" s="458" customFormat="1">
      <c r="A27" s="456"/>
      <c r="B27" s="457" t="s">
        <v>546</v>
      </c>
      <c r="E27" s="488">
        <f t="shared" ref="E27:Z27" si="32">E25/E15</f>
        <v>3.5286699806761072E-2</v>
      </c>
      <c r="F27" s="488">
        <f t="shared" si="32"/>
        <v>3.0461032624022395E-2</v>
      </c>
      <c r="G27" s="488">
        <f t="shared" si="32"/>
        <v>3.1574535744494758E-2</v>
      </c>
      <c r="H27" s="488">
        <f t="shared" si="32"/>
        <v>3.4039680476438385E-2</v>
      </c>
      <c r="I27" s="488">
        <f t="shared" si="32"/>
        <v>2.497148831490615E-2</v>
      </c>
      <c r="J27" s="488">
        <f t="shared" si="32"/>
        <v>5.8793818385586859E-2</v>
      </c>
      <c r="K27" s="488">
        <f t="shared" si="32"/>
        <v>0.12288082294892864</v>
      </c>
      <c r="L27" s="488">
        <f t="shared" si="32"/>
        <v>0.128943613752937</v>
      </c>
      <c r="M27" s="488">
        <f t="shared" si="32"/>
        <v>0.12308327406875691</v>
      </c>
      <c r="N27" s="488">
        <f t="shared" si="32"/>
        <v>0.11704650911633299</v>
      </c>
      <c r="O27" s="488">
        <f t="shared" si="32"/>
        <v>0.11089622229280681</v>
      </c>
      <c r="P27" s="488">
        <f t="shared" si="32"/>
        <v>0.10478798549606662</v>
      </c>
      <c r="Q27" s="488">
        <f t="shared" si="32"/>
        <v>0.10424140403126801</v>
      </c>
      <c r="R27" s="488">
        <f t="shared" si="32"/>
        <v>0.10366342088843016</v>
      </c>
      <c r="S27" s="488">
        <f t="shared" si="32"/>
        <v>0.10305625339940298</v>
      </c>
      <c r="T27" s="488">
        <f t="shared" si="32"/>
        <v>0.10242195530013219</v>
      </c>
      <c r="U27" s="488">
        <f t="shared" si="32"/>
        <v>0.10176246187826148</v>
      </c>
      <c r="V27" s="488">
        <f t="shared" si="32"/>
        <v>0.10107962720538222</v>
      </c>
      <c r="W27" s="488">
        <f t="shared" si="32"/>
        <v>0.10037525499741476</v>
      </c>
      <c r="X27" s="488">
        <f t="shared" si="32"/>
        <v>9.9651124326614354E-2</v>
      </c>
      <c r="Y27" s="488">
        <f t="shared" si="32"/>
        <v>9.8909011163032107E-2</v>
      </c>
      <c r="Z27" s="488">
        <f t="shared" si="32"/>
        <v>9.8150706535129723E-2</v>
      </c>
    </row>
    <row r="28" spans="1:28">
      <c r="B28" s="319" t="s">
        <v>548</v>
      </c>
      <c r="C28" s="489">
        <f t="shared" ref="C28:E30" si="33">C$25*C31</f>
        <v>48</v>
      </c>
      <c r="D28" s="489">
        <f t="shared" si="33"/>
        <v>45.99</v>
      </c>
      <c r="E28" s="490">
        <f t="shared" si="33"/>
        <v>45.26</v>
      </c>
      <c r="F28" s="491">
        <f>43-F58</f>
        <v>37.22</v>
      </c>
      <c r="G28" s="491">
        <f>60-G58</f>
        <v>38.358263999999991</v>
      </c>
      <c r="H28" s="491">
        <f>55-H58</f>
        <v>42.713385907565709</v>
      </c>
      <c r="I28" s="455">
        <f t="shared" ref="I28:O28" si="34">I25*I31</f>
        <v>26.744463985264488</v>
      </c>
      <c r="J28" s="455">
        <f t="shared" si="34"/>
        <v>72.301448919795362</v>
      </c>
      <c r="K28" s="455">
        <f t="shared" si="34"/>
        <v>150.79309038409372</v>
      </c>
      <c r="L28" s="455">
        <f t="shared" si="34"/>
        <v>149.28515948025279</v>
      </c>
      <c r="M28" s="455">
        <f t="shared" si="34"/>
        <v>134.35664353222751</v>
      </c>
      <c r="N28" s="455">
        <f t="shared" si="34"/>
        <v>120.92097917900475</v>
      </c>
      <c r="O28" s="455">
        <f t="shared" si="34"/>
        <v>108.82888126110427</v>
      </c>
      <c r="P28" s="455">
        <f>P25*P31</f>
        <v>97.945993134993842</v>
      </c>
      <c r="Q28" s="455">
        <f t="shared" ref="Q28:Z28" si="35">Q25*Q31</f>
        <v>93.048693478244147</v>
      </c>
      <c r="R28" s="455">
        <f t="shared" si="35"/>
        <v>88.396258804331936</v>
      </c>
      <c r="S28" s="455">
        <f t="shared" si="35"/>
        <v>83.976445864115334</v>
      </c>
      <c r="T28" s="455">
        <f t="shared" si="35"/>
        <v>79.777623570909554</v>
      </c>
      <c r="U28" s="455">
        <f t="shared" si="35"/>
        <v>75.788742392364071</v>
      </c>
      <c r="V28" s="455">
        <f t="shared" si="35"/>
        <v>71.999305272745872</v>
      </c>
      <c r="W28" s="455">
        <f t="shared" si="35"/>
        <v>68.399340009108585</v>
      </c>
      <c r="X28" s="455">
        <f t="shared" si="35"/>
        <v>64.979373008653141</v>
      </c>
      <c r="Y28" s="455">
        <f t="shared" si="35"/>
        <v>61.73040435822049</v>
      </c>
      <c r="Z28" s="455">
        <f t="shared" si="35"/>
        <v>58.64388414030946</v>
      </c>
      <c r="AB28" s="319" t="s">
        <v>549</v>
      </c>
    </row>
    <row r="29" spans="1:28">
      <c r="B29" s="319" t="s">
        <v>550</v>
      </c>
      <c r="C29" s="466">
        <f t="shared" si="33"/>
        <v>14.08</v>
      </c>
      <c r="D29" s="466">
        <f t="shared" si="33"/>
        <v>15.12</v>
      </c>
      <c r="E29" s="466">
        <f t="shared" si="33"/>
        <v>14.879999999999999</v>
      </c>
      <c r="F29" s="466">
        <f t="shared" ref="F29:O29" si="36">F$25*F32</f>
        <v>14.888000000000002</v>
      </c>
      <c r="G29" s="466">
        <f t="shared" si="36"/>
        <v>15.343305599999999</v>
      </c>
      <c r="H29" s="466">
        <f t="shared" si="36"/>
        <v>14.62787188615264</v>
      </c>
      <c r="I29" s="466">
        <f t="shared" si="36"/>
        <v>14.858035547369159</v>
      </c>
      <c r="J29" s="466">
        <f t="shared" si="36"/>
        <v>24.760770178012109</v>
      </c>
      <c r="K29" s="466">
        <f t="shared" si="36"/>
        <v>46.243214384455413</v>
      </c>
      <c r="L29" s="466">
        <f t="shared" si="36"/>
        <v>45.780782240610854</v>
      </c>
      <c r="M29" s="466">
        <f t="shared" si="36"/>
        <v>41.202704016549774</v>
      </c>
      <c r="N29" s="466">
        <f t="shared" si="36"/>
        <v>37.082433614894789</v>
      </c>
      <c r="O29" s="466">
        <f t="shared" si="36"/>
        <v>33.37419025340531</v>
      </c>
      <c r="P29" s="466">
        <f>P$25*P32</f>
        <v>30.036771228064783</v>
      </c>
      <c r="Q29" s="466">
        <f t="shared" ref="Q29:Z29" si="37">Q$25*Q32</f>
        <v>28.53493266666154</v>
      </c>
      <c r="R29" s="466">
        <f t="shared" si="37"/>
        <v>27.108186033328462</v>
      </c>
      <c r="S29" s="466">
        <f t="shared" si="37"/>
        <v>25.752776731662038</v>
      </c>
      <c r="T29" s="466">
        <f t="shared" si="37"/>
        <v>24.465137895078932</v>
      </c>
      <c r="U29" s="466">
        <f t="shared" si="37"/>
        <v>23.241881000324984</v>
      </c>
      <c r="V29" s="466">
        <f t="shared" si="37"/>
        <v>22.079786950308737</v>
      </c>
      <c r="W29" s="466">
        <f t="shared" si="37"/>
        <v>20.9757976027933</v>
      </c>
      <c r="X29" s="466">
        <f t="shared" si="37"/>
        <v>19.927007722653634</v>
      </c>
      <c r="Y29" s="466">
        <f t="shared" si="37"/>
        <v>18.930657336520952</v>
      </c>
      <c r="Z29" s="466">
        <f t="shared" si="37"/>
        <v>17.984124469694901</v>
      </c>
      <c r="AB29" s="319" t="s">
        <v>551</v>
      </c>
    </row>
    <row r="30" spans="1:28">
      <c r="B30" s="319" t="s">
        <v>552</v>
      </c>
      <c r="C30" s="466">
        <f t="shared" si="33"/>
        <v>1.9200000000000017</v>
      </c>
      <c r="D30" s="466">
        <f t="shared" si="33"/>
        <v>1.8900000000000017</v>
      </c>
      <c r="E30" s="466">
        <f t="shared" si="33"/>
        <v>1.8600000000000017</v>
      </c>
      <c r="F30" s="466">
        <f t="shared" ref="F30:O30" si="38">F$25*F33</f>
        <v>1.0634285714285723</v>
      </c>
      <c r="G30" s="466">
        <f t="shared" si="38"/>
        <v>1.0959504000000009</v>
      </c>
      <c r="H30" s="466">
        <f t="shared" si="38"/>
        <v>1.1702297508922122</v>
      </c>
      <c r="I30" s="466">
        <f t="shared" si="38"/>
        <v>0.84903060270680986</v>
      </c>
      <c r="J30" s="466">
        <f t="shared" si="38"/>
        <v>1.9808616142409705</v>
      </c>
      <c r="K30" s="466">
        <f t="shared" si="38"/>
        <v>4.0211490769091691</v>
      </c>
      <c r="L30" s="466">
        <f t="shared" si="38"/>
        <v>3.9809375861400778</v>
      </c>
      <c r="M30" s="466">
        <f t="shared" si="38"/>
        <v>3.5828438275260699</v>
      </c>
      <c r="N30" s="466">
        <f t="shared" si="38"/>
        <v>3.2245594447734631</v>
      </c>
      <c r="O30" s="466">
        <f t="shared" si="38"/>
        <v>2.9021035002961164</v>
      </c>
      <c r="P30" s="466">
        <f>P$25*P33</f>
        <v>2.6118931502665048</v>
      </c>
      <c r="Q30" s="466">
        <f t="shared" ref="Q30:Z30" si="39">Q$25*Q33</f>
        <v>2.4812984927531794</v>
      </c>
      <c r="R30" s="466">
        <f t="shared" si="39"/>
        <v>2.3572335681155203</v>
      </c>
      <c r="S30" s="466">
        <f t="shared" si="39"/>
        <v>2.2393718897097443</v>
      </c>
      <c r="T30" s="466">
        <f t="shared" si="39"/>
        <v>2.1274032952242568</v>
      </c>
      <c r="U30" s="466">
        <f t="shared" si="39"/>
        <v>2.021033130463044</v>
      </c>
      <c r="V30" s="466">
        <f t="shared" si="39"/>
        <v>1.9199814739398917</v>
      </c>
      <c r="W30" s="466">
        <f t="shared" si="39"/>
        <v>1.823982400242897</v>
      </c>
      <c r="X30" s="466">
        <f t="shared" si="39"/>
        <v>1.7327832802307521</v>
      </c>
      <c r="Y30" s="466">
        <f t="shared" si="39"/>
        <v>1.6461441162192145</v>
      </c>
      <c r="Z30" s="466">
        <f t="shared" si="39"/>
        <v>1.5638369104082537</v>
      </c>
    </row>
    <row r="31" spans="1:28" s="458" customFormat="1">
      <c r="A31" s="456"/>
      <c r="B31" s="457" t="s">
        <v>553</v>
      </c>
      <c r="C31" s="492">
        <v>0.75</v>
      </c>
      <c r="D31" s="492">
        <v>0.73</v>
      </c>
      <c r="E31" s="492">
        <v>0.73</v>
      </c>
      <c r="F31" s="492">
        <v>0.7</v>
      </c>
      <c r="G31" s="492">
        <v>0.7</v>
      </c>
      <c r="H31" s="492">
        <v>0.73</v>
      </c>
      <c r="I31" s="492">
        <v>0.63</v>
      </c>
      <c r="J31" s="492">
        <v>0.73</v>
      </c>
      <c r="K31" s="492">
        <v>0.75</v>
      </c>
      <c r="L31" s="460">
        <f>K31</f>
        <v>0.75</v>
      </c>
      <c r="M31" s="460">
        <f t="shared" ref="M31:P32" si="40">L31</f>
        <v>0.75</v>
      </c>
      <c r="N31" s="460">
        <f t="shared" si="40"/>
        <v>0.75</v>
      </c>
      <c r="O31" s="460">
        <f t="shared" si="40"/>
        <v>0.75</v>
      </c>
      <c r="P31" s="460">
        <f>O31</f>
        <v>0.75</v>
      </c>
      <c r="Q31" s="460">
        <f t="shared" ref="Q31:Z32" si="41">P31</f>
        <v>0.75</v>
      </c>
      <c r="R31" s="460">
        <f t="shared" si="41"/>
        <v>0.75</v>
      </c>
      <c r="S31" s="460">
        <f t="shared" si="41"/>
        <v>0.75</v>
      </c>
      <c r="T31" s="460">
        <f t="shared" si="41"/>
        <v>0.75</v>
      </c>
      <c r="U31" s="460">
        <f t="shared" si="41"/>
        <v>0.75</v>
      </c>
      <c r="V31" s="460">
        <f t="shared" si="41"/>
        <v>0.75</v>
      </c>
      <c r="W31" s="460">
        <f t="shared" si="41"/>
        <v>0.75</v>
      </c>
      <c r="X31" s="460">
        <f t="shared" si="41"/>
        <v>0.75</v>
      </c>
      <c r="Y31" s="460">
        <f t="shared" si="41"/>
        <v>0.75</v>
      </c>
      <c r="Z31" s="460">
        <f t="shared" si="41"/>
        <v>0.75</v>
      </c>
    </row>
    <row r="32" spans="1:28" s="458" customFormat="1">
      <c r="A32" s="456"/>
      <c r="B32" s="457" t="s">
        <v>554</v>
      </c>
      <c r="C32" s="492">
        <v>0.22</v>
      </c>
      <c r="D32" s="492">
        <v>0.24</v>
      </c>
      <c r="E32" s="492">
        <v>0.24</v>
      </c>
      <c r="F32" s="492">
        <v>0.28000000000000003</v>
      </c>
      <c r="G32" s="492">
        <v>0.28000000000000003</v>
      </c>
      <c r="H32" s="492">
        <v>0.25</v>
      </c>
      <c r="I32" s="492">
        <v>0.35</v>
      </c>
      <c r="J32" s="492">
        <v>0.25</v>
      </c>
      <c r="K32" s="492">
        <v>0.23</v>
      </c>
      <c r="L32" s="460">
        <f>K32</f>
        <v>0.23</v>
      </c>
      <c r="M32" s="460">
        <f t="shared" si="40"/>
        <v>0.23</v>
      </c>
      <c r="N32" s="460">
        <f t="shared" si="40"/>
        <v>0.23</v>
      </c>
      <c r="O32" s="460">
        <f t="shared" si="40"/>
        <v>0.23</v>
      </c>
      <c r="P32" s="460">
        <f t="shared" si="40"/>
        <v>0.23</v>
      </c>
      <c r="Q32" s="460">
        <f t="shared" si="41"/>
        <v>0.23</v>
      </c>
      <c r="R32" s="460">
        <f t="shared" si="41"/>
        <v>0.23</v>
      </c>
      <c r="S32" s="460">
        <f t="shared" si="41"/>
        <v>0.23</v>
      </c>
      <c r="T32" s="460">
        <f t="shared" si="41"/>
        <v>0.23</v>
      </c>
      <c r="U32" s="460">
        <f t="shared" si="41"/>
        <v>0.23</v>
      </c>
      <c r="V32" s="460">
        <f t="shared" si="41"/>
        <v>0.23</v>
      </c>
      <c r="W32" s="460">
        <f t="shared" si="41"/>
        <v>0.23</v>
      </c>
      <c r="X32" s="460">
        <f t="shared" si="41"/>
        <v>0.23</v>
      </c>
      <c r="Y32" s="460">
        <f t="shared" si="41"/>
        <v>0.23</v>
      </c>
      <c r="Z32" s="460">
        <f t="shared" si="41"/>
        <v>0.23</v>
      </c>
    </row>
    <row r="33" spans="1:26" s="458" customFormat="1">
      <c r="A33" s="456"/>
      <c r="B33" s="457" t="s">
        <v>555</v>
      </c>
      <c r="C33" s="460">
        <f t="shared" ref="C33:P33" si="42">1-C32-C31</f>
        <v>3.0000000000000027E-2</v>
      </c>
      <c r="D33" s="460">
        <f t="shared" si="42"/>
        <v>3.0000000000000027E-2</v>
      </c>
      <c r="E33" s="460">
        <f t="shared" si="42"/>
        <v>3.0000000000000027E-2</v>
      </c>
      <c r="F33" s="460">
        <f t="shared" si="42"/>
        <v>2.0000000000000018E-2</v>
      </c>
      <c r="G33" s="460">
        <f t="shared" si="42"/>
        <v>2.0000000000000018E-2</v>
      </c>
      <c r="H33" s="460">
        <f t="shared" si="42"/>
        <v>2.0000000000000018E-2</v>
      </c>
      <c r="I33" s="460">
        <f t="shared" si="42"/>
        <v>2.0000000000000018E-2</v>
      </c>
      <c r="J33" s="460">
        <f t="shared" si="42"/>
        <v>2.0000000000000018E-2</v>
      </c>
      <c r="K33" s="460">
        <f t="shared" si="42"/>
        <v>2.0000000000000018E-2</v>
      </c>
      <c r="L33" s="460">
        <f t="shared" si="42"/>
        <v>2.0000000000000018E-2</v>
      </c>
      <c r="M33" s="460">
        <f t="shared" si="42"/>
        <v>2.0000000000000018E-2</v>
      </c>
      <c r="N33" s="460">
        <f t="shared" si="42"/>
        <v>2.0000000000000018E-2</v>
      </c>
      <c r="O33" s="460">
        <f t="shared" si="42"/>
        <v>2.0000000000000018E-2</v>
      </c>
      <c r="P33" s="460">
        <f t="shared" si="42"/>
        <v>2.0000000000000018E-2</v>
      </c>
      <c r="Q33" s="460">
        <f t="shared" ref="Q33:Z33" si="43">1-Q32-Q31</f>
        <v>2.0000000000000018E-2</v>
      </c>
      <c r="R33" s="460">
        <f t="shared" si="43"/>
        <v>2.0000000000000018E-2</v>
      </c>
      <c r="S33" s="460">
        <f t="shared" si="43"/>
        <v>2.0000000000000018E-2</v>
      </c>
      <c r="T33" s="460">
        <f t="shared" si="43"/>
        <v>2.0000000000000018E-2</v>
      </c>
      <c r="U33" s="460">
        <f t="shared" si="43"/>
        <v>2.0000000000000018E-2</v>
      </c>
      <c r="V33" s="460">
        <f t="shared" si="43"/>
        <v>2.0000000000000018E-2</v>
      </c>
      <c r="W33" s="460">
        <f t="shared" si="43"/>
        <v>2.0000000000000018E-2</v>
      </c>
      <c r="X33" s="460">
        <f t="shared" si="43"/>
        <v>2.0000000000000018E-2</v>
      </c>
      <c r="Y33" s="460">
        <f t="shared" si="43"/>
        <v>2.0000000000000018E-2</v>
      </c>
      <c r="Z33" s="460">
        <f t="shared" si="43"/>
        <v>2.0000000000000018E-2</v>
      </c>
    </row>
    <row r="35" spans="1:26">
      <c r="B35" s="493" t="s">
        <v>556</v>
      </c>
      <c r="C35" s="493"/>
      <c r="D35" s="493"/>
      <c r="E35" s="493"/>
      <c r="F35" s="493"/>
      <c r="G35" s="493"/>
      <c r="H35" s="493"/>
      <c r="I35" s="493"/>
      <c r="J35" s="493"/>
      <c r="K35" s="493"/>
      <c r="L35" s="493"/>
      <c r="M35" s="493"/>
      <c r="N35" s="493"/>
      <c r="O35" s="493"/>
      <c r="P35" s="493"/>
      <c r="Q35" s="493"/>
      <c r="R35" s="493"/>
      <c r="S35" s="493"/>
      <c r="T35" s="493"/>
      <c r="U35" s="493"/>
      <c r="V35" s="493"/>
      <c r="W35" s="493"/>
      <c r="X35" s="493"/>
      <c r="Y35" s="493"/>
      <c r="Z35" s="493"/>
    </row>
    <row r="36" spans="1:26">
      <c r="B36" s="319" t="s">
        <v>548</v>
      </c>
      <c r="C36" s="466">
        <f>C39*C28</f>
        <v>19.200000000000003</v>
      </c>
      <c r="D36" s="466">
        <f t="shared" ref="D36:P36" si="44">D39*D28</f>
        <v>18.396000000000001</v>
      </c>
      <c r="E36" s="466">
        <f t="shared" si="44"/>
        <v>18.103999999999999</v>
      </c>
      <c r="F36" s="466">
        <f t="shared" si="44"/>
        <v>14.888</v>
      </c>
      <c r="G36" s="466">
        <f t="shared" si="44"/>
        <v>22.247793119999994</v>
      </c>
      <c r="H36" s="466">
        <f t="shared" si="44"/>
        <v>29.899370135295992</v>
      </c>
      <c r="I36" s="466">
        <f t="shared" si="44"/>
        <v>19.389736389316752</v>
      </c>
      <c r="J36" s="466">
        <f t="shared" si="44"/>
        <v>61.456231581826053</v>
      </c>
      <c r="K36" s="466">
        <f t="shared" si="44"/>
        <v>140.99153950912762</v>
      </c>
      <c r="L36" s="466">
        <f t="shared" si="44"/>
        <v>141.82090150624015</v>
      </c>
      <c r="M36" s="466">
        <f t="shared" si="44"/>
        <v>127.63881135561613</v>
      </c>
      <c r="N36" s="466">
        <f t="shared" si="44"/>
        <v>114.87493022005451</v>
      </c>
      <c r="O36" s="466">
        <f t="shared" si="44"/>
        <v>103.38743719804906</v>
      </c>
      <c r="P36" s="466">
        <f t="shared" si="44"/>
        <v>93.048693478244147</v>
      </c>
      <c r="Q36" s="466">
        <f t="shared" ref="Q36:Z36" si="45">Q39*Q28</f>
        <v>88.396258804331936</v>
      </c>
      <c r="R36" s="466">
        <f t="shared" si="45"/>
        <v>83.976445864115334</v>
      </c>
      <c r="S36" s="466">
        <f t="shared" si="45"/>
        <v>79.777623570909569</v>
      </c>
      <c r="T36" s="466">
        <f t="shared" si="45"/>
        <v>75.788742392364071</v>
      </c>
      <c r="U36" s="466">
        <f t="shared" si="45"/>
        <v>71.999305272745858</v>
      </c>
      <c r="V36" s="466">
        <f t="shared" si="45"/>
        <v>68.39934000910857</v>
      </c>
      <c r="W36" s="466">
        <f t="shared" si="45"/>
        <v>64.979373008653155</v>
      </c>
      <c r="X36" s="466">
        <f t="shared" si="45"/>
        <v>61.730404358220483</v>
      </c>
      <c r="Y36" s="466">
        <f t="shared" si="45"/>
        <v>58.64388414030946</v>
      </c>
      <c r="Z36" s="466">
        <f t="shared" si="45"/>
        <v>55.711689933293982</v>
      </c>
    </row>
    <row r="37" spans="1:26">
      <c r="B37" s="319" t="s">
        <v>550</v>
      </c>
      <c r="C37" s="466">
        <f t="shared" ref="C37:P38" si="46">C40*C29</f>
        <v>11.264000000000001</v>
      </c>
      <c r="D37" s="466">
        <f t="shared" si="46"/>
        <v>12.096</v>
      </c>
      <c r="E37" s="466">
        <f t="shared" si="46"/>
        <v>11.904</v>
      </c>
      <c r="F37" s="466">
        <f t="shared" si="46"/>
        <v>11.910400000000003</v>
      </c>
      <c r="G37" s="466">
        <f t="shared" si="46"/>
        <v>12.274644479999999</v>
      </c>
      <c r="H37" s="466">
        <f t="shared" si="46"/>
        <v>11.702297508922113</v>
      </c>
      <c r="I37" s="466">
        <f t="shared" si="46"/>
        <v>11.886428437895328</v>
      </c>
      <c r="J37" s="466">
        <f t="shared" si="46"/>
        <v>19.80861614240969</v>
      </c>
      <c r="K37" s="466">
        <f t="shared" si="46"/>
        <v>41.618892946009872</v>
      </c>
      <c r="L37" s="466">
        <f t="shared" si="46"/>
        <v>43.49174312858031</v>
      </c>
      <c r="M37" s="466">
        <f t="shared" si="46"/>
        <v>39.142568815722285</v>
      </c>
      <c r="N37" s="466">
        <f t="shared" si="46"/>
        <v>35.228311934150049</v>
      </c>
      <c r="O37" s="466">
        <f t="shared" si="46"/>
        <v>31.705480740735041</v>
      </c>
      <c r="P37" s="466">
        <f t="shared" si="46"/>
        <v>28.534932666661543</v>
      </c>
      <c r="Q37" s="466">
        <f t="shared" ref="Q37:Z37" si="47">Q40*Q29</f>
        <v>27.108186033328462</v>
      </c>
      <c r="R37" s="466">
        <f t="shared" si="47"/>
        <v>25.752776731662038</v>
      </c>
      <c r="S37" s="466">
        <f t="shared" si="47"/>
        <v>24.465137895078936</v>
      </c>
      <c r="T37" s="466">
        <f t="shared" si="47"/>
        <v>23.241881000324984</v>
      </c>
      <c r="U37" s="466">
        <f t="shared" si="47"/>
        <v>22.079786950308733</v>
      </c>
      <c r="V37" s="466">
        <f t="shared" si="47"/>
        <v>20.9757976027933</v>
      </c>
      <c r="W37" s="466">
        <f t="shared" si="47"/>
        <v>19.927007722653634</v>
      </c>
      <c r="X37" s="466">
        <f t="shared" si="47"/>
        <v>18.930657336520952</v>
      </c>
      <c r="Y37" s="466">
        <f t="shared" si="47"/>
        <v>17.984124469694905</v>
      </c>
      <c r="Z37" s="466">
        <f t="shared" si="47"/>
        <v>17.084918246210155</v>
      </c>
    </row>
    <row r="38" spans="1:26">
      <c r="B38" s="319" t="s">
        <v>552</v>
      </c>
      <c r="C38" s="466">
        <f t="shared" si="46"/>
        <v>0.76800000000000068</v>
      </c>
      <c r="D38" s="466">
        <f t="shared" si="46"/>
        <v>0.75600000000000067</v>
      </c>
      <c r="E38" s="466">
        <f t="shared" si="46"/>
        <v>0.74400000000000066</v>
      </c>
      <c r="F38" s="466">
        <f t="shared" si="46"/>
        <v>0.42537142857142896</v>
      </c>
      <c r="G38" s="466">
        <f t="shared" si="46"/>
        <v>0.63565123200000051</v>
      </c>
      <c r="H38" s="466">
        <f t="shared" si="46"/>
        <v>0.81916082562454851</v>
      </c>
      <c r="I38" s="466">
        <f t="shared" si="46"/>
        <v>0.61554718696243715</v>
      </c>
      <c r="J38" s="466">
        <f t="shared" si="46"/>
        <v>1.683732372104825</v>
      </c>
      <c r="K38" s="466">
        <f t="shared" si="46"/>
        <v>3.7597743869100735</v>
      </c>
      <c r="L38" s="466">
        <f t="shared" si="46"/>
        <v>3.7818907068330736</v>
      </c>
      <c r="M38" s="466">
        <f t="shared" si="46"/>
        <v>3.4037016361497661</v>
      </c>
      <c r="N38" s="466">
        <f t="shared" si="46"/>
        <v>3.0633314725347898</v>
      </c>
      <c r="O38" s="466">
        <f t="shared" si="46"/>
        <v>2.7569983252813106</v>
      </c>
      <c r="P38" s="466">
        <f t="shared" si="46"/>
        <v>2.4812984927531794</v>
      </c>
      <c r="Q38" s="466">
        <f t="shared" ref="Q38:Z38" si="48">Q41*Q30</f>
        <v>2.3572335681155203</v>
      </c>
      <c r="R38" s="466">
        <f t="shared" si="48"/>
        <v>2.2393718897097443</v>
      </c>
      <c r="S38" s="466">
        <f t="shared" si="48"/>
        <v>2.1274032952242572</v>
      </c>
      <c r="T38" s="466">
        <f t="shared" si="48"/>
        <v>2.021033130463044</v>
      </c>
      <c r="U38" s="466">
        <f t="shared" si="48"/>
        <v>1.9199814739398917</v>
      </c>
      <c r="V38" s="466">
        <f t="shared" si="48"/>
        <v>1.823982400242897</v>
      </c>
      <c r="W38" s="466">
        <f t="shared" si="48"/>
        <v>1.7327832802307521</v>
      </c>
      <c r="X38" s="466">
        <f t="shared" si="48"/>
        <v>1.6461441162192145</v>
      </c>
      <c r="Y38" s="466">
        <f t="shared" si="48"/>
        <v>1.5638369104082537</v>
      </c>
      <c r="Z38" s="466">
        <f t="shared" si="48"/>
        <v>1.485645064887841</v>
      </c>
    </row>
    <row r="39" spans="1:26" s="458" customFormat="1">
      <c r="A39" s="456"/>
      <c r="B39" s="457" t="s">
        <v>553</v>
      </c>
      <c r="C39" s="492">
        <v>0.4</v>
      </c>
      <c r="D39" s="460">
        <f>C39</f>
        <v>0.4</v>
      </c>
      <c r="E39" s="460">
        <f t="shared" ref="E39:J41" si="49">D39</f>
        <v>0.4</v>
      </c>
      <c r="F39" s="460">
        <f t="shared" si="49"/>
        <v>0.4</v>
      </c>
      <c r="G39" s="492">
        <v>0.57999999999999996</v>
      </c>
      <c r="H39" s="492">
        <v>0.7</v>
      </c>
      <c r="I39" s="492">
        <v>0.72499999999999998</v>
      </c>
      <c r="J39" s="492">
        <v>0.85</v>
      </c>
      <c r="K39" s="492">
        <v>0.93500000000000005</v>
      </c>
      <c r="L39" s="492">
        <v>0.95</v>
      </c>
      <c r="M39" s="460">
        <f>L39</f>
        <v>0.95</v>
      </c>
      <c r="N39" s="460">
        <f t="shared" ref="N39:P40" si="50">M39</f>
        <v>0.95</v>
      </c>
      <c r="O39" s="460">
        <f t="shared" si="50"/>
        <v>0.95</v>
      </c>
      <c r="P39" s="460">
        <f t="shared" si="50"/>
        <v>0.95</v>
      </c>
      <c r="Q39" s="460">
        <f t="shared" ref="Q39:Z39" si="51">P39</f>
        <v>0.95</v>
      </c>
      <c r="R39" s="460">
        <f t="shared" si="51"/>
        <v>0.95</v>
      </c>
      <c r="S39" s="460">
        <f t="shared" si="51"/>
        <v>0.95</v>
      </c>
      <c r="T39" s="460">
        <f t="shared" si="51"/>
        <v>0.95</v>
      </c>
      <c r="U39" s="460">
        <f t="shared" si="51"/>
        <v>0.95</v>
      </c>
      <c r="V39" s="460">
        <f t="shared" si="51"/>
        <v>0.95</v>
      </c>
      <c r="W39" s="460">
        <f t="shared" si="51"/>
        <v>0.95</v>
      </c>
      <c r="X39" s="460">
        <f t="shared" si="51"/>
        <v>0.95</v>
      </c>
      <c r="Y39" s="460">
        <f t="shared" si="51"/>
        <v>0.95</v>
      </c>
      <c r="Z39" s="460">
        <f t="shared" si="51"/>
        <v>0.95</v>
      </c>
    </row>
    <row r="40" spans="1:26" s="458" customFormat="1">
      <c r="A40" s="456"/>
      <c r="B40" s="457" t="s">
        <v>554</v>
      </c>
      <c r="C40" s="492">
        <v>0.8</v>
      </c>
      <c r="D40" s="460">
        <f>C40</f>
        <v>0.8</v>
      </c>
      <c r="E40" s="460">
        <f t="shared" si="49"/>
        <v>0.8</v>
      </c>
      <c r="F40" s="460">
        <f t="shared" si="49"/>
        <v>0.8</v>
      </c>
      <c r="G40" s="460">
        <f t="shared" si="49"/>
        <v>0.8</v>
      </c>
      <c r="H40" s="460">
        <f t="shared" si="49"/>
        <v>0.8</v>
      </c>
      <c r="I40" s="460">
        <f t="shared" si="49"/>
        <v>0.8</v>
      </c>
      <c r="J40" s="460">
        <f t="shared" si="49"/>
        <v>0.8</v>
      </c>
      <c r="K40" s="460">
        <v>0.9</v>
      </c>
      <c r="L40" s="460">
        <v>0.95</v>
      </c>
      <c r="M40" s="460">
        <f>L40</f>
        <v>0.95</v>
      </c>
      <c r="N40" s="460">
        <f t="shared" si="50"/>
        <v>0.95</v>
      </c>
      <c r="O40" s="460">
        <f t="shared" si="50"/>
        <v>0.95</v>
      </c>
      <c r="P40" s="460">
        <f t="shared" si="50"/>
        <v>0.95</v>
      </c>
      <c r="Q40" s="460">
        <f t="shared" ref="Q40:Z40" si="52">P40</f>
        <v>0.95</v>
      </c>
      <c r="R40" s="460">
        <f t="shared" si="52"/>
        <v>0.95</v>
      </c>
      <c r="S40" s="460">
        <f t="shared" si="52"/>
        <v>0.95</v>
      </c>
      <c r="T40" s="460">
        <f t="shared" si="52"/>
        <v>0.95</v>
      </c>
      <c r="U40" s="460">
        <f t="shared" si="52"/>
        <v>0.95</v>
      </c>
      <c r="V40" s="460">
        <f t="shared" si="52"/>
        <v>0.95</v>
      </c>
      <c r="W40" s="460">
        <f t="shared" si="52"/>
        <v>0.95</v>
      </c>
      <c r="X40" s="460">
        <f t="shared" si="52"/>
        <v>0.95</v>
      </c>
      <c r="Y40" s="460">
        <f t="shared" si="52"/>
        <v>0.95</v>
      </c>
      <c r="Z40" s="460">
        <f t="shared" si="52"/>
        <v>0.95</v>
      </c>
    </row>
    <row r="41" spans="1:26" s="458" customFormat="1">
      <c r="A41" s="456"/>
      <c r="B41" s="457" t="s">
        <v>555</v>
      </c>
      <c r="C41" s="492">
        <v>0.4</v>
      </c>
      <c r="D41" s="460">
        <f>C41</f>
        <v>0.4</v>
      </c>
      <c r="E41" s="460">
        <f t="shared" si="49"/>
        <v>0.4</v>
      </c>
      <c r="F41" s="460">
        <f t="shared" si="49"/>
        <v>0.4</v>
      </c>
      <c r="G41" s="460">
        <f>G39</f>
        <v>0.57999999999999996</v>
      </c>
      <c r="H41" s="460">
        <f t="shared" ref="H41:P41" si="53">H39</f>
        <v>0.7</v>
      </c>
      <c r="I41" s="460">
        <f t="shared" si="53"/>
        <v>0.72499999999999998</v>
      </c>
      <c r="J41" s="460">
        <f t="shared" si="53"/>
        <v>0.85</v>
      </c>
      <c r="K41" s="460">
        <f t="shared" si="53"/>
        <v>0.93500000000000005</v>
      </c>
      <c r="L41" s="460">
        <f t="shared" si="53"/>
        <v>0.95</v>
      </c>
      <c r="M41" s="460">
        <f t="shared" si="53"/>
        <v>0.95</v>
      </c>
      <c r="N41" s="460">
        <f t="shared" si="53"/>
        <v>0.95</v>
      </c>
      <c r="O41" s="460">
        <f t="shared" si="53"/>
        <v>0.95</v>
      </c>
      <c r="P41" s="460">
        <f t="shared" si="53"/>
        <v>0.95</v>
      </c>
      <c r="Q41" s="460">
        <f t="shared" ref="Q41:Z41" si="54">Q39</f>
        <v>0.95</v>
      </c>
      <c r="R41" s="460">
        <f t="shared" si="54"/>
        <v>0.95</v>
      </c>
      <c r="S41" s="460">
        <f t="shared" si="54"/>
        <v>0.95</v>
      </c>
      <c r="T41" s="460">
        <f t="shared" si="54"/>
        <v>0.95</v>
      </c>
      <c r="U41" s="460">
        <f t="shared" si="54"/>
        <v>0.95</v>
      </c>
      <c r="V41" s="460">
        <f t="shared" si="54"/>
        <v>0.95</v>
      </c>
      <c r="W41" s="460">
        <f t="shared" si="54"/>
        <v>0.95</v>
      </c>
      <c r="X41" s="460">
        <f t="shared" si="54"/>
        <v>0.95</v>
      </c>
      <c r="Y41" s="460">
        <f t="shared" si="54"/>
        <v>0.95</v>
      </c>
      <c r="Z41" s="460">
        <f t="shared" si="54"/>
        <v>0.95</v>
      </c>
    </row>
    <row r="43" spans="1:26">
      <c r="B43" s="494" t="s">
        <v>577</v>
      </c>
      <c r="C43" s="494"/>
      <c r="D43" s="495"/>
      <c r="E43" s="494"/>
      <c r="F43" s="494"/>
      <c r="G43" s="494"/>
      <c r="H43" s="494"/>
      <c r="I43" s="494"/>
      <c r="J43" s="494"/>
      <c r="K43" s="494"/>
      <c r="L43" s="494"/>
      <c r="M43" s="494"/>
      <c r="N43" s="494"/>
      <c r="O43" s="494"/>
      <c r="P43" s="494"/>
      <c r="Q43" s="494"/>
      <c r="R43" s="494"/>
      <c r="S43" s="494"/>
      <c r="T43" s="494"/>
      <c r="U43" s="494"/>
      <c r="V43" s="494"/>
      <c r="W43" s="494"/>
      <c r="X43" s="494"/>
      <c r="Y43" s="494"/>
      <c r="Z43" s="494"/>
    </row>
    <row r="44" spans="1:26" ht="15" hidden="1" customHeight="1" outlineLevel="1">
      <c r="B44" s="474" t="s">
        <v>604</v>
      </c>
      <c r="C44" s="474"/>
      <c r="D44" s="475"/>
      <c r="E44" s="474"/>
      <c r="F44" s="474"/>
      <c r="G44" s="474"/>
      <c r="H44" s="474"/>
      <c r="I44" s="474"/>
      <c r="J44" s="1012" t="s">
        <v>605</v>
      </c>
      <c r="K44" s="1012"/>
      <c r="L44" s="1012" t="s">
        <v>607</v>
      </c>
      <c r="M44" s="1012"/>
      <c r="N44" s="496" t="s">
        <v>606</v>
      </c>
      <c r="O44" s="479"/>
      <c r="P44" s="479"/>
      <c r="Q44" s="479"/>
      <c r="R44" s="479"/>
      <c r="S44" s="479"/>
      <c r="T44" s="479"/>
      <c r="U44" s="479"/>
      <c r="V44" s="479"/>
      <c r="W44" s="479"/>
      <c r="X44" s="479"/>
      <c r="Y44" s="479"/>
      <c r="Z44" s="479"/>
    </row>
    <row r="45" spans="1:26" s="480" customFormat="1" ht="12.75" hidden="1" customHeight="1" outlineLevel="1">
      <c r="A45" s="473"/>
      <c r="B45" s="474" t="s">
        <v>423</v>
      </c>
      <c r="C45" s="474"/>
      <c r="D45" s="475"/>
      <c r="E45" s="474"/>
      <c r="F45" s="474"/>
      <c r="G45" s="474"/>
      <c r="H45" s="474"/>
      <c r="I45" s="474"/>
      <c r="J45" s="497"/>
      <c r="K45" s="498">
        <f>K46+10%</f>
        <v>1.0150000000000001</v>
      </c>
      <c r="L45" s="498">
        <v>0.8</v>
      </c>
      <c r="M45" s="499">
        <f>L45</f>
        <v>0.8</v>
      </c>
      <c r="N45" s="499">
        <f>M45</f>
        <v>0.8</v>
      </c>
      <c r="O45" s="499">
        <f>N45</f>
        <v>0.8</v>
      </c>
      <c r="P45" s="499">
        <f>O45</f>
        <v>0.8</v>
      </c>
      <c r="Q45" s="499">
        <f t="shared" ref="Q45:X45" si="55">P45</f>
        <v>0.8</v>
      </c>
      <c r="R45" s="499">
        <f t="shared" si="55"/>
        <v>0.8</v>
      </c>
      <c r="S45" s="499">
        <f t="shared" si="55"/>
        <v>0.8</v>
      </c>
      <c r="T45" s="499">
        <f t="shared" si="55"/>
        <v>0.8</v>
      </c>
      <c r="U45" s="499">
        <f t="shared" si="55"/>
        <v>0.8</v>
      </c>
      <c r="V45" s="499">
        <f t="shared" si="55"/>
        <v>0.8</v>
      </c>
      <c r="W45" s="499">
        <f t="shared" si="55"/>
        <v>0.8</v>
      </c>
      <c r="X45" s="499">
        <f t="shared" si="55"/>
        <v>0.8</v>
      </c>
      <c r="Y45" s="502">
        <f t="shared" ref="Y45:Z47" si="56">X45*0.1</f>
        <v>8.0000000000000016E-2</v>
      </c>
      <c r="Z45" s="502">
        <f t="shared" si="56"/>
        <v>8.0000000000000019E-3</v>
      </c>
    </row>
    <row r="46" spans="1:26" s="480" customFormat="1" ht="12.75" hidden="1" customHeight="1" outlineLevel="1">
      <c r="A46" s="473"/>
      <c r="B46" s="474" t="s">
        <v>424</v>
      </c>
      <c r="C46" s="474"/>
      <c r="D46" s="481"/>
      <c r="E46" s="481"/>
      <c r="F46" s="481"/>
      <c r="G46" s="481"/>
      <c r="H46" s="481"/>
      <c r="I46" s="481"/>
      <c r="J46" s="500"/>
      <c r="K46" s="500">
        <v>0.91500000000000004</v>
      </c>
      <c r="L46" s="500">
        <v>0.8</v>
      </c>
      <c r="M46" s="500">
        <v>0.75</v>
      </c>
      <c r="N46" s="500">
        <v>0.55000000000000004</v>
      </c>
      <c r="O46" s="501">
        <v>0.5</v>
      </c>
      <c r="P46" s="501">
        <f>O46</f>
        <v>0.5</v>
      </c>
      <c r="Q46" s="501">
        <f t="shared" ref="Q46:X46" si="57">P46</f>
        <v>0.5</v>
      </c>
      <c r="R46" s="501">
        <f t="shared" si="57"/>
        <v>0.5</v>
      </c>
      <c r="S46" s="501">
        <f t="shared" si="57"/>
        <v>0.5</v>
      </c>
      <c r="T46" s="501">
        <f t="shared" si="57"/>
        <v>0.5</v>
      </c>
      <c r="U46" s="501">
        <f t="shared" si="57"/>
        <v>0.5</v>
      </c>
      <c r="V46" s="501">
        <f t="shared" si="57"/>
        <v>0.5</v>
      </c>
      <c r="W46" s="501">
        <f t="shared" si="57"/>
        <v>0.5</v>
      </c>
      <c r="X46" s="501">
        <f t="shared" si="57"/>
        <v>0.5</v>
      </c>
      <c r="Y46" s="502">
        <f t="shared" si="56"/>
        <v>0.05</v>
      </c>
      <c r="Z46" s="502">
        <f t="shared" si="56"/>
        <v>5.000000000000001E-3</v>
      </c>
    </row>
    <row r="47" spans="1:26" s="480" customFormat="1" ht="12.75" hidden="1" customHeight="1" outlineLevel="1">
      <c r="A47" s="473"/>
      <c r="B47" s="474" t="s">
        <v>425</v>
      </c>
      <c r="C47" s="474"/>
      <c r="D47" s="475"/>
      <c r="E47" s="474"/>
      <c r="F47" s="474"/>
      <c r="G47" s="474"/>
      <c r="H47" s="474"/>
      <c r="I47" s="474"/>
      <c r="J47" s="497"/>
      <c r="K47" s="502">
        <f>K46-10%</f>
        <v>0.81500000000000006</v>
      </c>
      <c r="L47" s="502">
        <f>K47-10%</f>
        <v>0.71500000000000008</v>
      </c>
      <c r="M47" s="502">
        <f>L47-5%</f>
        <v>0.66500000000000004</v>
      </c>
      <c r="N47" s="502">
        <f>M47-10%</f>
        <v>0.56500000000000006</v>
      </c>
      <c r="O47" s="502">
        <f>N47</f>
        <v>0.56500000000000006</v>
      </c>
      <c r="P47" s="502">
        <f>O47</f>
        <v>0.56500000000000006</v>
      </c>
      <c r="Q47" s="502">
        <f t="shared" ref="Q47:X47" si="58">P47</f>
        <v>0.56500000000000006</v>
      </c>
      <c r="R47" s="502">
        <f t="shared" si="58"/>
        <v>0.56500000000000006</v>
      </c>
      <c r="S47" s="502">
        <f t="shared" si="58"/>
        <v>0.56500000000000006</v>
      </c>
      <c r="T47" s="502">
        <f t="shared" si="58"/>
        <v>0.56500000000000006</v>
      </c>
      <c r="U47" s="502">
        <f t="shared" si="58"/>
        <v>0.56500000000000006</v>
      </c>
      <c r="V47" s="502">
        <f t="shared" si="58"/>
        <v>0.56500000000000006</v>
      </c>
      <c r="W47" s="502">
        <f t="shared" si="58"/>
        <v>0.56500000000000006</v>
      </c>
      <c r="X47" s="502">
        <f t="shared" si="58"/>
        <v>0.56500000000000006</v>
      </c>
      <c r="Y47" s="502">
        <f t="shared" si="56"/>
        <v>5.6500000000000009E-2</v>
      </c>
      <c r="Z47" s="502">
        <f t="shared" si="56"/>
        <v>5.6500000000000014E-3</v>
      </c>
    </row>
    <row r="48" spans="1:26" collapsed="1">
      <c r="A48" s="484" t="s">
        <v>578</v>
      </c>
      <c r="B48" s="485" t="s">
        <v>541</v>
      </c>
      <c r="C48" s="485"/>
      <c r="D48" s="485"/>
      <c r="E48" s="485"/>
      <c r="F48" s="485"/>
      <c r="G48" s="485"/>
      <c r="H48" s="485"/>
      <c r="I48" s="485"/>
      <c r="J48" s="500">
        <v>0.95</v>
      </c>
      <c r="K48" s="500">
        <v>0.91500000000000004</v>
      </c>
      <c r="L48" s="503">
        <f t="shared" ref="L48:Z48" si="59">CHOOSE($E$1,L45,L46,L47)</f>
        <v>0.8</v>
      </c>
      <c r="M48" s="503">
        <f t="shared" si="59"/>
        <v>0.75</v>
      </c>
      <c r="N48" s="503">
        <f t="shared" si="59"/>
        <v>0.55000000000000004</v>
      </c>
      <c r="O48" s="503">
        <f t="shared" si="59"/>
        <v>0.5</v>
      </c>
      <c r="P48" s="503">
        <f t="shared" si="59"/>
        <v>0.5</v>
      </c>
      <c r="Q48" s="503">
        <f t="shared" si="59"/>
        <v>0.5</v>
      </c>
      <c r="R48" s="503">
        <f t="shared" si="59"/>
        <v>0.5</v>
      </c>
      <c r="S48" s="503">
        <f t="shared" si="59"/>
        <v>0.5</v>
      </c>
      <c r="T48" s="503">
        <f t="shared" si="59"/>
        <v>0.5</v>
      </c>
      <c r="U48" s="503">
        <f t="shared" si="59"/>
        <v>0.5</v>
      </c>
      <c r="V48" s="503">
        <f t="shared" si="59"/>
        <v>0.5</v>
      </c>
      <c r="W48" s="503">
        <f t="shared" si="59"/>
        <v>0.5</v>
      </c>
      <c r="X48" s="503">
        <f t="shared" si="59"/>
        <v>0.5</v>
      </c>
      <c r="Y48" s="503">
        <f t="shared" si="59"/>
        <v>0.05</v>
      </c>
      <c r="Z48" s="503">
        <f t="shared" si="59"/>
        <v>5.000000000000001E-3</v>
      </c>
    </row>
    <row r="49" spans="1:28">
      <c r="B49" s="319" t="s">
        <v>68</v>
      </c>
      <c r="C49" s="470">
        <f>1-C48</f>
        <v>1</v>
      </c>
      <c r="D49" s="470">
        <f t="shared" ref="D49:Z49" si="60">1-D48</f>
        <v>1</v>
      </c>
      <c r="E49" s="470">
        <f t="shared" si="60"/>
        <v>1</v>
      </c>
      <c r="F49" s="470">
        <f t="shared" si="60"/>
        <v>1</v>
      </c>
      <c r="G49" s="470">
        <f t="shared" si="60"/>
        <v>1</v>
      </c>
      <c r="H49" s="470">
        <f t="shared" si="60"/>
        <v>1</v>
      </c>
      <c r="I49" s="470">
        <f t="shared" si="60"/>
        <v>1</v>
      </c>
      <c r="J49" s="470">
        <f t="shared" si="60"/>
        <v>5.0000000000000044E-2</v>
      </c>
      <c r="K49" s="470">
        <f t="shared" si="60"/>
        <v>8.4999999999999964E-2</v>
      </c>
      <c r="L49" s="470">
        <f t="shared" si="60"/>
        <v>0.19999999999999996</v>
      </c>
      <c r="M49" s="470">
        <f t="shared" si="60"/>
        <v>0.25</v>
      </c>
      <c r="N49" s="470">
        <f t="shared" si="60"/>
        <v>0.44999999999999996</v>
      </c>
      <c r="O49" s="470">
        <f t="shared" si="60"/>
        <v>0.5</v>
      </c>
      <c r="P49" s="470">
        <f t="shared" si="60"/>
        <v>0.5</v>
      </c>
      <c r="Q49" s="470">
        <f t="shared" si="60"/>
        <v>0.5</v>
      </c>
      <c r="R49" s="470">
        <f t="shared" si="60"/>
        <v>0.5</v>
      </c>
      <c r="S49" s="470">
        <f t="shared" si="60"/>
        <v>0.5</v>
      </c>
      <c r="T49" s="470">
        <f t="shared" si="60"/>
        <v>0.5</v>
      </c>
      <c r="U49" s="470">
        <f t="shared" si="60"/>
        <v>0.5</v>
      </c>
      <c r="V49" s="470">
        <f t="shared" si="60"/>
        <v>0.5</v>
      </c>
      <c r="W49" s="470">
        <f t="shared" si="60"/>
        <v>0.5</v>
      </c>
      <c r="X49" s="470">
        <f t="shared" si="60"/>
        <v>0.5</v>
      </c>
      <c r="Y49" s="470">
        <f t="shared" si="60"/>
        <v>0.95</v>
      </c>
      <c r="Z49" s="470">
        <f t="shared" si="60"/>
        <v>0.995</v>
      </c>
    </row>
    <row r="51" spans="1:28">
      <c r="B51" s="461" t="s">
        <v>557</v>
      </c>
      <c r="C51" s="461"/>
      <c r="D51" s="462"/>
      <c r="E51" s="461"/>
      <c r="F51" s="461"/>
      <c r="G51" s="461"/>
      <c r="H51" s="461"/>
      <c r="I51" s="461"/>
      <c r="J51" s="461"/>
      <c r="K51" s="461"/>
      <c r="L51" s="461"/>
      <c r="M51" s="461"/>
      <c r="N51" s="461"/>
      <c r="O51" s="461"/>
      <c r="P51" s="461"/>
      <c r="Q51" s="461"/>
      <c r="R51" s="461"/>
      <c r="S51" s="461"/>
      <c r="T51" s="461"/>
      <c r="U51" s="461"/>
      <c r="V51" s="461"/>
      <c r="W51" s="461"/>
      <c r="X51" s="461"/>
      <c r="Y51" s="461"/>
      <c r="Z51" s="461"/>
    </row>
    <row r="52" spans="1:28">
      <c r="B52" s="319" t="s">
        <v>579</v>
      </c>
      <c r="C52" s="455">
        <f>D52+D58-D53</f>
        <v>218.66078021428569</v>
      </c>
      <c r="D52" s="455">
        <f>E52+E58-E53</f>
        <v>244.30515142857138</v>
      </c>
      <c r="E52" s="455">
        <f>F52+F58-F53</f>
        <v>268.83234285714281</v>
      </c>
      <c r="F52" s="468">
        <v>289</v>
      </c>
      <c r="G52" s="466">
        <f>F52+F53-F58</f>
        <v>309.16765714285719</v>
      </c>
      <c r="H52" s="466">
        <f t="shared" ref="H52:P52" si="61">G52+G53-G58</f>
        <v>307.1653523108572</v>
      </c>
      <c r="I52" s="466">
        <f t="shared" si="61"/>
        <v>310.96939729319087</v>
      </c>
      <c r="J52" s="466">
        <f t="shared" si="61"/>
        <v>305.9807455496973</v>
      </c>
      <c r="K52" s="466">
        <f t="shared" si="61"/>
        <v>273.11832687745363</v>
      </c>
      <c r="L52" s="466">
        <f t="shared" si="61"/>
        <v>241.37545831169723</v>
      </c>
      <c r="M52" s="466">
        <f t="shared" si="61"/>
        <v>222.36274727964374</v>
      </c>
      <c r="N52" s="466">
        <f t="shared" si="61"/>
        <v>209.08358212049453</v>
      </c>
      <c r="O52" s="466">
        <f t="shared" si="61"/>
        <v>200.41829416278864</v>
      </c>
      <c r="P52" s="466">
        <f t="shared" si="61"/>
        <v>192.44176255715701</v>
      </c>
      <c r="Q52" s="466">
        <f t="shared" ref="Q52:Z52" si="62">P52+P53-P58</f>
        <v>185.07720017619653</v>
      </c>
      <c r="R52" s="466">
        <f t="shared" si="62"/>
        <v>178.58600124799415</v>
      </c>
      <c r="S52" s="466">
        <f t="shared" si="62"/>
        <v>172.84233203396303</v>
      </c>
      <c r="T52" s="466">
        <f t="shared" si="62"/>
        <v>167.74139362056329</v>
      </c>
      <c r="U52" s="466">
        <f t="shared" si="62"/>
        <v>163.19547480481495</v>
      </c>
      <c r="V52" s="466">
        <f t="shared" si="62"/>
        <v>159.13081870217815</v>
      </c>
      <c r="W52" s="466">
        <f t="shared" si="62"/>
        <v>155.48512147704542</v>
      </c>
      <c r="X52" s="466">
        <f t="shared" si="62"/>
        <v>152.2055249951033</v>
      </c>
      <c r="Y52" s="466">
        <f t="shared" si="62"/>
        <v>149.24699758202109</v>
      </c>
      <c r="Z52" s="466">
        <f t="shared" si="62"/>
        <v>146.57102139283808</v>
      </c>
      <c r="AB52" s="319" t="s">
        <v>582</v>
      </c>
    </row>
    <row r="53" spans="1:28">
      <c r="B53" s="319" t="s">
        <v>559</v>
      </c>
      <c r="C53" s="466">
        <f t="shared" ref="C53:Z53" si="63">C25-C36-C37-C38</f>
        <v>32.767999999999994</v>
      </c>
      <c r="D53" s="466">
        <f t="shared" si="63"/>
        <v>31.751999999999995</v>
      </c>
      <c r="E53" s="466">
        <f t="shared" si="63"/>
        <v>31.248000000000001</v>
      </c>
      <c r="F53" s="466">
        <f t="shared" si="63"/>
        <v>25.947657142857143</v>
      </c>
      <c r="G53" s="466">
        <f t="shared" si="63"/>
        <v>19.639431167999994</v>
      </c>
      <c r="H53" s="466">
        <f t="shared" si="63"/>
        <v>16.090659074767906</v>
      </c>
      <c r="I53" s="466">
        <f t="shared" si="63"/>
        <v>10.559818121165938</v>
      </c>
      <c r="J53" s="466">
        <f t="shared" si="63"/>
        <v>16.094500615707869</v>
      </c>
      <c r="K53" s="466">
        <f t="shared" si="63"/>
        <v>14.687247003410732</v>
      </c>
      <c r="L53" s="466">
        <f t="shared" si="63"/>
        <v>9.952343965350174</v>
      </c>
      <c r="M53" s="466">
        <f t="shared" si="63"/>
        <v>8.9571095688151665</v>
      </c>
      <c r="N53" s="466">
        <f t="shared" si="63"/>
        <v>8.0613986119336563</v>
      </c>
      <c r="O53" s="466">
        <f t="shared" si="63"/>
        <v>7.2552587507402873</v>
      </c>
      <c r="P53" s="466">
        <f t="shared" si="63"/>
        <v>6.5297328756662623</v>
      </c>
      <c r="Q53" s="466">
        <f t="shared" si="63"/>
        <v>6.2032462318829449</v>
      </c>
      <c r="R53" s="466">
        <f t="shared" si="63"/>
        <v>5.8930839202888023</v>
      </c>
      <c r="S53" s="466">
        <f t="shared" si="63"/>
        <v>5.5984297242743555</v>
      </c>
      <c r="T53" s="466">
        <f t="shared" si="63"/>
        <v>5.3185082380606499</v>
      </c>
      <c r="U53" s="466">
        <f t="shared" si="63"/>
        <v>5.0525828261576216</v>
      </c>
      <c r="V53" s="466">
        <f t="shared" si="63"/>
        <v>4.7999536848497328</v>
      </c>
      <c r="W53" s="466">
        <f t="shared" si="63"/>
        <v>4.5599560006072331</v>
      </c>
      <c r="X53" s="466">
        <f>X25-X36-X37-X38</f>
        <v>4.3319582005768824</v>
      </c>
      <c r="Y53" s="466">
        <f t="shared" si="63"/>
        <v>4.1153602905480344</v>
      </c>
      <c r="Z53" s="466">
        <f t="shared" si="63"/>
        <v>3.9095922760206356</v>
      </c>
      <c r="AB53" s="319" t="s">
        <v>580</v>
      </c>
    </row>
    <row r="54" spans="1:28" s="480" customFormat="1" ht="12.75" hidden="1" customHeight="1" outlineLevel="1">
      <c r="A54" s="473"/>
      <c r="B54" s="474" t="s">
        <v>423</v>
      </c>
      <c r="C54" s="474"/>
      <c r="D54" s="475"/>
      <c r="E54" s="474"/>
      <c r="F54" s="474"/>
      <c r="G54" s="474"/>
      <c r="H54" s="474"/>
      <c r="I54" s="474"/>
      <c r="J54" s="497"/>
      <c r="K54" s="498">
        <v>0.25</v>
      </c>
      <c r="L54" s="499">
        <v>0.25</v>
      </c>
      <c r="M54" s="499">
        <v>0.25</v>
      </c>
      <c r="N54" s="499">
        <v>0.25</v>
      </c>
      <c r="O54" s="499">
        <v>0.25</v>
      </c>
      <c r="P54" s="499">
        <v>0.25</v>
      </c>
      <c r="Q54" s="499">
        <f t="shared" ref="Q54:X54" si="64">P54</f>
        <v>0.25</v>
      </c>
      <c r="R54" s="499">
        <f t="shared" si="64"/>
        <v>0.25</v>
      </c>
      <c r="S54" s="499">
        <f t="shared" si="64"/>
        <v>0.25</v>
      </c>
      <c r="T54" s="499">
        <f t="shared" si="64"/>
        <v>0.25</v>
      </c>
      <c r="U54" s="499">
        <f t="shared" si="64"/>
        <v>0.25</v>
      </c>
      <c r="V54" s="499">
        <f t="shared" si="64"/>
        <v>0.25</v>
      </c>
      <c r="W54" s="499">
        <f t="shared" si="64"/>
        <v>0.25</v>
      </c>
      <c r="X54" s="499">
        <f t="shared" si="64"/>
        <v>0.25</v>
      </c>
      <c r="Y54" s="500">
        <v>0.1</v>
      </c>
      <c r="Z54" s="500">
        <v>0.05</v>
      </c>
    </row>
    <row r="55" spans="1:28" s="480" customFormat="1" ht="12.75" hidden="1" customHeight="1" outlineLevel="1">
      <c r="A55" s="473"/>
      <c r="B55" s="474" t="s">
        <v>424</v>
      </c>
      <c r="C55" s="474"/>
      <c r="D55" s="481"/>
      <c r="E55" s="481"/>
      <c r="F55" s="481"/>
      <c r="G55" s="481"/>
      <c r="H55" s="481"/>
      <c r="I55" s="481"/>
      <c r="J55" s="559"/>
      <c r="K55" s="500">
        <v>0.17</v>
      </c>
      <c r="L55" s="559">
        <v>0.12</v>
      </c>
      <c r="M55" s="650">
        <v>0.1</v>
      </c>
      <c r="N55" s="650">
        <f>M55*0.8</f>
        <v>8.0000000000000016E-2</v>
      </c>
      <c r="O55" s="650">
        <f t="shared" ref="O55:Z55" si="65">N55*0.95</f>
        <v>7.6000000000000012E-2</v>
      </c>
      <c r="P55" s="650">
        <f t="shared" si="65"/>
        <v>7.2200000000000014E-2</v>
      </c>
      <c r="Q55" s="650">
        <f t="shared" si="65"/>
        <v>6.8590000000000012E-2</v>
      </c>
      <c r="R55" s="650">
        <f t="shared" si="65"/>
        <v>6.516050000000001E-2</v>
      </c>
      <c r="S55" s="650">
        <f t="shared" si="65"/>
        <v>6.1902475000000005E-2</v>
      </c>
      <c r="T55" s="650">
        <f t="shared" si="65"/>
        <v>5.8807351250000001E-2</v>
      </c>
      <c r="U55" s="650">
        <f t="shared" si="65"/>
        <v>5.5866983687499996E-2</v>
      </c>
      <c r="V55" s="650">
        <f t="shared" si="65"/>
        <v>5.3073634503124995E-2</v>
      </c>
      <c r="W55" s="650">
        <f t="shared" si="65"/>
        <v>5.0419952777968742E-2</v>
      </c>
      <c r="X55" s="650">
        <f t="shared" si="65"/>
        <v>4.7898955139070304E-2</v>
      </c>
      <c r="Y55" s="650">
        <f t="shared" si="65"/>
        <v>4.5504007382116789E-2</v>
      </c>
      <c r="Z55" s="650">
        <f t="shared" si="65"/>
        <v>4.3228807013010948E-2</v>
      </c>
    </row>
    <row r="56" spans="1:28" s="480" customFormat="1" ht="12.75" hidden="1" customHeight="1" outlineLevel="1">
      <c r="A56" s="473"/>
      <c r="B56" s="474" t="s">
        <v>425</v>
      </c>
      <c r="C56" s="474"/>
      <c r="D56" s="475"/>
      <c r="E56" s="474"/>
      <c r="F56" s="474"/>
      <c r="G56" s="474"/>
      <c r="H56" s="474"/>
      <c r="I56" s="474"/>
      <c r="J56" s="497"/>
      <c r="K56" s="497">
        <f>J57*1.5</f>
        <v>0.24</v>
      </c>
      <c r="L56" s="502">
        <f>K56*0.8</f>
        <v>0.192</v>
      </c>
      <c r="M56" s="502">
        <f>L56*0.8</f>
        <v>0.15360000000000001</v>
      </c>
      <c r="N56" s="502">
        <f>M56*0.8</f>
        <v>0.12288000000000002</v>
      </c>
      <c r="O56" s="502">
        <v>0.03</v>
      </c>
      <c r="P56" s="502">
        <v>0.02</v>
      </c>
      <c r="Q56" s="502">
        <v>0.02</v>
      </c>
      <c r="R56" s="502">
        <v>0.02</v>
      </c>
      <c r="S56" s="502">
        <v>0.02</v>
      </c>
      <c r="T56" s="502">
        <v>0.02</v>
      </c>
      <c r="U56" s="502">
        <v>0.02</v>
      </c>
      <c r="V56" s="502">
        <v>0.02</v>
      </c>
      <c r="W56" s="502">
        <v>0.02</v>
      </c>
      <c r="X56" s="502">
        <v>0.02</v>
      </c>
      <c r="Y56" s="502">
        <v>0</v>
      </c>
      <c r="Z56" s="502">
        <v>0</v>
      </c>
    </row>
    <row r="57" spans="1:28" collapsed="1">
      <c r="A57" s="484" t="s">
        <v>578</v>
      </c>
      <c r="B57" s="485" t="s">
        <v>560</v>
      </c>
      <c r="C57" s="500">
        <v>2.5000000000000001E-2</v>
      </c>
      <c r="D57" s="504">
        <f>C57</f>
        <v>2.5000000000000001E-2</v>
      </c>
      <c r="E57" s="504">
        <f>D57</f>
        <v>2.5000000000000001E-2</v>
      </c>
      <c r="F57" s="500">
        <v>0.02</v>
      </c>
      <c r="G57" s="500">
        <v>7.0000000000000007E-2</v>
      </c>
      <c r="H57" s="500">
        <v>0.04</v>
      </c>
      <c r="I57" s="500">
        <v>0.05</v>
      </c>
      <c r="J57" s="559">
        <v>0.16</v>
      </c>
      <c r="K57" s="500">
        <v>0.17</v>
      </c>
      <c r="L57" s="503">
        <f t="shared" ref="L57:Z57" si="66">CHOOSE($E$1,L54,L55,L56)</f>
        <v>0.12</v>
      </c>
      <c r="M57" s="503">
        <f t="shared" si="66"/>
        <v>0.1</v>
      </c>
      <c r="N57" s="503">
        <f t="shared" si="66"/>
        <v>8.0000000000000016E-2</v>
      </c>
      <c r="O57" s="503">
        <f t="shared" si="66"/>
        <v>7.6000000000000012E-2</v>
      </c>
      <c r="P57" s="503">
        <f t="shared" si="66"/>
        <v>7.2200000000000014E-2</v>
      </c>
      <c r="Q57" s="503">
        <f t="shared" si="66"/>
        <v>6.8590000000000012E-2</v>
      </c>
      <c r="R57" s="503">
        <f t="shared" si="66"/>
        <v>6.516050000000001E-2</v>
      </c>
      <c r="S57" s="503">
        <f t="shared" si="66"/>
        <v>6.1902475000000005E-2</v>
      </c>
      <c r="T57" s="503">
        <f t="shared" si="66"/>
        <v>5.8807351250000001E-2</v>
      </c>
      <c r="U57" s="503">
        <f t="shared" si="66"/>
        <v>5.5866983687499996E-2</v>
      </c>
      <c r="V57" s="503">
        <f t="shared" si="66"/>
        <v>5.3073634503124995E-2</v>
      </c>
      <c r="W57" s="503">
        <f t="shared" si="66"/>
        <v>5.0419952777968742E-2</v>
      </c>
      <c r="X57" s="503">
        <f t="shared" si="66"/>
        <v>4.7898955139070304E-2</v>
      </c>
      <c r="Y57" s="503">
        <f t="shared" si="66"/>
        <v>4.5504007382116789E-2</v>
      </c>
      <c r="Z57" s="503">
        <f t="shared" si="66"/>
        <v>4.3228807013010948E-2</v>
      </c>
    </row>
    <row r="58" spans="1:28">
      <c r="B58" s="319" t="s">
        <v>561</v>
      </c>
      <c r="C58" s="505">
        <f>C57*C52</f>
        <v>5.4665195053571427</v>
      </c>
      <c r="D58" s="505">
        <f>D57*D52</f>
        <v>6.1076287857142848</v>
      </c>
      <c r="E58" s="505">
        <f>E57*E52</f>
        <v>6.7208085714285701</v>
      </c>
      <c r="F58" s="505">
        <f>F57*F52</f>
        <v>5.78</v>
      </c>
      <c r="G58" s="505">
        <f t="shared" ref="G58:Z58" si="67">G57*G52</f>
        <v>21.641736000000005</v>
      </c>
      <c r="H58" s="505">
        <f t="shared" si="67"/>
        <v>12.286614092434288</v>
      </c>
      <c r="I58" s="505">
        <f t="shared" si="67"/>
        <v>15.548469864659545</v>
      </c>
      <c r="J58" s="505">
        <f t="shared" si="67"/>
        <v>48.956919287951571</v>
      </c>
      <c r="K58" s="505">
        <f t="shared" si="67"/>
        <v>46.430115569167121</v>
      </c>
      <c r="L58" s="505">
        <f t="shared" si="67"/>
        <v>28.965054997403666</v>
      </c>
      <c r="M58" s="505">
        <f t="shared" si="67"/>
        <v>22.236274727964375</v>
      </c>
      <c r="N58" s="505">
        <f t="shared" si="67"/>
        <v>16.726686569639565</v>
      </c>
      <c r="O58" s="505">
        <f t="shared" si="67"/>
        <v>15.231790356371938</v>
      </c>
      <c r="P58" s="505">
        <f t="shared" si="67"/>
        <v>13.894295256626739</v>
      </c>
      <c r="Q58" s="505">
        <f t="shared" si="67"/>
        <v>12.694445160085323</v>
      </c>
      <c r="R58" s="505">
        <f t="shared" si="67"/>
        <v>11.636753134319925</v>
      </c>
      <c r="S58" s="505">
        <f t="shared" si="67"/>
        <v>10.699368137674096</v>
      </c>
      <c r="T58" s="505">
        <f t="shared" si="67"/>
        <v>9.8644270538089742</v>
      </c>
      <c r="U58" s="505">
        <f t="shared" si="67"/>
        <v>9.1172389287944142</v>
      </c>
      <c r="V58" s="505">
        <f t="shared" si="67"/>
        <v>8.4456509099824508</v>
      </c>
      <c r="W58" s="505">
        <f t="shared" si="67"/>
        <v>7.8395524825493634</v>
      </c>
      <c r="X58" s="505">
        <f>X57*X52</f>
        <v>7.2904856136590972</v>
      </c>
      <c r="Y58" s="505">
        <f t="shared" si="67"/>
        <v>6.7913364797310543</v>
      </c>
      <c r="Z58" s="505">
        <f t="shared" si="67"/>
        <v>6.3360903974908966</v>
      </c>
      <c r="AB58" s="319" t="s">
        <v>581</v>
      </c>
    </row>
    <row r="59" spans="1:28">
      <c r="AB59" s="319" t="s">
        <v>590</v>
      </c>
    </row>
    <row r="60" spans="1:28">
      <c r="B60" s="471" t="s">
        <v>583</v>
      </c>
      <c r="C60" s="471"/>
      <c r="D60" s="472"/>
      <c r="E60" s="471"/>
      <c r="F60" s="471"/>
      <c r="G60" s="471"/>
      <c r="H60" s="471"/>
      <c r="I60" s="471"/>
      <c r="J60" s="471"/>
      <c r="K60" s="471"/>
      <c r="L60" s="471"/>
      <c r="M60" s="471"/>
      <c r="N60" s="471"/>
      <c r="O60" s="471"/>
      <c r="P60" s="471"/>
      <c r="Q60" s="471"/>
      <c r="R60" s="471"/>
      <c r="S60" s="471"/>
      <c r="T60" s="471"/>
      <c r="U60" s="471"/>
      <c r="V60" s="471"/>
      <c r="W60" s="471"/>
      <c r="X60" s="471"/>
      <c r="Y60" s="471"/>
      <c r="Z60" s="471"/>
    </row>
    <row r="61" spans="1:28">
      <c r="B61" s="319" t="s">
        <v>562</v>
      </c>
      <c r="C61" s="505">
        <f>C62*C58</f>
        <v>1.0933039010714285</v>
      </c>
      <c r="D61" s="505">
        <f t="shared" ref="D61:Z61" si="68">D62*D58</f>
        <v>1.221525757142857</v>
      </c>
      <c r="E61" s="505">
        <f t="shared" si="68"/>
        <v>1.3441617142857141</v>
      </c>
      <c r="F61" s="505">
        <f t="shared" si="68"/>
        <v>1.1560000000000001</v>
      </c>
      <c r="G61" s="505">
        <f t="shared" si="68"/>
        <v>8.6566944000000028</v>
      </c>
      <c r="H61" s="505">
        <f t="shared" si="68"/>
        <v>6.7576377508388585</v>
      </c>
      <c r="I61" s="505">
        <f t="shared" si="68"/>
        <v>8.551658425562751</v>
      </c>
      <c r="J61" s="505">
        <f t="shared" si="68"/>
        <v>36.71768946596368</v>
      </c>
      <c r="K61" s="505">
        <f t="shared" si="68"/>
        <v>39.465598233792051</v>
      </c>
      <c r="L61" s="505">
        <f t="shared" si="68"/>
        <v>26.068549497663298</v>
      </c>
      <c r="M61" s="505">
        <f t="shared" si="68"/>
        <v>20.012647255167938</v>
      </c>
      <c r="N61" s="505">
        <f t="shared" si="68"/>
        <v>15.054017912675608</v>
      </c>
      <c r="O61" s="505">
        <f t="shared" si="68"/>
        <v>13.708611320734745</v>
      </c>
      <c r="P61" s="505">
        <f t="shared" si="68"/>
        <v>12.504865730964065</v>
      </c>
      <c r="Q61" s="505">
        <f t="shared" si="68"/>
        <v>11.425000644076791</v>
      </c>
      <c r="R61" s="505">
        <f t="shared" si="68"/>
        <v>10.473077820887932</v>
      </c>
      <c r="S61" s="505">
        <f t="shared" si="68"/>
        <v>9.6294313239066867</v>
      </c>
      <c r="T61" s="505">
        <f t="shared" si="68"/>
        <v>8.8779843484280772</v>
      </c>
      <c r="U61" s="505">
        <f t="shared" si="68"/>
        <v>8.2055150359149724</v>
      </c>
      <c r="V61" s="505">
        <f t="shared" si="68"/>
        <v>7.6010858189842061</v>
      </c>
      <c r="W61" s="505">
        <f t="shared" si="68"/>
        <v>7.0555972342944271</v>
      </c>
      <c r="X61" s="505">
        <f t="shared" si="68"/>
        <v>6.5614370522931873</v>
      </c>
      <c r="Y61" s="505">
        <f t="shared" si="68"/>
        <v>6.1122028317579487</v>
      </c>
      <c r="Z61" s="505">
        <f t="shared" si="68"/>
        <v>5.7024813577418074</v>
      </c>
    </row>
    <row r="62" spans="1:28" s="458" customFormat="1">
      <c r="A62" s="456"/>
      <c r="B62" s="458" t="s">
        <v>563</v>
      </c>
      <c r="C62" s="492">
        <v>0.2</v>
      </c>
      <c r="D62" s="460">
        <f>C62</f>
        <v>0.2</v>
      </c>
      <c r="E62" s="460">
        <f>D62</f>
        <v>0.2</v>
      </c>
      <c r="F62" s="460">
        <f>E62</f>
        <v>0.2</v>
      </c>
      <c r="G62" s="492">
        <v>0.4</v>
      </c>
      <c r="H62" s="492">
        <v>0.55000000000000004</v>
      </c>
      <c r="I62" s="460">
        <f>H62</f>
        <v>0.55000000000000004</v>
      </c>
      <c r="J62" s="492">
        <v>0.75</v>
      </c>
      <c r="K62" s="492">
        <v>0.85</v>
      </c>
      <c r="L62" s="492">
        <v>0.9</v>
      </c>
      <c r="M62" s="460">
        <f>L62</f>
        <v>0.9</v>
      </c>
      <c r="N62" s="460">
        <f>M62</f>
        <v>0.9</v>
      </c>
      <c r="O62" s="460">
        <f>N62</f>
        <v>0.9</v>
      </c>
      <c r="P62" s="460">
        <f>O62</f>
        <v>0.9</v>
      </c>
      <c r="Q62" s="460">
        <f t="shared" ref="Q62:Z62" si="69">P62</f>
        <v>0.9</v>
      </c>
      <c r="R62" s="460">
        <f t="shared" si="69"/>
        <v>0.9</v>
      </c>
      <c r="S62" s="460">
        <f t="shared" si="69"/>
        <v>0.9</v>
      </c>
      <c r="T62" s="460">
        <f t="shared" si="69"/>
        <v>0.9</v>
      </c>
      <c r="U62" s="460">
        <f t="shared" si="69"/>
        <v>0.9</v>
      </c>
      <c r="V62" s="460">
        <f t="shared" si="69"/>
        <v>0.9</v>
      </c>
      <c r="W62" s="460">
        <f t="shared" si="69"/>
        <v>0.9</v>
      </c>
      <c r="X62" s="460">
        <f t="shared" si="69"/>
        <v>0.9</v>
      </c>
      <c r="Y62" s="460">
        <f t="shared" si="69"/>
        <v>0.9</v>
      </c>
      <c r="Z62" s="460">
        <f t="shared" si="69"/>
        <v>0.9</v>
      </c>
    </row>
    <row r="64" spans="1:28">
      <c r="B64" s="319" t="s">
        <v>584</v>
      </c>
      <c r="J64" s="505">
        <f>J25*J48*0.01</f>
        <v>0.94090926676446007</v>
      </c>
      <c r="K64" s="505">
        <f t="shared" ref="K64:Z64" si="70">K25*K48*0.01</f>
        <v>1.8396757026859436</v>
      </c>
      <c r="L64" s="505">
        <f t="shared" si="70"/>
        <v>1.5923750344560299</v>
      </c>
      <c r="M64" s="505">
        <f t="shared" si="70"/>
        <v>1.3435664353222752</v>
      </c>
      <c r="N64" s="505">
        <f t="shared" si="70"/>
        <v>0.88675384731270157</v>
      </c>
      <c r="O64" s="505">
        <f t="shared" si="70"/>
        <v>0.72552587507402844</v>
      </c>
      <c r="P64" s="505">
        <f t="shared" si="70"/>
        <v>0.65297328756662565</v>
      </c>
      <c r="Q64" s="505">
        <f t="shared" si="70"/>
        <v>0.62032462318829429</v>
      </c>
      <c r="R64" s="505">
        <f t="shared" si="70"/>
        <v>0.58930839202887964</v>
      </c>
      <c r="S64" s="505">
        <f t="shared" si="70"/>
        <v>0.55984297242743564</v>
      </c>
      <c r="T64" s="505">
        <f t="shared" si="70"/>
        <v>0.53185082380606374</v>
      </c>
      <c r="U64" s="505">
        <f t="shared" si="70"/>
        <v>0.50525828261576056</v>
      </c>
      <c r="V64" s="505">
        <f t="shared" si="70"/>
        <v>0.47999536848497248</v>
      </c>
      <c r="W64" s="505">
        <f t="shared" si="70"/>
        <v>0.45599560006072387</v>
      </c>
      <c r="X64" s="505">
        <f t="shared" si="70"/>
        <v>0.43319582005768764</v>
      </c>
      <c r="Y64" s="505">
        <f t="shared" si="70"/>
        <v>4.1153602905480327E-2</v>
      </c>
      <c r="Z64" s="505">
        <f t="shared" si="70"/>
        <v>3.9095922760206316E-3</v>
      </c>
      <c r="AB64" s="319" t="s">
        <v>585</v>
      </c>
    </row>
    <row r="65" spans="1:28">
      <c r="B65" s="319" t="s">
        <v>565</v>
      </c>
      <c r="J65" s="466">
        <f t="shared" ref="J65:P65" si="71">J58-J64</f>
        <v>48.016010021187114</v>
      </c>
      <c r="K65" s="466">
        <f t="shared" si="71"/>
        <v>44.590439866481177</v>
      </c>
      <c r="L65" s="466">
        <f t="shared" si="71"/>
        <v>27.372679962947636</v>
      </c>
      <c r="M65" s="466">
        <f t="shared" si="71"/>
        <v>20.892708292642098</v>
      </c>
      <c r="N65" s="466">
        <f t="shared" si="71"/>
        <v>15.839932722326862</v>
      </c>
      <c r="O65" s="466">
        <f t="shared" si="71"/>
        <v>14.50626448129791</v>
      </c>
      <c r="P65" s="466">
        <f t="shared" si="71"/>
        <v>13.241321969060113</v>
      </c>
      <c r="Q65" s="466">
        <f t="shared" ref="Q65:Z65" si="72">Q58-Q64</f>
        <v>12.074120536897029</v>
      </c>
      <c r="R65" s="466">
        <f t="shared" si="72"/>
        <v>11.047444742291045</v>
      </c>
      <c r="S65" s="466">
        <f t="shared" si="72"/>
        <v>10.13952516524666</v>
      </c>
      <c r="T65" s="466">
        <f t="shared" si="72"/>
        <v>9.3325762300029105</v>
      </c>
      <c r="U65" s="466">
        <f t="shared" si="72"/>
        <v>8.6119806461786546</v>
      </c>
      <c r="V65" s="466">
        <f t="shared" si="72"/>
        <v>7.9656555414974779</v>
      </c>
      <c r="W65" s="466">
        <f t="shared" si="72"/>
        <v>7.3835568824886399</v>
      </c>
      <c r="X65" s="466">
        <f t="shared" si="72"/>
        <v>6.8572897936014092</v>
      </c>
      <c r="Y65" s="466">
        <f t="shared" si="72"/>
        <v>6.7501828768255736</v>
      </c>
      <c r="Z65" s="466">
        <f t="shared" si="72"/>
        <v>6.3321808052148763</v>
      </c>
    </row>
    <row r="66" spans="1:28">
      <c r="C66" s="470"/>
      <c r="D66" s="470"/>
      <c r="E66" s="470"/>
      <c r="F66" s="470"/>
      <c r="G66" s="470"/>
      <c r="H66" s="470"/>
      <c r="I66" s="470"/>
      <c r="J66" s="470"/>
      <c r="K66" s="470"/>
      <c r="L66" s="470"/>
      <c r="M66" s="470"/>
      <c r="N66" s="470"/>
      <c r="O66" s="470"/>
      <c r="P66" s="470"/>
    </row>
    <row r="67" spans="1:28">
      <c r="B67" s="494" t="s">
        <v>587</v>
      </c>
      <c r="C67" s="494"/>
      <c r="D67" s="495"/>
      <c r="E67" s="494"/>
      <c r="F67" s="494"/>
      <c r="G67" s="494"/>
      <c r="H67" s="494"/>
      <c r="I67" s="494"/>
      <c r="J67" s="494"/>
      <c r="K67" s="494"/>
      <c r="L67" s="494"/>
      <c r="M67" s="494"/>
      <c r="N67" s="494"/>
      <c r="O67" s="494"/>
      <c r="P67" s="494"/>
      <c r="Q67" s="494"/>
      <c r="R67" s="494"/>
      <c r="S67" s="494"/>
      <c r="T67" s="494"/>
      <c r="U67" s="494"/>
      <c r="V67" s="494"/>
      <c r="W67" s="494"/>
      <c r="X67" s="494"/>
      <c r="Y67" s="494"/>
      <c r="Z67" s="494"/>
    </row>
    <row r="68" spans="1:28">
      <c r="A68" s="484" t="s">
        <v>578</v>
      </c>
      <c r="B68" s="485" t="s">
        <v>541</v>
      </c>
      <c r="C68" s="500"/>
      <c r="D68" s="504"/>
      <c r="E68" s="504"/>
      <c r="F68" s="500"/>
      <c r="G68" s="500"/>
      <c r="H68" s="500"/>
      <c r="I68" s="500"/>
      <c r="J68" s="506">
        <v>0.95</v>
      </c>
      <c r="K68" s="503">
        <f t="shared" ref="K68:P68" si="73">K48</f>
        <v>0.91500000000000004</v>
      </c>
      <c r="L68" s="503">
        <f t="shared" si="73"/>
        <v>0.8</v>
      </c>
      <c r="M68" s="503">
        <f t="shared" si="73"/>
        <v>0.75</v>
      </c>
      <c r="N68" s="503">
        <f t="shared" si="73"/>
        <v>0.55000000000000004</v>
      </c>
      <c r="O68" s="503">
        <f t="shared" si="73"/>
        <v>0.5</v>
      </c>
      <c r="P68" s="503">
        <f t="shared" si="73"/>
        <v>0.5</v>
      </c>
      <c r="Q68" s="503">
        <f t="shared" ref="Q68:Z68" si="74">Q48</f>
        <v>0.5</v>
      </c>
      <c r="R68" s="503">
        <f t="shared" si="74"/>
        <v>0.5</v>
      </c>
      <c r="S68" s="503">
        <f t="shared" si="74"/>
        <v>0.5</v>
      </c>
      <c r="T68" s="503">
        <f t="shared" si="74"/>
        <v>0.5</v>
      </c>
      <c r="U68" s="503">
        <f t="shared" si="74"/>
        <v>0.5</v>
      </c>
      <c r="V68" s="503">
        <f t="shared" si="74"/>
        <v>0.5</v>
      </c>
      <c r="W68" s="503">
        <f t="shared" si="74"/>
        <v>0.5</v>
      </c>
      <c r="X68" s="503">
        <f t="shared" si="74"/>
        <v>0.5</v>
      </c>
      <c r="Y68" s="503">
        <f t="shared" si="74"/>
        <v>0.05</v>
      </c>
      <c r="Z68" s="503">
        <f t="shared" si="74"/>
        <v>5.000000000000001E-3</v>
      </c>
      <c r="AB68" s="319" t="s">
        <v>586</v>
      </c>
    </row>
    <row r="69" spans="1:28">
      <c r="B69" s="319" t="s">
        <v>68</v>
      </c>
      <c r="C69" s="470">
        <f>1-C68</f>
        <v>1</v>
      </c>
      <c r="D69" s="470">
        <f t="shared" ref="D69:P69" si="75">1-D68</f>
        <v>1</v>
      </c>
      <c r="E69" s="470">
        <f t="shared" si="75"/>
        <v>1</v>
      </c>
      <c r="F69" s="470">
        <f t="shared" si="75"/>
        <v>1</v>
      </c>
      <c r="G69" s="470">
        <f t="shared" si="75"/>
        <v>1</v>
      </c>
      <c r="H69" s="470">
        <f t="shared" si="75"/>
        <v>1</v>
      </c>
      <c r="I69" s="470">
        <f t="shared" si="75"/>
        <v>1</v>
      </c>
      <c r="J69" s="470">
        <f t="shared" si="75"/>
        <v>5.0000000000000044E-2</v>
      </c>
      <c r="K69" s="470">
        <f t="shared" si="75"/>
        <v>8.4999999999999964E-2</v>
      </c>
      <c r="L69" s="470">
        <f t="shared" si="75"/>
        <v>0.19999999999999996</v>
      </c>
      <c r="M69" s="470">
        <f t="shared" si="75"/>
        <v>0.25</v>
      </c>
      <c r="N69" s="470">
        <f t="shared" si="75"/>
        <v>0.44999999999999996</v>
      </c>
      <c r="O69" s="470">
        <f t="shared" si="75"/>
        <v>0.5</v>
      </c>
      <c r="P69" s="470">
        <f t="shared" si="75"/>
        <v>0.5</v>
      </c>
      <c r="Q69" s="470">
        <f t="shared" ref="Q69:Z69" si="76">1-Q68</f>
        <v>0.5</v>
      </c>
      <c r="R69" s="470">
        <f t="shared" si="76"/>
        <v>0.5</v>
      </c>
      <c r="S69" s="470">
        <f t="shared" si="76"/>
        <v>0.5</v>
      </c>
      <c r="T69" s="470">
        <f t="shared" si="76"/>
        <v>0.5</v>
      </c>
      <c r="U69" s="470">
        <f t="shared" si="76"/>
        <v>0.5</v>
      </c>
      <c r="V69" s="470">
        <f t="shared" si="76"/>
        <v>0.5</v>
      </c>
      <c r="W69" s="470">
        <f t="shared" si="76"/>
        <v>0.5</v>
      </c>
      <c r="X69" s="470">
        <f t="shared" si="76"/>
        <v>0.5</v>
      </c>
      <c r="Y69" s="470">
        <f t="shared" si="76"/>
        <v>0.95</v>
      </c>
      <c r="Z69" s="470">
        <f t="shared" si="76"/>
        <v>0.995</v>
      </c>
    </row>
    <row r="71" spans="1:28">
      <c r="B71" s="507" t="s">
        <v>588</v>
      </c>
      <c r="C71" s="507"/>
      <c r="D71" s="508"/>
      <c r="E71" s="508"/>
      <c r="F71" s="508"/>
      <c r="G71" s="508"/>
      <c r="H71" s="508"/>
      <c r="I71" s="508"/>
      <c r="J71" s="508"/>
      <c r="K71" s="508"/>
      <c r="L71" s="508"/>
      <c r="M71" s="508"/>
      <c r="N71" s="508"/>
      <c r="O71" s="508"/>
      <c r="P71" s="508"/>
      <c r="Q71" s="508"/>
      <c r="R71" s="508"/>
      <c r="S71" s="508"/>
      <c r="T71" s="508"/>
      <c r="U71" s="508"/>
      <c r="V71" s="508"/>
      <c r="W71" s="508"/>
      <c r="X71" s="508"/>
      <c r="Y71" s="508"/>
      <c r="Z71" s="508"/>
    </row>
    <row r="73" spans="1:28" s="480" customFormat="1" ht="12.75" hidden="1" customHeight="1" outlineLevel="2">
      <c r="A73" s="473"/>
      <c r="B73" s="474" t="s">
        <v>601</v>
      </c>
      <c r="C73" s="474"/>
      <c r="D73" s="475"/>
      <c r="E73" s="474"/>
      <c r="F73" s="474"/>
      <c r="G73" s="474"/>
      <c r="H73" s="474"/>
      <c r="I73" s="474"/>
      <c r="J73" s="476"/>
      <c r="K73" s="559">
        <v>0</v>
      </c>
      <c r="L73" s="559">
        <v>0</v>
      </c>
      <c r="M73" s="559">
        <v>0</v>
      </c>
      <c r="N73" s="559">
        <v>0.02</v>
      </c>
      <c r="O73" s="666">
        <f t="shared" ref="O73:Z73" si="77">N73</f>
        <v>0.02</v>
      </c>
      <c r="P73" s="666">
        <f t="shared" si="77"/>
        <v>0.02</v>
      </c>
      <c r="Q73" s="666">
        <f t="shared" si="77"/>
        <v>0.02</v>
      </c>
      <c r="R73" s="666">
        <f t="shared" si="77"/>
        <v>0.02</v>
      </c>
      <c r="S73" s="666">
        <f t="shared" si="77"/>
        <v>0.02</v>
      </c>
      <c r="T73" s="666">
        <f t="shared" si="77"/>
        <v>0.02</v>
      </c>
      <c r="U73" s="666">
        <f t="shared" si="77"/>
        <v>0.02</v>
      </c>
      <c r="V73" s="666">
        <f t="shared" si="77"/>
        <v>0.02</v>
      </c>
      <c r="W73" s="666">
        <f t="shared" si="77"/>
        <v>0.02</v>
      </c>
      <c r="X73" s="666">
        <f t="shared" si="77"/>
        <v>0.02</v>
      </c>
      <c r="Y73" s="666">
        <f t="shared" si="77"/>
        <v>0.02</v>
      </c>
      <c r="Z73" s="666">
        <f t="shared" si="77"/>
        <v>0.02</v>
      </c>
    </row>
    <row r="74" spans="1:28" s="480" customFormat="1" ht="12.75" hidden="1" customHeight="1" outlineLevel="2">
      <c r="A74" s="473"/>
      <c r="B74" s="474" t="s">
        <v>599</v>
      </c>
      <c r="C74" s="474"/>
      <c r="D74" s="481"/>
      <c r="E74" s="481"/>
      <c r="F74" s="481"/>
      <c r="G74" s="481"/>
      <c r="H74" s="481"/>
      <c r="I74" s="481"/>
      <c r="J74" s="481"/>
      <c r="K74" s="559">
        <v>0</v>
      </c>
      <c r="L74" s="559">
        <v>0</v>
      </c>
      <c r="M74" s="559">
        <v>0</v>
      </c>
      <c r="N74" s="559">
        <v>0</v>
      </c>
      <c r="O74" s="666">
        <f t="shared" ref="O74:Z74" si="78">N74</f>
        <v>0</v>
      </c>
      <c r="P74" s="666">
        <f t="shared" si="78"/>
        <v>0</v>
      </c>
      <c r="Q74" s="666">
        <f t="shared" si="78"/>
        <v>0</v>
      </c>
      <c r="R74" s="666">
        <f t="shared" si="78"/>
        <v>0</v>
      </c>
      <c r="S74" s="666">
        <f t="shared" si="78"/>
        <v>0</v>
      </c>
      <c r="T74" s="666">
        <f t="shared" si="78"/>
        <v>0</v>
      </c>
      <c r="U74" s="666">
        <f t="shared" si="78"/>
        <v>0</v>
      </c>
      <c r="V74" s="666">
        <f t="shared" si="78"/>
        <v>0</v>
      </c>
      <c r="W74" s="666">
        <f t="shared" si="78"/>
        <v>0</v>
      </c>
      <c r="X74" s="666">
        <f t="shared" si="78"/>
        <v>0</v>
      </c>
      <c r="Y74" s="666">
        <f t="shared" si="78"/>
        <v>0</v>
      </c>
      <c r="Z74" s="666">
        <f t="shared" si="78"/>
        <v>0</v>
      </c>
    </row>
    <row r="75" spans="1:28" s="480" customFormat="1" ht="12.75" hidden="1" customHeight="1" outlineLevel="2">
      <c r="A75" s="473"/>
      <c r="B75" s="474" t="s">
        <v>600</v>
      </c>
      <c r="C75" s="474"/>
      <c r="D75" s="475"/>
      <c r="E75" s="474"/>
      <c r="F75" s="474"/>
      <c r="G75" s="474"/>
      <c r="H75" s="474"/>
      <c r="I75" s="474"/>
      <c r="J75" s="476"/>
      <c r="K75" s="668">
        <v>0</v>
      </c>
      <c r="L75" s="378">
        <f>K75</f>
        <v>0</v>
      </c>
      <c r="M75" s="378">
        <f>L75</f>
        <v>0</v>
      </c>
      <c r="N75" s="378">
        <f>M75</f>
        <v>0</v>
      </c>
      <c r="O75" s="378">
        <f t="shared" ref="O75:Z75" si="79">N75</f>
        <v>0</v>
      </c>
      <c r="P75" s="378">
        <f t="shared" si="79"/>
        <v>0</v>
      </c>
      <c r="Q75" s="378">
        <f t="shared" si="79"/>
        <v>0</v>
      </c>
      <c r="R75" s="378">
        <f t="shared" si="79"/>
        <v>0</v>
      </c>
      <c r="S75" s="378">
        <f t="shared" si="79"/>
        <v>0</v>
      </c>
      <c r="T75" s="378">
        <f t="shared" si="79"/>
        <v>0</v>
      </c>
      <c r="U75" s="378">
        <f t="shared" si="79"/>
        <v>0</v>
      </c>
      <c r="V75" s="378">
        <f t="shared" si="79"/>
        <v>0</v>
      </c>
      <c r="W75" s="378">
        <f t="shared" si="79"/>
        <v>0</v>
      </c>
      <c r="X75" s="378">
        <f t="shared" si="79"/>
        <v>0</v>
      </c>
      <c r="Y75" s="378">
        <f t="shared" si="79"/>
        <v>0</v>
      </c>
      <c r="Z75" s="378">
        <f t="shared" si="79"/>
        <v>0</v>
      </c>
    </row>
    <row r="76" spans="1:28" ht="12.75" hidden="1" customHeight="1" outlineLevel="1" collapsed="1">
      <c r="A76" s="484" t="s">
        <v>578</v>
      </c>
      <c r="B76" s="485" t="s">
        <v>619</v>
      </c>
      <c r="C76" s="485"/>
      <c r="D76" s="485"/>
      <c r="E76" s="485"/>
      <c r="F76" s="485"/>
      <c r="G76" s="485"/>
      <c r="H76" s="485"/>
      <c r="I76" s="485"/>
      <c r="J76" s="485"/>
      <c r="K76" s="667">
        <f t="shared" ref="K76:Z76" si="80">CHOOSE($E$1,K73,K74,K75)</f>
        <v>0</v>
      </c>
      <c r="L76" s="667">
        <f t="shared" si="80"/>
        <v>0</v>
      </c>
      <c r="M76" s="667">
        <f t="shared" si="80"/>
        <v>0</v>
      </c>
      <c r="N76" s="667">
        <f t="shared" si="80"/>
        <v>0</v>
      </c>
      <c r="O76" s="667">
        <f t="shared" si="80"/>
        <v>0</v>
      </c>
      <c r="P76" s="667">
        <f t="shared" si="80"/>
        <v>0</v>
      </c>
      <c r="Q76" s="667">
        <f t="shared" si="80"/>
        <v>0</v>
      </c>
      <c r="R76" s="667">
        <f t="shared" si="80"/>
        <v>0</v>
      </c>
      <c r="S76" s="667">
        <f t="shared" si="80"/>
        <v>0</v>
      </c>
      <c r="T76" s="667">
        <f t="shared" si="80"/>
        <v>0</v>
      </c>
      <c r="U76" s="667">
        <f t="shared" si="80"/>
        <v>0</v>
      </c>
      <c r="V76" s="667">
        <f t="shared" si="80"/>
        <v>0</v>
      </c>
      <c r="W76" s="667">
        <f t="shared" si="80"/>
        <v>0</v>
      </c>
      <c r="X76" s="667">
        <f t="shared" si="80"/>
        <v>0</v>
      </c>
      <c r="Y76" s="667">
        <f t="shared" si="80"/>
        <v>0</v>
      </c>
      <c r="Z76" s="667">
        <f t="shared" si="80"/>
        <v>0</v>
      </c>
    </row>
    <row r="77" spans="1:28" ht="12.75" hidden="1" customHeight="1" outlineLevel="1">
      <c r="B77" s="319" t="s">
        <v>802</v>
      </c>
      <c r="K77" s="455">
        <f>94500/3</f>
        <v>31500</v>
      </c>
      <c r="L77" s="455">
        <f t="shared" ref="L77:Q77" si="81">K77*(1+L76)</f>
        <v>31500</v>
      </c>
      <c r="M77" s="455">
        <f t="shared" si="81"/>
        <v>31500</v>
      </c>
      <c r="N77" s="455">
        <f t="shared" si="81"/>
        <v>31500</v>
      </c>
      <c r="O77" s="455">
        <f t="shared" si="81"/>
        <v>31500</v>
      </c>
      <c r="P77" s="455">
        <f t="shared" si="81"/>
        <v>31500</v>
      </c>
      <c r="Q77" s="455">
        <f t="shared" si="81"/>
        <v>31500</v>
      </c>
      <c r="R77" s="455">
        <f t="shared" ref="R77:Z77" si="82">Q77*(1+R76)</f>
        <v>31500</v>
      </c>
      <c r="S77" s="455">
        <f t="shared" si="82"/>
        <v>31500</v>
      </c>
      <c r="T77" s="455">
        <f t="shared" si="82"/>
        <v>31500</v>
      </c>
      <c r="U77" s="455">
        <f t="shared" si="82"/>
        <v>31500</v>
      </c>
      <c r="V77" s="455">
        <f t="shared" si="82"/>
        <v>31500</v>
      </c>
      <c r="W77" s="455">
        <f t="shared" si="82"/>
        <v>31500</v>
      </c>
      <c r="X77" s="455">
        <f t="shared" si="82"/>
        <v>31500</v>
      </c>
      <c r="Y77" s="455">
        <f t="shared" si="82"/>
        <v>31500</v>
      </c>
      <c r="Z77" s="455">
        <f t="shared" si="82"/>
        <v>31500</v>
      </c>
    </row>
    <row r="78" spans="1:28" ht="12.75" hidden="1" customHeight="1" outlineLevel="1">
      <c r="B78" s="465" t="s">
        <v>612</v>
      </c>
      <c r="K78" s="455">
        <f t="shared" ref="K78:P78" si="83">K77*2</f>
        <v>63000</v>
      </c>
      <c r="L78" s="455">
        <f t="shared" si="83"/>
        <v>63000</v>
      </c>
      <c r="M78" s="455">
        <f t="shared" si="83"/>
        <v>63000</v>
      </c>
      <c r="N78" s="455">
        <f t="shared" si="83"/>
        <v>63000</v>
      </c>
      <c r="O78" s="455">
        <f t="shared" si="83"/>
        <v>63000</v>
      </c>
      <c r="P78" s="455">
        <f t="shared" si="83"/>
        <v>63000</v>
      </c>
      <c r="Q78" s="455">
        <f t="shared" ref="Q78:Z78" si="84">Q77*2</f>
        <v>63000</v>
      </c>
      <c r="R78" s="455">
        <f t="shared" si="84"/>
        <v>63000</v>
      </c>
      <c r="S78" s="455">
        <f t="shared" si="84"/>
        <v>63000</v>
      </c>
      <c r="T78" s="455">
        <f t="shared" si="84"/>
        <v>63000</v>
      </c>
      <c r="U78" s="455">
        <f t="shared" si="84"/>
        <v>63000</v>
      </c>
      <c r="V78" s="455">
        <f t="shared" si="84"/>
        <v>63000</v>
      </c>
      <c r="W78" s="455">
        <f t="shared" si="84"/>
        <v>63000</v>
      </c>
      <c r="X78" s="455">
        <f t="shared" si="84"/>
        <v>63000</v>
      </c>
      <c r="Y78" s="455">
        <f t="shared" si="84"/>
        <v>63000</v>
      </c>
      <c r="Z78" s="455">
        <f t="shared" si="84"/>
        <v>63000</v>
      </c>
    </row>
    <row r="79" spans="1:28" ht="12.75" hidden="1" customHeight="1" outlineLevel="1">
      <c r="B79" s="465" t="s">
        <v>608</v>
      </c>
      <c r="K79" s="455">
        <f t="shared" ref="K79:Z79" si="85">K77*3</f>
        <v>94500</v>
      </c>
      <c r="L79" s="455">
        <f t="shared" si="85"/>
        <v>94500</v>
      </c>
      <c r="M79" s="455">
        <f t="shared" si="85"/>
        <v>94500</v>
      </c>
      <c r="N79" s="455">
        <f t="shared" si="85"/>
        <v>94500</v>
      </c>
      <c r="O79" s="455">
        <f t="shared" si="85"/>
        <v>94500</v>
      </c>
      <c r="P79" s="455">
        <f t="shared" si="85"/>
        <v>94500</v>
      </c>
      <c r="Q79" s="455">
        <f t="shared" si="85"/>
        <v>94500</v>
      </c>
      <c r="R79" s="455">
        <f t="shared" si="85"/>
        <v>94500</v>
      </c>
      <c r="S79" s="455">
        <f t="shared" si="85"/>
        <v>94500</v>
      </c>
      <c r="T79" s="455">
        <f t="shared" si="85"/>
        <v>94500</v>
      </c>
      <c r="U79" s="455">
        <f t="shared" si="85"/>
        <v>94500</v>
      </c>
      <c r="V79" s="455">
        <f t="shared" si="85"/>
        <v>94500</v>
      </c>
      <c r="W79" s="455">
        <f t="shared" si="85"/>
        <v>94500</v>
      </c>
      <c r="X79" s="455">
        <f t="shared" si="85"/>
        <v>94500</v>
      </c>
      <c r="Y79" s="455">
        <f t="shared" si="85"/>
        <v>94500</v>
      </c>
      <c r="Z79" s="455">
        <f t="shared" si="85"/>
        <v>94500</v>
      </c>
    </row>
    <row r="80" spans="1:28" ht="12.75" hidden="1" customHeight="1" outlineLevel="1">
      <c r="B80" s="465" t="s">
        <v>610</v>
      </c>
      <c r="K80" s="455">
        <f>K77*6</f>
        <v>189000</v>
      </c>
      <c r="L80" s="455">
        <f t="shared" ref="L80:Z80" si="86">L77*6</f>
        <v>189000</v>
      </c>
      <c r="M80" s="455">
        <f t="shared" si="86"/>
        <v>189000</v>
      </c>
      <c r="N80" s="455">
        <f t="shared" si="86"/>
        <v>189000</v>
      </c>
      <c r="O80" s="455">
        <f t="shared" si="86"/>
        <v>189000</v>
      </c>
      <c r="P80" s="455">
        <f t="shared" si="86"/>
        <v>189000</v>
      </c>
      <c r="Q80" s="455">
        <f t="shared" si="86"/>
        <v>189000</v>
      </c>
      <c r="R80" s="455">
        <f t="shared" si="86"/>
        <v>189000</v>
      </c>
      <c r="S80" s="455">
        <f t="shared" si="86"/>
        <v>189000</v>
      </c>
      <c r="T80" s="455">
        <f t="shared" si="86"/>
        <v>189000</v>
      </c>
      <c r="U80" s="455">
        <f t="shared" si="86"/>
        <v>189000</v>
      </c>
      <c r="V80" s="455">
        <f t="shared" si="86"/>
        <v>189000</v>
      </c>
      <c r="W80" s="455">
        <f t="shared" si="86"/>
        <v>189000</v>
      </c>
      <c r="X80" s="455">
        <f t="shared" si="86"/>
        <v>189000</v>
      </c>
      <c r="Y80" s="455">
        <f t="shared" si="86"/>
        <v>189000</v>
      </c>
      <c r="Z80" s="455">
        <f t="shared" si="86"/>
        <v>189000</v>
      </c>
    </row>
    <row r="81" spans="2:28" ht="12.75" hidden="1" customHeight="1" outlineLevel="1">
      <c r="B81" s="465" t="s">
        <v>615</v>
      </c>
      <c r="K81" s="469">
        <v>0.45</v>
      </c>
      <c r="L81" s="469">
        <v>0.5</v>
      </c>
      <c r="M81" s="469">
        <v>0.55000000000000004</v>
      </c>
      <c r="N81" s="469">
        <v>0.6</v>
      </c>
      <c r="O81" s="469">
        <f t="shared" ref="O81:Z81" si="87">N81</f>
        <v>0.6</v>
      </c>
      <c r="P81" s="469">
        <f t="shared" si="87"/>
        <v>0.6</v>
      </c>
      <c r="Q81" s="469">
        <f t="shared" si="87"/>
        <v>0.6</v>
      </c>
      <c r="R81" s="469">
        <f t="shared" si="87"/>
        <v>0.6</v>
      </c>
      <c r="S81" s="469">
        <f t="shared" si="87"/>
        <v>0.6</v>
      </c>
      <c r="T81" s="469">
        <f t="shared" si="87"/>
        <v>0.6</v>
      </c>
      <c r="U81" s="469">
        <f t="shared" si="87"/>
        <v>0.6</v>
      </c>
      <c r="V81" s="469">
        <f t="shared" si="87"/>
        <v>0.6</v>
      </c>
      <c r="W81" s="469">
        <f t="shared" si="87"/>
        <v>0.6</v>
      </c>
      <c r="X81" s="469">
        <f t="shared" si="87"/>
        <v>0.6</v>
      </c>
      <c r="Y81" s="469">
        <f t="shared" si="87"/>
        <v>0.6</v>
      </c>
      <c r="Z81" s="469">
        <f t="shared" si="87"/>
        <v>0.6</v>
      </c>
    </row>
    <row r="82" spans="2:28" ht="12.75" hidden="1" customHeight="1" outlineLevel="1">
      <c r="B82" s="465" t="s">
        <v>613</v>
      </c>
      <c r="K82" s="469">
        <f>1-K81-K83</f>
        <v>0.49500000000000005</v>
      </c>
      <c r="L82" s="469">
        <f t="shared" ref="L82:Z82" si="88">1-L81-L83</f>
        <v>0.47499999999999998</v>
      </c>
      <c r="M82" s="469">
        <f t="shared" si="88"/>
        <v>0.43999999999999995</v>
      </c>
      <c r="N82" s="469">
        <f t="shared" si="88"/>
        <v>0.38</v>
      </c>
      <c r="O82" s="469">
        <f t="shared" si="88"/>
        <v>0.38</v>
      </c>
      <c r="P82" s="469">
        <f t="shared" si="88"/>
        <v>0.38</v>
      </c>
      <c r="Q82" s="469">
        <f t="shared" si="88"/>
        <v>0.38</v>
      </c>
      <c r="R82" s="469">
        <f t="shared" si="88"/>
        <v>0.38</v>
      </c>
      <c r="S82" s="469">
        <f t="shared" si="88"/>
        <v>0.38</v>
      </c>
      <c r="T82" s="469">
        <f t="shared" si="88"/>
        <v>0.38</v>
      </c>
      <c r="U82" s="469">
        <f t="shared" si="88"/>
        <v>0.38</v>
      </c>
      <c r="V82" s="469">
        <f t="shared" si="88"/>
        <v>0.38</v>
      </c>
      <c r="W82" s="469">
        <f t="shared" si="88"/>
        <v>0.38</v>
      </c>
      <c r="X82" s="469">
        <f t="shared" si="88"/>
        <v>0.38</v>
      </c>
      <c r="Y82" s="469">
        <f t="shared" si="88"/>
        <v>0.38</v>
      </c>
      <c r="Z82" s="469">
        <f t="shared" si="88"/>
        <v>0.38</v>
      </c>
    </row>
    <row r="83" spans="2:28" ht="12.75" hidden="1" customHeight="1" outlineLevel="1">
      <c r="B83" s="465" t="s">
        <v>614</v>
      </c>
      <c r="K83" s="469">
        <f>(1-K81)*0.1</f>
        <v>5.5000000000000007E-2</v>
      </c>
      <c r="L83" s="469">
        <f>(1-L81)*0.05</f>
        <v>2.5000000000000001E-2</v>
      </c>
      <c r="M83" s="469">
        <v>0.01</v>
      </c>
      <c r="N83" s="469">
        <f t="shared" ref="N83:Z83" si="89">(1-N81)*0.05</f>
        <v>2.0000000000000004E-2</v>
      </c>
      <c r="O83" s="469">
        <f t="shared" si="89"/>
        <v>2.0000000000000004E-2</v>
      </c>
      <c r="P83" s="469">
        <f t="shared" si="89"/>
        <v>2.0000000000000004E-2</v>
      </c>
      <c r="Q83" s="469">
        <f t="shared" si="89"/>
        <v>2.0000000000000004E-2</v>
      </c>
      <c r="R83" s="469">
        <f t="shared" si="89"/>
        <v>2.0000000000000004E-2</v>
      </c>
      <c r="S83" s="469">
        <f t="shared" si="89"/>
        <v>2.0000000000000004E-2</v>
      </c>
      <c r="T83" s="469">
        <f t="shared" si="89"/>
        <v>2.0000000000000004E-2</v>
      </c>
      <c r="U83" s="469">
        <f t="shared" si="89"/>
        <v>2.0000000000000004E-2</v>
      </c>
      <c r="V83" s="469">
        <f t="shared" si="89"/>
        <v>2.0000000000000004E-2</v>
      </c>
      <c r="W83" s="469">
        <f t="shared" si="89"/>
        <v>2.0000000000000004E-2</v>
      </c>
      <c r="X83" s="469">
        <f t="shared" si="89"/>
        <v>2.0000000000000004E-2</v>
      </c>
      <c r="Y83" s="469">
        <f t="shared" si="89"/>
        <v>2.0000000000000004E-2</v>
      </c>
      <c r="Z83" s="469">
        <f t="shared" si="89"/>
        <v>2.0000000000000004E-2</v>
      </c>
    </row>
    <row r="84" spans="2:28" ht="12.75" hidden="1" customHeight="1" outlineLevel="1">
      <c r="B84" s="511" t="s">
        <v>616</v>
      </c>
      <c r="J84" s="455">
        <f>K84</f>
        <v>85522.5</v>
      </c>
      <c r="K84" s="455">
        <f>K81*K78+K82*K79+K80*K83</f>
        <v>85522.5</v>
      </c>
      <c r="L84" s="455">
        <f t="shared" ref="L84:Z84" si="90">L81*L78+L82*L79+L80*L83</f>
        <v>81112.5</v>
      </c>
      <c r="M84" s="455">
        <f t="shared" si="90"/>
        <v>78120</v>
      </c>
      <c r="N84" s="455">
        <f t="shared" si="90"/>
        <v>77490</v>
      </c>
      <c r="O84" s="455">
        <f t="shared" si="90"/>
        <v>77490</v>
      </c>
      <c r="P84" s="455">
        <f t="shared" si="90"/>
        <v>77490</v>
      </c>
      <c r="Q84" s="455">
        <f t="shared" si="90"/>
        <v>77490</v>
      </c>
      <c r="R84" s="455">
        <f t="shared" si="90"/>
        <v>77490</v>
      </c>
      <c r="S84" s="455">
        <f t="shared" si="90"/>
        <v>77490</v>
      </c>
      <c r="T84" s="455">
        <f t="shared" si="90"/>
        <v>77490</v>
      </c>
      <c r="U84" s="455">
        <f t="shared" si="90"/>
        <v>77490</v>
      </c>
      <c r="V84" s="455">
        <f t="shared" si="90"/>
        <v>77490</v>
      </c>
      <c r="W84" s="455">
        <f t="shared" si="90"/>
        <v>77490</v>
      </c>
      <c r="X84" s="455">
        <f t="shared" si="90"/>
        <v>77490</v>
      </c>
      <c r="Y84" s="455">
        <f t="shared" si="90"/>
        <v>77490</v>
      </c>
      <c r="Z84" s="455">
        <f t="shared" si="90"/>
        <v>77490</v>
      </c>
    </row>
    <row r="85" spans="2:28" ht="12.75" hidden="1" customHeight="1" outlineLevel="1">
      <c r="B85" s="511"/>
      <c r="K85" s="466"/>
      <c r="L85" s="466"/>
      <c r="M85" s="466"/>
      <c r="N85" s="466"/>
      <c r="O85" s="466"/>
      <c r="P85" s="466"/>
    </row>
    <row r="86" spans="2:28" ht="12.75" hidden="1" customHeight="1" outlineLevel="1">
      <c r="B86" s="319" t="s">
        <v>609</v>
      </c>
      <c r="J86" s="455">
        <v>28000</v>
      </c>
      <c r="K86" s="455">
        <f t="shared" ref="K86:P86" si="91">J86*(1+K76)</f>
        <v>28000</v>
      </c>
      <c r="L86" s="455">
        <f t="shared" si="91"/>
        <v>28000</v>
      </c>
      <c r="M86" s="455">
        <f t="shared" si="91"/>
        <v>28000</v>
      </c>
      <c r="N86" s="455">
        <f t="shared" si="91"/>
        <v>28000</v>
      </c>
      <c r="O86" s="455">
        <f t="shared" si="91"/>
        <v>28000</v>
      </c>
      <c r="P86" s="455">
        <f t="shared" si="91"/>
        <v>28000</v>
      </c>
      <c r="Q86" s="455">
        <f t="shared" ref="Q86:Z86" si="92">P86*(1+Q76)</f>
        <v>28000</v>
      </c>
      <c r="R86" s="455">
        <f t="shared" si="92"/>
        <v>28000</v>
      </c>
      <c r="S86" s="455">
        <f t="shared" si="92"/>
        <v>28000</v>
      </c>
      <c r="T86" s="455">
        <f t="shared" si="92"/>
        <v>28000</v>
      </c>
      <c r="U86" s="455">
        <f t="shared" si="92"/>
        <v>28000</v>
      </c>
      <c r="V86" s="455">
        <f t="shared" si="92"/>
        <v>28000</v>
      </c>
      <c r="W86" s="455">
        <f t="shared" si="92"/>
        <v>28000</v>
      </c>
      <c r="X86" s="455">
        <f t="shared" si="92"/>
        <v>28000</v>
      </c>
      <c r="Y86" s="455">
        <f t="shared" si="92"/>
        <v>28000</v>
      </c>
      <c r="Z86" s="455">
        <f t="shared" si="92"/>
        <v>28000</v>
      </c>
    </row>
    <row r="87" spans="2:28" ht="12.75" hidden="1" customHeight="1" outlineLevel="1">
      <c r="B87" s="465" t="s">
        <v>608</v>
      </c>
      <c r="J87" s="455">
        <f t="shared" ref="J87:P87" si="93">J86*3</f>
        <v>84000</v>
      </c>
      <c r="K87" s="455">
        <f t="shared" si="93"/>
        <v>84000</v>
      </c>
      <c r="L87" s="455">
        <f t="shared" si="93"/>
        <v>84000</v>
      </c>
      <c r="M87" s="455">
        <f t="shared" si="93"/>
        <v>84000</v>
      </c>
      <c r="N87" s="455">
        <f t="shared" si="93"/>
        <v>84000</v>
      </c>
      <c r="O87" s="455">
        <f t="shared" si="93"/>
        <v>84000</v>
      </c>
      <c r="P87" s="455">
        <f t="shared" si="93"/>
        <v>84000</v>
      </c>
      <c r="Q87" s="455">
        <f t="shared" ref="Q87:Z87" si="94">Q86*3</f>
        <v>84000</v>
      </c>
      <c r="R87" s="455">
        <f t="shared" si="94"/>
        <v>84000</v>
      </c>
      <c r="S87" s="455">
        <f t="shared" si="94"/>
        <v>84000</v>
      </c>
      <c r="T87" s="455">
        <f t="shared" si="94"/>
        <v>84000</v>
      </c>
      <c r="U87" s="455">
        <f t="shared" si="94"/>
        <v>84000</v>
      </c>
      <c r="V87" s="455">
        <f t="shared" si="94"/>
        <v>84000</v>
      </c>
      <c r="W87" s="455">
        <f t="shared" si="94"/>
        <v>84000</v>
      </c>
      <c r="X87" s="455">
        <f t="shared" si="94"/>
        <v>84000</v>
      </c>
      <c r="Y87" s="455">
        <f t="shared" si="94"/>
        <v>84000</v>
      </c>
      <c r="Z87" s="455">
        <f t="shared" si="94"/>
        <v>84000</v>
      </c>
    </row>
    <row r="88" spans="2:28" ht="12.75" hidden="1" customHeight="1" outlineLevel="1">
      <c r="B88" s="465" t="s">
        <v>610</v>
      </c>
      <c r="J88" s="455">
        <f t="shared" ref="J88:P88" si="95">J86*6</f>
        <v>168000</v>
      </c>
      <c r="K88" s="455">
        <f t="shared" si="95"/>
        <v>168000</v>
      </c>
      <c r="L88" s="455">
        <f t="shared" si="95"/>
        <v>168000</v>
      </c>
      <c r="M88" s="455">
        <f t="shared" si="95"/>
        <v>168000</v>
      </c>
      <c r="N88" s="455">
        <f t="shared" si="95"/>
        <v>168000</v>
      </c>
      <c r="O88" s="455">
        <f t="shared" si="95"/>
        <v>168000</v>
      </c>
      <c r="P88" s="455">
        <f t="shared" si="95"/>
        <v>168000</v>
      </c>
      <c r="Q88" s="455">
        <f t="shared" ref="Q88:Z88" si="96">Q86*6</f>
        <v>168000</v>
      </c>
      <c r="R88" s="455">
        <f t="shared" si="96"/>
        <v>168000</v>
      </c>
      <c r="S88" s="455">
        <f t="shared" si="96"/>
        <v>168000</v>
      </c>
      <c r="T88" s="455">
        <f t="shared" si="96"/>
        <v>168000</v>
      </c>
      <c r="U88" s="455">
        <f t="shared" si="96"/>
        <v>168000</v>
      </c>
      <c r="V88" s="455">
        <f t="shared" si="96"/>
        <v>168000</v>
      </c>
      <c r="W88" s="455">
        <f t="shared" si="96"/>
        <v>168000</v>
      </c>
      <c r="X88" s="455">
        <f t="shared" si="96"/>
        <v>168000</v>
      </c>
      <c r="Y88" s="455">
        <f t="shared" si="96"/>
        <v>168000</v>
      </c>
      <c r="Z88" s="455">
        <f t="shared" si="96"/>
        <v>168000</v>
      </c>
    </row>
    <row r="89" spans="2:28" ht="12.75" hidden="1" customHeight="1" outlineLevel="1">
      <c r="B89" s="465" t="s">
        <v>613</v>
      </c>
      <c r="J89" s="519">
        <v>0.8</v>
      </c>
      <c r="K89" s="519">
        <v>0.8</v>
      </c>
      <c r="L89" s="469">
        <v>0.85</v>
      </c>
      <c r="M89" s="469">
        <v>0.95</v>
      </c>
      <c r="N89" s="469">
        <f>M89</f>
        <v>0.95</v>
      </c>
      <c r="O89" s="469">
        <f>N89</f>
        <v>0.95</v>
      </c>
      <c r="P89" s="469">
        <f>O89</f>
        <v>0.95</v>
      </c>
      <c r="Q89" s="469">
        <f>P89</f>
        <v>0.95</v>
      </c>
      <c r="R89" s="469">
        <f t="shared" ref="R89:Z89" si="97">Q89</f>
        <v>0.95</v>
      </c>
      <c r="S89" s="469">
        <f t="shared" si="97"/>
        <v>0.95</v>
      </c>
      <c r="T89" s="469">
        <f t="shared" si="97"/>
        <v>0.95</v>
      </c>
      <c r="U89" s="469">
        <f t="shared" si="97"/>
        <v>0.95</v>
      </c>
      <c r="V89" s="469">
        <f t="shared" si="97"/>
        <v>0.95</v>
      </c>
      <c r="W89" s="469">
        <f t="shared" si="97"/>
        <v>0.95</v>
      </c>
      <c r="X89" s="469">
        <f t="shared" si="97"/>
        <v>0.95</v>
      </c>
      <c r="Y89" s="469">
        <f t="shared" si="97"/>
        <v>0.95</v>
      </c>
      <c r="Z89" s="469">
        <f t="shared" si="97"/>
        <v>0.95</v>
      </c>
      <c r="AB89" s="319" t="s">
        <v>803</v>
      </c>
    </row>
    <row r="90" spans="2:28" ht="12.75" hidden="1" customHeight="1" outlineLevel="1">
      <c r="B90" s="465" t="s">
        <v>614</v>
      </c>
      <c r="J90" s="469">
        <f t="shared" ref="J90:Q90" si="98">1-J89</f>
        <v>0.19999999999999996</v>
      </c>
      <c r="K90" s="469">
        <f t="shared" si="98"/>
        <v>0.19999999999999996</v>
      </c>
      <c r="L90" s="469">
        <f t="shared" si="98"/>
        <v>0.15000000000000002</v>
      </c>
      <c r="M90" s="469">
        <v>0.15</v>
      </c>
      <c r="N90" s="469">
        <f t="shared" si="98"/>
        <v>5.0000000000000044E-2</v>
      </c>
      <c r="O90" s="469">
        <f t="shared" si="98"/>
        <v>5.0000000000000044E-2</v>
      </c>
      <c r="P90" s="469">
        <f t="shared" si="98"/>
        <v>5.0000000000000044E-2</v>
      </c>
      <c r="Q90" s="469">
        <f t="shared" si="98"/>
        <v>5.0000000000000044E-2</v>
      </c>
      <c r="R90" s="469">
        <f t="shared" ref="R90:Z90" si="99">1-R89</f>
        <v>5.0000000000000044E-2</v>
      </c>
      <c r="S90" s="469">
        <f t="shared" si="99"/>
        <v>5.0000000000000044E-2</v>
      </c>
      <c r="T90" s="469">
        <f t="shared" si="99"/>
        <v>5.0000000000000044E-2</v>
      </c>
      <c r="U90" s="469">
        <f t="shared" si="99"/>
        <v>5.0000000000000044E-2</v>
      </c>
      <c r="V90" s="469">
        <f t="shared" si="99"/>
        <v>5.0000000000000044E-2</v>
      </c>
      <c r="W90" s="469">
        <f t="shared" si="99"/>
        <v>5.0000000000000044E-2</v>
      </c>
      <c r="X90" s="469">
        <f t="shared" si="99"/>
        <v>5.0000000000000044E-2</v>
      </c>
      <c r="Y90" s="469">
        <f t="shared" si="99"/>
        <v>5.0000000000000044E-2</v>
      </c>
      <c r="Z90" s="469">
        <f t="shared" si="99"/>
        <v>5.0000000000000044E-2</v>
      </c>
    </row>
    <row r="91" spans="2:28" ht="12.75" hidden="1" customHeight="1" outlineLevel="1">
      <c r="B91" s="319" t="s">
        <v>617</v>
      </c>
      <c r="J91" s="455">
        <f>J87*J89+J88*J90</f>
        <v>100800</v>
      </c>
      <c r="K91" s="455">
        <f t="shared" ref="K91:Z91" si="100">K87*K89+K88*K90</f>
        <v>100800</v>
      </c>
      <c r="L91" s="455">
        <f t="shared" si="100"/>
        <v>96600</v>
      </c>
      <c r="M91" s="455">
        <f t="shared" si="100"/>
        <v>105000</v>
      </c>
      <c r="N91" s="455">
        <f t="shared" si="100"/>
        <v>88200</v>
      </c>
      <c r="O91" s="455">
        <f t="shared" si="100"/>
        <v>88200</v>
      </c>
      <c r="P91" s="455">
        <f t="shared" si="100"/>
        <v>88200</v>
      </c>
      <c r="Q91" s="455">
        <f t="shared" si="100"/>
        <v>88200</v>
      </c>
      <c r="R91" s="455">
        <f t="shared" si="100"/>
        <v>88200</v>
      </c>
      <c r="S91" s="455">
        <f t="shared" si="100"/>
        <v>88200</v>
      </c>
      <c r="T91" s="455">
        <f t="shared" si="100"/>
        <v>88200</v>
      </c>
      <c r="U91" s="455">
        <f t="shared" si="100"/>
        <v>88200</v>
      </c>
      <c r="V91" s="455">
        <f t="shared" si="100"/>
        <v>88200</v>
      </c>
      <c r="W91" s="455">
        <f t="shared" si="100"/>
        <v>88200</v>
      </c>
      <c r="X91" s="455">
        <f t="shared" si="100"/>
        <v>88200</v>
      </c>
      <c r="Y91" s="455">
        <f t="shared" si="100"/>
        <v>88200</v>
      </c>
      <c r="Z91" s="455">
        <f t="shared" si="100"/>
        <v>88200</v>
      </c>
    </row>
    <row r="92" spans="2:28" ht="12.75" hidden="1" customHeight="1" outlineLevel="1"/>
    <row r="93" spans="2:28" ht="12.75" hidden="1" customHeight="1" outlineLevel="1">
      <c r="B93" s="319" t="s">
        <v>620</v>
      </c>
      <c r="J93" s="519">
        <f>31/140</f>
        <v>0.22142857142857142</v>
      </c>
      <c r="K93" s="469">
        <v>0.84</v>
      </c>
      <c r="L93" s="469">
        <v>0.72499999999999998</v>
      </c>
      <c r="M93" s="469">
        <f t="shared" ref="M93:P94" si="101">L93</f>
        <v>0.72499999999999998</v>
      </c>
      <c r="N93" s="469">
        <f t="shared" si="101"/>
        <v>0.72499999999999998</v>
      </c>
      <c r="O93" s="469">
        <f t="shared" si="101"/>
        <v>0.72499999999999998</v>
      </c>
      <c r="P93" s="469">
        <f t="shared" si="101"/>
        <v>0.72499999999999998</v>
      </c>
      <c r="Q93" s="469">
        <f t="shared" ref="Q93:Z93" si="102">P93</f>
        <v>0.72499999999999998</v>
      </c>
      <c r="R93" s="469">
        <f t="shared" si="102"/>
        <v>0.72499999999999998</v>
      </c>
      <c r="S93" s="469">
        <f t="shared" si="102"/>
        <v>0.72499999999999998</v>
      </c>
      <c r="T93" s="469">
        <f t="shared" si="102"/>
        <v>0.72499999999999998</v>
      </c>
      <c r="U93" s="469">
        <f t="shared" si="102"/>
        <v>0.72499999999999998</v>
      </c>
      <c r="V93" s="469">
        <f t="shared" si="102"/>
        <v>0.72499999999999998</v>
      </c>
      <c r="W93" s="469">
        <f t="shared" si="102"/>
        <v>0.72499999999999998</v>
      </c>
      <c r="X93" s="469">
        <f t="shared" si="102"/>
        <v>0.72499999999999998</v>
      </c>
      <c r="Y93" s="469">
        <f t="shared" si="102"/>
        <v>0.72499999999999998</v>
      </c>
      <c r="Z93" s="469">
        <f t="shared" si="102"/>
        <v>0.72499999999999998</v>
      </c>
    </row>
    <row r="94" spans="2:28" ht="12.75" hidden="1" customHeight="1" outlineLevel="1">
      <c r="B94" s="319" t="s">
        <v>618</v>
      </c>
      <c r="I94" s="505"/>
      <c r="J94" s="519">
        <v>0.92500000000000004</v>
      </c>
      <c r="K94" s="469">
        <v>0.95</v>
      </c>
      <c r="L94" s="469">
        <f>K94</f>
        <v>0.95</v>
      </c>
      <c r="M94" s="469">
        <f t="shared" si="101"/>
        <v>0.95</v>
      </c>
      <c r="N94" s="469">
        <f t="shared" si="101"/>
        <v>0.95</v>
      </c>
      <c r="O94" s="469">
        <f t="shared" si="101"/>
        <v>0.95</v>
      </c>
      <c r="P94" s="469">
        <f t="shared" si="101"/>
        <v>0.95</v>
      </c>
      <c r="Q94" s="469">
        <f t="shared" ref="Q94:Z94" si="103">P94</f>
        <v>0.95</v>
      </c>
      <c r="R94" s="469">
        <f t="shared" si="103"/>
        <v>0.95</v>
      </c>
      <c r="S94" s="469">
        <f t="shared" si="103"/>
        <v>0.95</v>
      </c>
      <c r="T94" s="469">
        <f t="shared" si="103"/>
        <v>0.95</v>
      </c>
      <c r="U94" s="469">
        <f t="shared" si="103"/>
        <v>0.95</v>
      </c>
      <c r="V94" s="469">
        <f t="shared" si="103"/>
        <v>0.95</v>
      </c>
      <c r="W94" s="469">
        <f t="shared" si="103"/>
        <v>0.95</v>
      </c>
      <c r="X94" s="469">
        <f t="shared" si="103"/>
        <v>0.95</v>
      </c>
      <c r="Y94" s="469">
        <f t="shared" si="103"/>
        <v>0.95</v>
      </c>
      <c r="Z94" s="469">
        <f t="shared" si="103"/>
        <v>0.95</v>
      </c>
    </row>
    <row r="95" spans="2:28" ht="12.75" hidden="1" customHeight="1" outlineLevel="1"/>
    <row r="96" spans="2:28" ht="12.75" hidden="1" customHeight="1" outlineLevel="1">
      <c r="B96" s="465" t="s">
        <v>566</v>
      </c>
      <c r="J96" s="512">
        <f>J93*J94*J84+(1-J93)*J94*J91</f>
        <v>90110.840624999997</v>
      </c>
      <c r="K96" s="512">
        <f t="shared" ref="K96:Z96" si="104">K93*K94*K84+(1-K93)*K94*K91</f>
        <v>83568.554999999993</v>
      </c>
      <c r="L96" s="512">
        <f t="shared" si="104"/>
        <v>81102.984375</v>
      </c>
      <c r="M96" s="512">
        <f t="shared" si="104"/>
        <v>81236.399999999994</v>
      </c>
      <c r="N96" s="512">
        <f t="shared" si="104"/>
        <v>76413.487499999988</v>
      </c>
      <c r="O96" s="512">
        <f t="shared" si="104"/>
        <v>76413.487499999988</v>
      </c>
      <c r="P96" s="512">
        <f t="shared" si="104"/>
        <v>76413.487499999988</v>
      </c>
      <c r="Q96" s="512">
        <f t="shared" si="104"/>
        <v>76413.487499999988</v>
      </c>
      <c r="R96" s="512">
        <f t="shared" si="104"/>
        <v>76413.487499999988</v>
      </c>
      <c r="S96" s="512">
        <f t="shared" si="104"/>
        <v>76413.487499999988</v>
      </c>
      <c r="T96" s="512">
        <f t="shared" si="104"/>
        <v>76413.487499999988</v>
      </c>
      <c r="U96" s="512">
        <f t="shared" si="104"/>
        <v>76413.487499999988</v>
      </c>
      <c r="V96" s="512">
        <f t="shared" si="104"/>
        <v>76413.487499999988</v>
      </c>
      <c r="W96" s="512">
        <f t="shared" si="104"/>
        <v>76413.487499999988</v>
      </c>
      <c r="X96" s="512">
        <f t="shared" si="104"/>
        <v>76413.487499999988</v>
      </c>
      <c r="Y96" s="512">
        <f t="shared" si="104"/>
        <v>76413.487499999988</v>
      </c>
      <c r="Z96" s="512">
        <f t="shared" si="104"/>
        <v>76413.487499999988</v>
      </c>
    </row>
    <row r="97" spans="1:27" s="480" customFormat="1" ht="12.75" hidden="1" customHeight="1" outlineLevel="2">
      <c r="A97" s="473"/>
      <c r="B97" s="474" t="s">
        <v>423</v>
      </c>
      <c r="C97" s="474"/>
      <c r="D97" s="475"/>
      <c r="E97" s="474"/>
      <c r="F97" s="474"/>
      <c r="G97" s="474"/>
      <c r="H97" s="474"/>
      <c r="I97" s="474"/>
      <c r="J97" s="497"/>
      <c r="K97" s="499"/>
      <c r="L97" s="498">
        <v>-0.45</v>
      </c>
      <c r="M97" s="499">
        <v>-0.48</v>
      </c>
      <c r="N97" s="499">
        <v>-0.5</v>
      </c>
      <c r="O97" s="499">
        <f t="shared" ref="O97:Z97" si="105">N97</f>
        <v>-0.5</v>
      </c>
      <c r="P97" s="499">
        <f t="shared" si="105"/>
        <v>-0.5</v>
      </c>
      <c r="Q97" s="499">
        <f t="shared" si="105"/>
        <v>-0.5</v>
      </c>
      <c r="R97" s="499">
        <f t="shared" si="105"/>
        <v>-0.5</v>
      </c>
      <c r="S97" s="499">
        <f t="shared" si="105"/>
        <v>-0.5</v>
      </c>
      <c r="T97" s="499">
        <f t="shared" si="105"/>
        <v>-0.5</v>
      </c>
      <c r="U97" s="499">
        <f t="shared" si="105"/>
        <v>-0.5</v>
      </c>
      <c r="V97" s="499">
        <f t="shared" si="105"/>
        <v>-0.5</v>
      </c>
      <c r="W97" s="499">
        <f t="shared" si="105"/>
        <v>-0.5</v>
      </c>
      <c r="X97" s="499">
        <f t="shared" si="105"/>
        <v>-0.5</v>
      </c>
      <c r="Y97" s="499">
        <f t="shared" si="105"/>
        <v>-0.5</v>
      </c>
      <c r="Z97" s="499">
        <f t="shared" si="105"/>
        <v>-0.5</v>
      </c>
    </row>
    <row r="98" spans="1:27" s="480" customFormat="1" ht="12.75" hidden="1" customHeight="1" outlineLevel="2">
      <c r="A98" s="473"/>
      <c r="B98" s="474" t="s">
        <v>424</v>
      </c>
      <c r="C98" s="474"/>
      <c r="D98" s="481"/>
      <c r="E98" s="481"/>
      <c r="F98" s="481"/>
      <c r="G98" s="481"/>
      <c r="H98" s="481"/>
      <c r="I98" s="481"/>
      <c r="J98" s="500"/>
      <c r="K98" s="500"/>
      <c r="L98" s="500">
        <v>-0.44500000000000001</v>
      </c>
      <c r="M98" s="500">
        <v>-0.54</v>
      </c>
      <c r="N98" s="500">
        <v>-0.75</v>
      </c>
      <c r="O98" s="500">
        <f t="shared" ref="O98:Z98" si="106">N98</f>
        <v>-0.75</v>
      </c>
      <c r="P98" s="500">
        <f t="shared" si="106"/>
        <v>-0.75</v>
      </c>
      <c r="Q98" s="500">
        <f t="shared" si="106"/>
        <v>-0.75</v>
      </c>
      <c r="R98" s="500">
        <f t="shared" si="106"/>
        <v>-0.75</v>
      </c>
      <c r="S98" s="500">
        <f t="shared" si="106"/>
        <v>-0.75</v>
      </c>
      <c r="T98" s="500">
        <f t="shared" si="106"/>
        <v>-0.75</v>
      </c>
      <c r="U98" s="500">
        <f t="shared" si="106"/>
        <v>-0.75</v>
      </c>
      <c r="V98" s="500">
        <f t="shared" si="106"/>
        <v>-0.75</v>
      </c>
      <c r="W98" s="500">
        <f t="shared" si="106"/>
        <v>-0.75</v>
      </c>
      <c r="X98" s="500">
        <f t="shared" si="106"/>
        <v>-0.75</v>
      </c>
      <c r="Y98" s="500">
        <f t="shared" si="106"/>
        <v>-0.75</v>
      </c>
      <c r="Z98" s="500">
        <f t="shared" si="106"/>
        <v>-0.75</v>
      </c>
    </row>
    <row r="99" spans="1:27" s="480" customFormat="1" ht="12.75" hidden="1" customHeight="1" outlineLevel="2">
      <c r="A99" s="473"/>
      <c r="B99" s="474" t="s">
        <v>425</v>
      </c>
      <c r="C99" s="474"/>
      <c r="D99" s="475"/>
      <c r="E99" s="474"/>
      <c r="F99" s="474"/>
      <c r="G99" s="474"/>
      <c r="H99" s="474"/>
      <c r="I99" s="474"/>
      <c r="J99" s="497"/>
      <c r="K99" s="497"/>
      <c r="L99" s="502">
        <v>-0.48</v>
      </c>
      <c r="M99" s="502">
        <v>-0.55000000000000004</v>
      </c>
      <c r="N99" s="502">
        <v>-0.65</v>
      </c>
      <c r="O99" s="502">
        <v>-0.7</v>
      </c>
      <c r="P99" s="502">
        <f t="shared" ref="P99:Z99" si="107">O99</f>
        <v>-0.7</v>
      </c>
      <c r="Q99" s="502">
        <f t="shared" si="107"/>
        <v>-0.7</v>
      </c>
      <c r="R99" s="502">
        <f t="shared" si="107"/>
        <v>-0.7</v>
      </c>
      <c r="S99" s="502">
        <f t="shared" si="107"/>
        <v>-0.7</v>
      </c>
      <c r="T99" s="502">
        <f t="shared" si="107"/>
        <v>-0.7</v>
      </c>
      <c r="U99" s="502">
        <f t="shared" si="107"/>
        <v>-0.7</v>
      </c>
      <c r="V99" s="502">
        <f t="shared" si="107"/>
        <v>-0.7</v>
      </c>
      <c r="W99" s="502">
        <f t="shared" si="107"/>
        <v>-0.7</v>
      </c>
      <c r="X99" s="502">
        <f t="shared" si="107"/>
        <v>-0.7</v>
      </c>
      <c r="Y99" s="502">
        <f t="shared" si="107"/>
        <v>-0.7</v>
      </c>
      <c r="Z99" s="502">
        <f t="shared" si="107"/>
        <v>-0.7</v>
      </c>
    </row>
    <row r="100" spans="1:27" ht="12.75" hidden="1" customHeight="1" outlineLevel="1">
      <c r="A100" s="484" t="s">
        <v>578</v>
      </c>
      <c r="B100" s="485" t="s">
        <v>823</v>
      </c>
      <c r="C100" s="485"/>
      <c r="D100" s="485"/>
      <c r="E100" s="485"/>
      <c r="F100" s="485"/>
      <c r="G100" s="485"/>
      <c r="H100" s="485"/>
      <c r="I100" s="485"/>
      <c r="J100" s="500">
        <f>J106*1000/(J103*J96)-1</f>
        <v>-0.16532005676493089</v>
      </c>
      <c r="K100" s="500">
        <f>K106*1000/(K103*K96)-1</f>
        <v>-0.33569434446700497</v>
      </c>
      <c r="L100" s="503">
        <f t="shared" ref="L100:Z100" si="108">CHOOSE($E$1,L97,L98,L99)</f>
        <v>-0.44500000000000001</v>
      </c>
      <c r="M100" s="503">
        <f t="shared" si="108"/>
        <v>-0.54</v>
      </c>
      <c r="N100" s="503">
        <f t="shared" si="108"/>
        <v>-0.75</v>
      </c>
      <c r="O100" s="503">
        <f t="shared" si="108"/>
        <v>-0.75</v>
      </c>
      <c r="P100" s="503">
        <f t="shared" si="108"/>
        <v>-0.75</v>
      </c>
      <c r="Q100" s="503">
        <f t="shared" si="108"/>
        <v>-0.75</v>
      </c>
      <c r="R100" s="503">
        <f t="shared" si="108"/>
        <v>-0.75</v>
      </c>
      <c r="S100" s="503">
        <f t="shared" si="108"/>
        <v>-0.75</v>
      </c>
      <c r="T100" s="503">
        <f t="shared" si="108"/>
        <v>-0.75</v>
      </c>
      <c r="U100" s="503">
        <f t="shared" si="108"/>
        <v>-0.75</v>
      </c>
      <c r="V100" s="503">
        <f t="shared" si="108"/>
        <v>-0.75</v>
      </c>
      <c r="W100" s="503">
        <f t="shared" si="108"/>
        <v>-0.75</v>
      </c>
      <c r="X100" s="503">
        <f t="shared" si="108"/>
        <v>-0.75</v>
      </c>
      <c r="Y100" s="503">
        <f t="shared" si="108"/>
        <v>-0.75</v>
      </c>
      <c r="Z100" s="503">
        <f t="shared" si="108"/>
        <v>-0.75</v>
      </c>
    </row>
    <row r="101" spans="1:27" ht="12.75" hidden="1" customHeight="1" outlineLevel="1"/>
    <row r="102" spans="1:27" collapsed="1">
      <c r="A102" s="484" t="s">
        <v>578</v>
      </c>
      <c r="B102" s="513" t="s">
        <v>566</v>
      </c>
      <c r="C102" s="485"/>
      <c r="D102" s="485"/>
      <c r="E102" s="485"/>
      <c r="F102" s="485"/>
      <c r="G102" s="485"/>
      <c r="H102" s="485"/>
      <c r="I102" s="485"/>
      <c r="J102" s="514">
        <f t="shared" ref="J102:Z102" si="109">IF(J100&lt;1,J96*(1-ABS(J100)),J100*J96)</f>
        <v>75213.711337739354</v>
      </c>
      <c r="K102" s="514">
        <f t="shared" si="109"/>
        <v>55515.063711220144</v>
      </c>
      <c r="L102" s="514">
        <f t="shared" si="109"/>
        <v>45012.156328124998</v>
      </c>
      <c r="M102" s="514">
        <f>IF(M100&lt;1,M96*(1-ABS(M100)),M100*M96)</f>
        <v>37368.743999999992</v>
      </c>
      <c r="N102" s="514">
        <f t="shared" si="109"/>
        <v>19103.371874999997</v>
      </c>
      <c r="O102" s="514">
        <f t="shared" si="109"/>
        <v>19103.371874999997</v>
      </c>
      <c r="P102" s="514">
        <f t="shared" si="109"/>
        <v>19103.371874999997</v>
      </c>
      <c r="Q102" s="514">
        <f t="shared" si="109"/>
        <v>19103.371874999997</v>
      </c>
      <c r="R102" s="514">
        <f t="shared" si="109"/>
        <v>19103.371874999997</v>
      </c>
      <c r="S102" s="514">
        <f t="shared" si="109"/>
        <v>19103.371874999997</v>
      </c>
      <c r="T102" s="514">
        <f t="shared" si="109"/>
        <v>19103.371874999997</v>
      </c>
      <c r="U102" s="514">
        <f t="shared" si="109"/>
        <v>19103.371874999997</v>
      </c>
      <c r="V102" s="514">
        <f t="shared" si="109"/>
        <v>19103.371874999997</v>
      </c>
      <c r="W102" s="514">
        <f t="shared" si="109"/>
        <v>19103.371874999997</v>
      </c>
      <c r="X102" s="514">
        <f t="shared" si="109"/>
        <v>19103.371874999997</v>
      </c>
      <c r="Y102" s="514">
        <f t="shared" si="109"/>
        <v>19103.371874999997</v>
      </c>
      <c r="Z102" s="514">
        <f t="shared" si="109"/>
        <v>19103.371874999997</v>
      </c>
    </row>
    <row r="103" spans="1:27">
      <c r="B103" s="465" t="s">
        <v>567</v>
      </c>
      <c r="J103" s="505">
        <f t="shared" ref="J103:Z103" si="110">J68*J65+J48*J25</f>
        <v>139.70613619657377</v>
      </c>
      <c r="K103" s="505">
        <f t="shared" si="110"/>
        <v>224.76782274642463</v>
      </c>
      <c r="L103" s="505">
        <f t="shared" si="110"/>
        <v>181.1356474159611</v>
      </c>
      <c r="M103" s="505">
        <f t="shared" si="110"/>
        <v>150.02617475170908</v>
      </c>
      <c r="N103" s="505">
        <f t="shared" si="110"/>
        <v>97.387347728549926</v>
      </c>
      <c r="O103" s="505">
        <f t="shared" si="110"/>
        <v>79.8057197480518</v>
      </c>
      <c r="P103" s="505">
        <f>P68*P65+P48*P25</f>
        <v>71.917989741192628</v>
      </c>
      <c r="Q103" s="505">
        <f t="shared" si="110"/>
        <v>68.069522587277945</v>
      </c>
      <c r="R103" s="505">
        <f t="shared" si="110"/>
        <v>64.454561574033477</v>
      </c>
      <c r="S103" s="505">
        <f t="shared" si="110"/>
        <v>61.054059825366892</v>
      </c>
      <c r="T103" s="505">
        <f t="shared" si="110"/>
        <v>57.851370495607831</v>
      </c>
      <c r="U103" s="505">
        <f t="shared" si="110"/>
        <v>54.831818584665378</v>
      </c>
      <c r="V103" s="505">
        <f t="shared" si="110"/>
        <v>51.982364619245992</v>
      </c>
      <c r="W103" s="505">
        <f t="shared" si="110"/>
        <v>49.291338447316704</v>
      </c>
      <c r="X103" s="505">
        <f t="shared" si="110"/>
        <v>46.748226902569471</v>
      </c>
      <c r="Y103" s="505">
        <f t="shared" si="110"/>
        <v>4.4528694343893118</v>
      </c>
      <c r="Z103" s="505">
        <f t="shared" si="110"/>
        <v>0.42262013162813755</v>
      </c>
    </row>
    <row r="104" spans="1:27">
      <c r="J104" s="505"/>
      <c r="K104" s="505"/>
      <c r="L104" s="505"/>
      <c r="M104" s="505"/>
      <c r="N104" s="505"/>
      <c r="O104" s="505"/>
      <c r="P104" s="505"/>
    </row>
    <row r="105" spans="1:27">
      <c r="B105" s="515" t="s">
        <v>589</v>
      </c>
      <c r="C105" s="515"/>
      <c r="D105" s="515"/>
      <c r="E105" s="515"/>
      <c r="F105" s="515"/>
      <c r="G105" s="515"/>
      <c r="H105" s="515"/>
      <c r="I105" s="515"/>
      <c r="J105" s="516">
        <f>J103*J102/1000</f>
        <v>10507.816999999997</v>
      </c>
      <c r="K105" s="516">
        <f t="shared" ref="K105:Z105" si="111">K103*K102/1000</f>
        <v>12478</v>
      </c>
      <c r="L105" s="516">
        <f>L103*L102/1000</f>
        <v>8153.3060780833721</v>
      </c>
      <c r="M105" s="516">
        <f t="shared" si="111"/>
        <v>5606.2897175958788</v>
      </c>
      <c r="N105" s="516">
        <f t="shared" si="111"/>
        <v>1860.4267195784255</v>
      </c>
      <c r="O105" s="516">
        <f t="shared" si="111"/>
        <v>1524.5583420990645</v>
      </c>
      <c r="P105" s="516">
        <f t="shared" si="111"/>
        <v>1373.8761025284375</v>
      </c>
      <c r="Q105" s="516">
        <f t="shared" si="111"/>
        <v>1300.3574033384825</v>
      </c>
      <c r="R105" s="516">
        <f t="shared" si="111"/>
        <v>1231.2994587888466</v>
      </c>
      <c r="S105" s="516">
        <f t="shared" si="111"/>
        <v>1166.3384093224811</v>
      </c>
      <c r="T105" s="516">
        <f t="shared" si="111"/>
        <v>1105.1562440559992</v>
      </c>
      <c r="U105" s="516">
        <f t="shared" si="111"/>
        <v>1047.4726210053987</v>
      </c>
      <c r="V105" s="516">
        <f t="shared" si="111"/>
        <v>993.03844226329875</v>
      </c>
      <c r="W105" s="516">
        <f t="shared" si="111"/>
        <v>941.63076857557587</v>
      </c>
      <c r="X105" s="516">
        <f t="shared" si="111"/>
        <v>893.04876301666388</v>
      </c>
      <c r="Y105" s="516">
        <f t="shared" si="111"/>
        <v>85.064820715959925</v>
      </c>
      <c r="Z105" s="516">
        <f t="shared" si="111"/>
        <v>8.073469536353759</v>
      </c>
    </row>
    <row r="106" spans="1:27">
      <c r="J106" s="455">
        <f>J118+J121</f>
        <v>10507.817000000001</v>
      </c>
      <c r="K106" s="455">
        <f>K118+K121</f>
        <v>12478</v>
      </c>
    </row>
    <row r="107" spans="1:27">
      <c r="B107" s="319" t="s">
        <v>568</v>
      </c>
    </row>
    <row r="108" spans="1:27">
      <c r="B108" s="319" t="s">
        <v>496</v>
      </c>
      <c r="J108" s="455">
        <f t="shared" ref="J108:P108" si="112">J105</f>
        <v>10507.816999999997</v>
      </c>
      <c r="K108" s="455">
        <f t="shared" si="112"/>
        <v>12478</v>
      </c>
      <c r="L108" s="455">
        <f t="shared" si="112"/>
        <v>8153.3060780833721</v>
      </c>
      <c r="M108" s="455">
        <f t="shared" si="112"/>
        <v>5606.2897175958788</v>
      </c>
      <c r="N108" s="455">
        <f t="shared" si="112"/>
        <v>1860.4267195784255</v>
      </c>
      <c r="O108" s="455">
        <f t="shared" si="112"/>
        <v>1524.5583420990645</v>
      </c>
      <c r="P108" s="455">
        <f t="shared" si="112"/>
        <v>1373.8761025284375</v>
      </c>
      <c r="Q108" s="455">
        <f t="shared" ref="Q108:Z108" si="113">Q105</f>
        <v>1300.3574033384825</v>
      </c>
      <c r="R108" s="455">
        <f t="shared" si="113"/>
        <v>1231.2994587888466</v>
      </c>
      <c r="S108" s="455">
        <f t="shared" si="113"/>
        <v>1166.3384093224811</v>
      </c>
      <c r="T108" s="455">
        <f t="shared" si="113"/>
        <v>1105.1562440559992</v>
      </c>
      <c r="U108" s="455">
        <f t="shared" si="113"/>
        <v>1047.4726210053987</v>
      </c>
      <c r="V108" s="455">
        <f t="shared" si="113"/>
        <v>993.03844226329875</v>
      </c>
      <c r="W108" s="455">
        <f t="shared" si="113"/>
        <v>941.63076857557587</v>
      </c>
      <c r="X108" s="455">
        <f t="shared" si="113"/>
        <v>893.04876301666388</v>
      </c>
      <c r="Y108" s="455">
        <f t="shared" si="113"/>
        <v>85.064820715959925</v>
      </c>
      <c r="Z108" s="455">
        <f t="shared" si="113"/>
        <v>8.073469536353759</v>
      </c>
      <c r="AA108" s="466"/>
    </row>
    <row r="109" spans="1:27">
      <c r="B109" s="319" t="s">
        <v>80</v>
      </c>
      <c r="J109" s="455">
        <f>'EU HCV'!J104</f>
        <v>1652.4310892080464</v>
      </c>
      <c r="K109" s="455">
        <f>'EU HCV'!K104</f>
        <v>3816.5213982356777</v>
      </c>
      <c r="L109" s="455">
        <f>'EU HCV'!L104</f>
        <v>2838.6500677570548</v>
      </c>
      <c r="M109" s="455">
        <f>'EU HCV'!M104</f>
        <v>1855.0459890212444</v>
      </c>
      <c r="N109" s="455">
        <f>'EU HCV'!N104</f>
        <v>1108.4192138223725</v>
      </c>
      <c r="O109" s="455">
        <f>'EU HCV'!O104</f>
        <v>838.30012085419685</v>
      </c>
      <c r="P109" s="455">
        <f>'EU HCV'!P104</f>
        <v>741.4581561027876</v>
      </c>
      <c r="Q109" s="455">
        <f>'EU HCV'!Q104</f>
        <v>656.19049815579808</v>
      </c>
      <c r="R109" s="455">
        <f>'EU HCV'!R104</f>
        <v>581.0935556023943</v>
      </c>
      <c r="S109" s="455">
        <f>'EU HCV'!S104</f>
        <v>514.93497283416752</v>
      </c>
      <c r="T109" s="455">
        <f>'EU HCV'!T104</f>
        <v>456.63268842651604</v>
      </c>
      <c r="U109" s="455">
        <f>'EU HCV'!U104</f>
        <v>405.23655715167786</v>
      </c>
      <c r="V109" s="455">
        <f>'EU HCV'!V104</f>
        <v>359.91222166329783</v>
      </c>
      <c r="W109" s="455">
        <f>'EU HCV'!W104</f>
        <v>319.92695834833597</v>
      </c>
      <c r="X109" s="455">
        <f>'EU HCV'!X104</f>
        <v>284.63725558741652</v>
      </c>
      <c r="Y109" s="455">
        <f>'EU HCV'!Y104</f>
        <v>298.12146056830926</v>
      </c>
      <c r="Z109" s="455">
        <f>'EU HCV'!Z104</f>
        <v>19.580347617914111</v>
      </c>
    </row>
    <row r="110" spans="1:27" hidden="1" outlineLevel="1">
      <c r="B110" s="465" t="s">
        <v>569</v>
      </c>
      <c r="J110" s="455">
        <f>'JPN HCV'!J102</f>
        <v>0</v>
      </c>
      <c r="K110" s="455">
        <f>'JPN HCV'!K102</f>
        <v>1476.9311839119669</v>
      </c>
      <c r="L110" s="455">
        <f>'JPN HCV'!L102</f>
        <v>1693.9375181913422</v>
      </c>
      <c r="M110" s="455">
        <f>'JPN HCV'!M102</f>
        <v>444.72640644009505</v>
      </c>
      <c r="N110" s="455">
        <f>'JPN HCV'!N102</f>
        <v>258.5233723516717</v>
      </c>
      <c r="O110" s="455">
        <f>'JPN HCV'!O102</f>
        <v>230.96386525629595</v>
      </c>
      <c r="P110" s="455">
        <f>'JPN HCV'!P102</f>
        <v>191.71719655339777</v>
      </c>
      <c r="Q110" s="455">
        <f>'JPN HCV'!Q102</f>
        <v>182.86840325833504</v>
      </c>
      <c r="R110" s="455">
        <f>'JPN HCV'!R102</f>
        <v>160.4779616093835</v>
      </c>
      <c r="S110" s="455">
        <f>'JPN HCV'!S102</f>
        <v>153.07900160404901</v>
      </c>
      <c r="T110" s="455">
        <f>'JPN HCV'!T102</f>
        <v>134.34299270989774</v>
      </c>
      <c r="U110" s="455">
        <f>'JPN HCV'!U102</f>
        <v>128.15571057004348</v>
      </c>
      <c r="V110" s="455">
        <f>'JPN HCV'!V102</f>
        <v>112.47607001036779</v>
      </c>
      <c r="W110" s="455">
        <f>'JPN HCV'!W102</f>
        <v>107.30152632311321</v>
      </c>
      <c r="X110" s="455">
        <f>'JPN HCV'!X102</f>
        <v>94.178320273475549</v>
      </c>
      <c r="Y110" s="455">
        <f>'JPN HCV'!Y102</f>
        <v>84.26052992963497</v>
      </c>
      <c r="Z110" s="455">
        <f>'JPN HCV'!Z102</f>
        <v>6.3287712473019084</v>
      </c>
    </row>
    <row r="111" spans="1:27" hidden="1" outlineLevel="1">
      <c r="B111" s="465" t="s">
        <v>822</v>
      </c>
      <c r="J111" s="455">
        <f>J109*0.125</f>
        <v>206.5538861510058</v>
      </c>
      <c r="K111" s="455">
        <f>K109*0.1</f>
        <v>381.65213982356778</v>
      </c>
      <c r="L111" s="455">
        <f>L109*0.15</f>
        <v>425.79751016355823</v>
      </c>
      <c r="M111" s="455">
        <f>M109*0.25</f>
        <v>463.7614972553111</v>
      </c>
      <c r="N111" s="455">
        <f>N109*0.6</f>
        <v>665.05152829342353</v>
      </c>
      <c r="O111" s="455">
        <f t="shared" ref="O111:Z111" si="114">O109*0.6</f>
        <v>502.98007251251806</v>
      </c>
      <c r="P111" s="455">
        <f t="shared" si="114"/>
        <v>444.87489366167256</v>
      </c>
      <c r="Q111" s="455">
        <f t="shared" si="114"/>
        <v>393.71429889347883</v>
      </c>
      <c r="R111" s="455">
        <f t="shared" si="114"/>
        <v>348.65613336143656</v>
      </c>
      <c r="S111" s="455">
        <f t="shared" si="114"/>
        <v>308.96098370050049</v>
      </c>
      <c r="T111" s="455">
        <f t="shared" si="114"/>
        <v>273.97961305590962</v>
      </c>
      <c r="U111" s="455">
        <f t="shared" si="114"/>
        <v>243.14193429100669</v>
      </c>
      <c r="V111" s="455">
        <f t="shared" si="114"/>
        <v>215.94733299797869</v>
      </c>
      <c r="W111" s="455">
        <f t="shared" si="114"/>
        <v>191.95617500900158</v>
      </c>
      <c r="X111" s="455">
        <f t="shared" si="114"/>
        <v>170.78235335244992</v>
      </c>
      <c r="Y111" s="455">
        <f t="shared" si="114"/>
        <v>178.87287634098556</v>
      </c>
      <c r="Z111" s="455">
        <f t="shared" si="114"/>
        <v>11.748208570748465</v>
      </c>
    </row>
    <row r="112" spans="1:27" collapsed="1">
      <c r="B112" s="319" t="s">
        <v>720</v>
      </c>
      <c r="J112" s="455">
        <f t="shared" ref="J112:Q112" si="115">J111+J110</f>
        <v>206.5538861510058</v>
      </c>
      <c r="K112" s="455">
        <f t="shared" si="115"/>
        <v>1858.5833237355346</v>
      </c>
      <c r="L112" s="455">
        <f t="shared" si="115"/>
        <v>2119.7350283549004</v>
      </c>
      <c r="M112" s="455">
        <f t="shared" si="115"/>
        <v>908.4879036954062</v>
      </c>
      <c r="N112" s="455">
        <f t="shared" si="115"/>
        <v>923.57490064509523</v>
      </c>
      <c r="O112" s="455">
        <f t="shared" si="115"/>
        <v>733.94393776881407</v>
      </c>
      <c r="P112" s="455">
        <f t="shared" si="115"/>
        <v>636.59209021507036</v>
      </c>
      <c r="Q112" s="455">
        <f t="shared" si="115"/>
        <v>576.58270215181392</v>
      </c>
      <c r="R112" s="455">
        <f t="shared" ref="R112:Z112" si="116">R111+R110</f>
        <v>509.13409497082006</v>
      </c>
      <c r="S112" s="455">
        <f t="shared" si="116"/>
        <v>462.03998530454953</v>
      </c>
      <c r="T112" s="455">
        <f t="shared" si="116"/>
        <v>408.32260576580734</v>
      </c>
      <c r="U112" s="455">
        <f t="shared" si="116"/>
        <v>371.29764486105017</v>
      </c>
      <c r="V112" s="455">
        <f t="shared" si="116"/>
        <v>328.4234030083465</v>
      </c>
      <c r="W112" s="455">
        <f t="shared" si="116"/>
        <v>299.25770133211478</v>
      </c>
      <c r="X112" s="455">
        <f t="shared" si="116"/>
        <v>264.96067362592544</v>
      </c>
      <c r="Y112" s="455">
        <f t="shared" si="116"/>
        <v>263.13340627062053</v>
      </c>
      <c r="Z112" s="455">
        <f t="shared" si="116"/>
        <v>18.076979818050376</v>
      </c>
    </row>
    <row r="113" spans="1:26">
      <c r="B113" s="319" t="s">
        <v>570</v>
      </c>
      <c r="J113" s="455">
        <f t="shared" ref="J113:Q113" si="117">J112+J109+J108</f>
        <v>12366.801975359049</v>
      </c>
      <c r="K113" s="455">
        <f t="shared" si="117"/>
        <v>18153.104721971213</v>
      </c>
      <c r="L113" s="455">
        <f t="shared" si="117"/>
        <v>13111.691174195326</v>
      </c>
      <c r="M113" s="455">
        <f t="shared" si="117"/>
        <v>8369.8236103125291</v>
      </c>
      <c r="N113" s="455">
        <f t="shared" si="117"/>
        <v>3892.4208340458931</v>
      </c>
      <c r="O113" s="455">
        <f t="shared" si="117"/>
        <v>3096.8024007220756</v>
      </c>
      <c r="P113" s="455">
        <f t="shared" si="117"/>
        <v>2751.9263488462957</v>
      </c>
      <c r="Q113" s="455">
        <f t="shared" si="117"/>
        <v>2533.1306036460946</v>
      </c>
      <c r="R113" s="455">
        <f t="shared" ref="R113:Z113" si="118">R112+R109+R108</f>
        <v>2321.5271093620609</v>
      </c>
      <c r="S113" s="455">
        <f t="shared" si="118"/>
        <v>2143.3133674611981</v>
      </c>
      <c r="T113" s="455">
        <f t="shared" si="118"/>
        <v>1970.1115382483226</v>
      </c>
      <c r="U113" s="455">
        <f t="shared" si="118"/>
        <v>1824.0068230181266</v>
      </c>
      <c r="V113" s="455">
        <f t="shared" si="118"/>
        <v>1681.3740669349431</v>
      </c>
      <c r="W113" s="455">
        <f t="shared" si="118"/>
        <v>1560.8154282560267</v>
      </c>
      <c r="X113" s="455">
        <f t="shared" si="118"/>
        <v>1442.646692230006</v>
      </c>
      <c r="Y113" s="455">
        <f t="shared" si="118"/>
        <v>646.3196875548897</v>
      </c>
      <c r="Z113" s="455">
        <f t="shared" si="118"/>
        <v>45.730796972318245</v>
      </c>
    </row>
    <row r="115" spans="1:26">
      <c r="U115" s="469"/>
      <c r="V115" s="469"/>
      <c r="W115" s="469"/>
      <c r="X115" s="469"/>
      <c r="Y115" s="469"/>
      <c r="Z115" s="469"/>
    </row>
    <row r="116" spans="1:26" outlineLevel="1">
      <c r="B116" s="515" t="s">
        <v>811</v>
      </c>
      <c r="J116" s="455">
        <f>J84*J93*J94*(1+J100)*J103/1000</f>
        <v>2042.6372057903066</v>
      </c>
      <c r="K116" s="455">
        <f>K84*K93*K94*(1+K100)*K103/1000</f>
        <v>10190.262407792021</v>
      </c>
      <c r="L116" s="455">
        <f>L117*L105</f>
        <v>4941</v>
      </c>
      <c r="M116" s="455">
        <f>M117*M105</f>
        <v>3083.4593446777335</v>
      </c>
      <c r="N116" s="455">
        <f t="shared" ref="N116:Z116" si="119">N117*N105</f>
        <v>869.74949140291392</v>
      </c>
      <c r="O116" s="455">
        <f t="shared" si="119"/>
        <v>712.73102493131273</v>
      </c>
      <c r="P116" s="455">
        <f t="shared" si="119"/>
        <v>642.28707793204455</v>
      </c>
      <c r="Q116" s="455">
        <f t="shared" si="119"/>
        <v>607.91708606074064</v>
      </c>
      <c r="R116" s="455">
        <f t="shared" si="119"/>
        <v>575.63249698378581</v>
      </c>
      <c r="S116" s="455">
        <f t="shared" si="119"/>
        <v>545.26320635825994</v>
      </c>
      <c r="T116" s="455">
        <f t="shared" si="119"/>
        <v>516.66054409617971</v>
      </c>
      <c r="U116" s="455">
        <f t="shared" si="119"/>
        <v>489.69345032002389</v>
      </c>
      <c r="V116" s="455">
        <f t="shared" si="119"/>
        <v>464.24547175809221</v>
      </c>
      <c r="W116" s="455">
        <f t="shared" si="119"/>
        <v>440.21238430908176</v>
      </c>
      <c r="X116" s="455">
        <f t="shared" si="119"/>
        <v>417.5002967102904</v>
      </c>
      <c r="Y116" s="455">
        <f t="shared" si="119"/>
        <v>39.767803684711268</v>
      </c>
      <c r="Z116" s="455">
        <f t="shared" si="119"/>
        <v>3.7743470082453827</v>
      </c>
    </row>
    <row r="117" spans="1:26" outlineLevel="1">
      <c r="B117" s="738" t="s">
        <v>910</v>
      </c>
      <c r="J117" s="470">
        <f>J118/J105</f>
        <v>0.19042965822491964</v>
      </c>
      <c r="K117" s="470">
        <f>K118/K105</f>
        <v>0.80862317679115248</v>
      </c>
      <c r="L117" s="470">
        <f>L118/L105</f>
        <v>0.60601183773558265</v>
      </c>
      <c r="M117" s="470">
        <v>0.55000000000000004</v>
      </c>
      <c r="N117" s="740">
        <f>1-N120-N123-N126</f>
        <v>0.46750000000000003</v>
      </c>
      <c r="O117" s="740">
        <f t="shared" ref="O117:Z117" si="120">1-O120-O123-O126</f>
        <v>0.46750000000000003</v>
      </c>
      <c r="P117" s="740">
        <f t="shared" si="120"/>
        <v>0.46750000000000003</v>
      </c>
      <c r="Q117" s="740">
        <f t="shared" si="120"/>
        <v>0.46750000000000003</v>
      </c>
      <c r="R117" s="740">
        <f t="shared" si="120"/>
        <v>0.46750000000000003</v>
      </c>
      <c r="S117" s="740">
        <f t="shared" si="120"/>
        <v>0.46750000000000003</v>
      </c>
      <c r="T117" s="740">
        <f t="shared" si="120"/>
        <v>0.46750000000000003</v>
      </c>
      <c r="U117" s="740">
        <f t="shared" si="120"/>
        <v>0.46750000000000003</v>
      </c>
      <c r="V117" s="740">
        <f t="shared" si="120"/>
        <v>0.46750000000000003</v>
      </c>
      <c r="W117" s="740">
        <f t="shared" si="120"/>
        <v>0.46750000000000003</v>
      </c>
      <c r="X117" s="740">
        <f t="shared" si="120"/>
        <v>0.46750000000000003</v>
      </c>
      <c r="Y117" s="740">
        <f t="shared" si="120"/>
        <v>0.46750000000000003</v>
      </c>
      <c r="Z117" s="740">
        <f t="shared" si="120"/>
        <v>0.46750000000000003</v>
      </c>
    </row>
    <row r="118" spans="1:26" s="670" customFormat="1">
      <c r="A118" s="672"/>
      <c r="B118" s="671" t="s">
        <v>824</v>
      </c>
      <c r="J118" s="673">
        <f>REVS!BP49</f>
        <v>2001</v>
      </c>
      <c r="K118" s="673">
        <f>REVS!BU49</f>
        <v>10090</v>
      </c>
      <c r="L118" s="673">
        <f>REVS!BZ49</f>
        <v>4941</v>
      </c>
      <c r="M118" s="673"/>
      <c r="N118" s="673"/>
      <c r="O118" s="673"/>
      <c r="P118" s="673"/>
      <c r="Q118" s="673"/>
      <c r="R118" s="673"/>
      <c r="S118" s="673"/>
      <c r="T118" s="673"/>
      <c r="U118" s="673"/>
      <c r="V118" s="673"/>
      <c r="W118" s="673"/>
      <c r="X118" s="673"/>
      <c r="Y118" s="673"/>
      <c r="Z118" s="673"/>
    </row>
    <row r="119" spans="1:26" outlineLevel="1">
      <c r="B119" s="515" t="s">
        <v>812</v>
      </c>
      <c r="J119" s="455">
        <f>J105-J116</f>
        <v>8465.179794209691</v>
      </c>
      <c r="K119" s="455">
        <f>K105-K116</f>
        <v>2287.7375922079791</v>
      </c>
      <c r="L119" s="455">
        <f>L120*L105</f>
        <v>1895</v>
      </c>
      <c r="M119" s="455">
        <f>M120*M105</f>
        <v>140.15724293989697</v>
      </c>
      <c r="N119" s="455">
        <f t="shared" ref="N119:Z119" si="121">N120*N105</f>
        <v>13.953200396838191</v>
      </c>
      <c r="O119" s="455">
        <f t="shared" si="121"/>
        <v>11.434187565742983</v>
      </c>
      <c r="P119" s="455">
        <f t="shared" si="121"/>
        <v>10.304070768963282</v>
      </c>
      <c r="Q119" s="455">
        <f t="shared" si="121"/>
        <v>9.7526805250386186</v>
      </c>
      <c r="R119" s="455">
        <f t="shared" si="121"/>
        <v>9.2347459409163495</v>
      </c>
      <c r="S119" s="455">
        <f t="shared" si="121"/>
        <v>8.7475380699186083</v>
      </c>
      <c r="T119" s="455">
        <f t="shared" si="121"/>
        <v>8.2886718304199931</v>
      </c>
      <c r="U119" s="455">
        <f t="shared" si="121"/>
        <v>7.8560446575404894</v>
      </c>
      <c r="V119" s="455">
        <f t="shared" si="121"/>
        <v>7.4477883169747408</v>
      </c>
      <c r="W119" s="455">
        <f t="shared" si="121"/>
        <v>7.0622307643168192</v>
      </c>
      <c r="X119" s="455">
        <f t="shared" si="121"/>
        <v>6.6978657226249787</v>
      </c>
      <c r="Y119" s="455">
        <f t="shared" si="121"/>
        <v>0.63798615536969938</v>
      </c>
      <c r="Z119" s="455">
        <f t="shared" si="121"/>
        <v>6.0551021522653188E-2</v>
      </c>
    </row>
    <row r="120" spans="1:26" outlineLevel="1">
      <c r="B120" s="738" t="s">
        <v>910</v>
      </c>
      <c r="J120" s="470">
        <f>J121/J105</f>
        <v>0.80957034177508069</v>
      </c>
      <c r="K120" s="470">
        <f>K121/K105</f>
        <v>0.19137682320884758</v>
      </c>
      <c r="L120" s="470">
        <f>L121/L105</f>
        <v>0.23242105495019816</v>
      </c>
      <c r="M120" s="741">
        <v>2.5000000000000001E-2</v>
      </c>
      <c r="N120" s="740">
        <v>7.4999999999999997E-3</v>
      </c>
      <c r="O120" s="740">
        <f t="shared" ref="O120:Z120" si="122">N120</f>
        <v>7.4999999999999997E-3</v>
      </c>
      <c r="P120" s="740">
        <f t="shared" si="122"/>
        <v>7.4999999999999997E-3</v>
      </c>
      <c r="Q120" s="740">
        <f t="shared" si="122"/>
        <v>7.4999999999999997E-3</v>
      </c>
      <c r="R120" s="740">
        <f t="shared" si="122"/>
        <v>7.4999999999999997E-3</v>
      </c>
      <c r="S120" s="740">
        <f t="shared" si="122"/>
        <v>7.4999999999999997E-3</v>
      </c>
      <c r="T120" s="740">
        <f t="shared" si="122"/>
        <v>7.4999999999999997E-3</v>
      </c>
      <c r="U120" s="740">
        <f t="shared" si="122"/>
        <v>7.4999999999999997E-3</v>
      </c>
      <c r="V120" s="740">
        <f t="shared" si="122"/>
        <v>7.4999999999999997E-3</v>
      </c>
      <c r="W120" s="740">
        <f t="shared" si="122"/>
        <v>7.4999999999999997E-3</v>
      </c>
      <c r="X120" s="740">
        <f t="shared" si="122"/>
        <v>7.4999999999999997E-3</v>
      </c>
      <c r="Y120" s="740">
        <f t="shared" si="122"/>
        <v>7.4999999999999997E-3</v>
      </c>
      <c r="Z120" s="740">
        <f t="shared" si="122"/>
        <v>7.4999999999999997E-3</v>
      </c>
    </row>
    <row r="121" spans="1:26" s="670" customFormat="1">
      <c r="A121" s="672"/>
      <c r="B121" s="671" t="s">
        <v>824</v>
      </c>
      <c r="J121" s="673">
        <f>REVS!BP59</f>
        <v>8506.8170000000009</v>
      </c>
      <c r="K121" s="673">
        <f>REVS!BU59</f>
        <v>2388</v>
      </c>
      <c r="L121" s="673">
        <f>REVS!BZ59</f>
        <v>1895</v>
      </c>
    </row>
    <row r="122" spans="1:26" s="670" customFormat="1">
      <c r="A122" s="672"/>
      <c r="B122" s="515" t="s">
        <v>911</v>
      </c>
      <c r="J122" s="739">
        <v>0</v>
      </c>
      <c r="K122" s="739">
        <v>0</v>
      </c>
      <c r="L122" s="739">
        <f>L123*L105</f>
        <v>1317.3060780833719</v>
      </c>
      <c r="M122" s="739">
        <f>M123*M105</f>
        <v>2382.6731299782482</v>
      </c>
      <c r="N122" s="739">
        <f t="shared" ref="N122:Z122" si="123">N123*N105</f>
        <v>697.66001984190962</v>
      </c>
      <c r="O122" s="739">
        <f t="shared" si="123"/>
        <v>571.70937828714921</v>
      </c>
      <c r="P122" s="739">
        <f t="shared" si="123"/>
        <v>515.20353844816407</v>
      </c>
      <c r="Q122" s="739">
        <f t="shared" si="123"/>
        <v>487.63402625193095</v>
      </c>
      <c r="R122" s="739">
        <f t="shared" si="123"/>
        <v>461.73729704581746</v>
      </c>
      <c r="S122" s="739">
        <f t="shared" si="123"/>
        <v>437.37690349593038</v>
      </c>
      <c r="T122" s="739">
        <f t="shared" si="123"/>
        <v>414.4335915209997</v>
      </c>
      <c r="U122" s="739">
        <f t="shared" si="123"/>
        <v>392.80223287702449</v>
      </c>
      <c r="V122" s="739">
        <f t="shared" si="123"/>
        <v>372.38941584873703</v>
      </c>
      <c r="W122" s="739">
        <f t="shared" si="123"/>
        <v>353.11153821584094</v>
      </c>
      <c r="X122" s="739">
        <f t="shared" si="123"/>
        <v>334.89328613124894</v>
      </c>
      <c r="Y122" s="739">
        <f t="shared" si="123"/>
        <v>31.899307768484974</v>
      </c>
      <c r="Z122" s="739">
        <f t="shared" si="123"/>
        <v>3.0275510761326596</v>
      </c>
    </row>
    <row r="123" spans="1:26" s="670" customFormat="1">
      <c r="A123" s="672"/>
      <c r="B123" s="738" t="s">
        <v>910</v>
      </c>
      <c r="J123" s="673"/>
      <c r="K123" s="673"/>
      <c r="L123" s="740">
        <v>0.16156710731421919</v>
      </c>
      <c r="M123" s="740">
        <v>0.42499999999999993</v>
      </c>
      <c r="N123" s="740">
        <f>42.5%-5%</f>
        <v>0.375</v>
      </c>
      <c r="O123" s="740">
        <f>N123</f>
        <v>0.375</v>
      </c>
      <c r="P123" s="740">
        <f t="shared" ref="P123:Z123" si="124">O123</f>
        <v>0.375</v>
      </c>
      <c r="Q123" s="740">
        <f t="shared" si="124"/>
        <v>0.375</v>
      </c>
      <c r="R123" s="740">
        <f t="shared" si="124"/>
        <v>0.375</v>
      </c>
      <c r="S123" s="740">
        <f t="shared" si="124"/>
        <v>0.375</v>
      </c>
      <c r="T123" s="740">
        <f t="shared" si="124"/>
        <v>0.375</v>
      </c>
      <c r="U123" s="740">
        <f t="shared" si="124"/>
        <v>0.375</v>
      </c>
      <c r="V123" s="740">
        <f t="shared" si="124"/>
        <v>0.375</v>
      </c>
      <c r="W123" s="740">
        <f t="shared" si="124"/>
        <v>0.375</v>
      </c>
      <c r="X123" s="740">
        <f t="shared" si="124"/>
        <v>0.375</v>
      </c>
      <c r="Y123" s="740">
        <f t="shared" si="124"/>
        <v>0.375</v>
      </c>
      <c r="Z123" s="740">
        <f t="shared" si="124"/>
        <v>0.375</v>
      </c>
    </row>
    <row r="124" spans="1:26" s="670" customFormat="1">
      <c r="A124" s="672"/>
      <c r="B124" s="671" t="s">
        <v>824</v>
      </c>
      <c r="J124" s="673"/>
      <c r="K124" s="673"/>
    </row>
    <row r="125" spans="1:26" s="670" customFormat="1">
      <c r="A125" s="672"/>
      <c r="B125" s="515" t="s">
        <v>1095</v>
      </c>
      <c r="J125" s="673"/>
      <c r="K125" s="673"/>
      <c r="M125" s="739">
        <v>100</v>
      </c>
      <c r="N125" s="739">
        <f>N126*N105</f>
        <v>279.0640079367638</v>
      </c>
      <c r="O125" s="739">
        <v>300</v>
      </c>
      <c r="P125" s="739">
        <v>200</v>
      </c>
      <c r="Q125" s="739">
        <v>150</v>
      </c>
      <c r="R125" s="739">
        <f>Q125</f>
        <v>150</v>
      </c>
      <c r="S125" s="739">
        <f t="shared" ref="S125:Z126" si="125">R125</f>
        <v>150</v>
      </c>
      <c r="T125" s="739">
        <f t="shared" si="125"/>
        <v>150</v>
      </c>
      <c r="U125" s="739">
        <f t="shared" si="125"/>
        <v>150</v>
      </c>
      <c r="V125" s="739">
        <f t="shared" si="125"/>
        <v>150</v>
      </c>
      <c r="W125" s="739">
        <f t="shared" si="125"/>
        <v>150</v>
      </c>
      <c r="X125" s="739">
        <f t="shared" si="125"/>
        <v>150</v>
      </c>
      <c r="Y125" s="739">
        <f t="shared" si="125"/>
        <v>150</v>
      </c>
      <c r="Z125" s="739">
        <f t="shared" si="125"/>
        <v>150</v>
      </c>
    </row>
    <row r="126" spans="1:26" s="670" customFormat="1">
      <c r="A126" s="672"/>
      <c r="B126" s="738" t="s">
        <v>910</v>
      </c>
      <c r="J126" s="673"/>
      <c r="K126" s="673"/>
      <c r="L126" s="983"/>
      <c r="M126" s="740">
        <f t="shared" ref="M126" si="126">1-M123-M120-M117</f>
        <v>0</v>
      </c>
      <c r="N126" s="740">
        <v>0.15</v>
      </c>
      <c r="O126" s="740">
        <f>N126</f>
        <v>0.15</v>
      </c>
      <c r="P126" s="740">
        <f t="shared" ref="P126:R126" si="127">O126</f>
        <v>0.15</v>
      </c>
      <c r="Q126" s="740">
        <f t="shared" si="127"/>
        <v>0.15</v>
      </c>
      <c r="R126" s="740">
        <f t="shared" si="127"/>
        <v>0.15</v>
      </c>
      <c r="S126" s="740">
        <f t="shared" si="125"/>
        <v>0.15</v>
      </c>
      <c r="T126" s="740">
        <f t="shared" si="125"/>
        <v>0.15</v>
      </c>
      <c r="U126" s="740">
        <f t="shared" si="125"/>
        <v>0.15</v>
      </c>
      <c r="V126" s="740">
        <f t="shared" si="125"/>
        <v>0.15</v>
      </c>
      <c r="W126" s="740">
        <f t="shared" si="125"/>
        <v>0.15</v>
      </c>
      <c r="X126" s="740">
        <f t="shared" si="125"/>
        <v>0.15</v>
      </c>
      <c r="Y126" s="740">
        <f t="shared" si="125"/>
        <v>0.15</v>
      </c>
      <c r="Z126" s="740">
        <f t="shared" si="125"/>
        <v>0.15</v>
      </c>
    </row>
    <row r="127" spans="1:26" s="670" customFormat="1">
      <c r="A127" s="672"/>
      <c r="B127" s="671" t="s">
        <v>824</v>
      </c>
      <c r="J127" s="673"/>
      <c r="K127" s="673"/>
    </row>
    <row r="128" spans="1:26">
      <c r="B128" s="515" t="s">
        <v>813</v>
      </c>
      <c r="K128" s="659">
        <f>'EU HCV'!K107</f>
        <v>-687.46843328910472</v>
      </c>
      <c r="L128" s="659">
        <f>'EU HCV'!L107</f>
        <v>1807.8665104293698</v>
      </c>
      <c r="M128" s="659">
        <f>'EU HCV'!M107</f>
        <v>834.77069505956001</v>
      </c>
      <c r="N128" s="659">
        <f>'EU HCV'!N107</f>
        <v>387.94672483783035</v>
      </c>
      <c r="O128" s="659">
        <f>'EU HCV'!O107</f>
        <v>293.40504229896885</v>
      </c>
      <c r="P128" s="659">
        <f>'EU HCV'!P107</f>
        <v>259.51035463597566</v>
      </c>
      <c r="Q128" s="659">
        <f>'EU HCV'!Q107</f>
        <v>229.66667435452931</v>
      </c>
      <c r="R128" s="659">
        <f>'EU HCV'!R107</f>
        <v>203.38274446083798</v>
      </c>
      <c r="S128" s="659">
        <f>'EU HCV'!S107</f>
        <v>180.22724049195861</v>
      </c>
      <c r="T128" s="659">
        <f>'EU HCV'!T107</f>
        <v>159.8214409492806</v>
      </c>
      <c r="U128" s="659">
        <f>'EU HCV'!U107</f>
        <v>141.83279500308723</v>
      </c>
      <c r="V128" s="659">
        <f>'EU HCV'!V107</f>
        <v>125.96927758215423</v>
      </c>
      <c r="W128" s="659">
        <f>'EU HCV'!W107</f>
        <v>111.97443542191758</v>
      </c>
      <c r="X128" s="659">
        <f>'EU HCV'!X107</f>
        <v>99.623039455595773</v>
      </c>
      <c r="Y128" s="659">
        <f>'EU HCV'!Y107</f>
        <v>104.34251119890824</v>
      </c>
      <c r="Z128" s="659">
        <f>'EU HCV'!Z107</f>
        <v>6.8531216662699386</v>
      </c>
    </row>
    <row r="129" spans="1:26">
      <c r="B129" s="515" t="s">
        <v>814</v>
      </c>
      <c r="K129" s="659">
        <f>'EU HCV'!K109</f>
        <v>-517.74885036426724</v>
      </c>
      <c r="L129" s="659">
        <f>'EU HCV'!L109</f>
        <v>889.94975734396053</v>
      </c>
      <c r="M129" s="659">
        <f>'EU HCV'!M109+75</f>
        <v>260.50459890212448</v>
      </c>
      <c r="N129" s="659">
        <f>'EU HCV'!N109</f>
        <v>55.42096069111863</v>
      </c>
      <c r="O129" s="659">
        <f>'EU HCV'!O109</f>
        <v>41.915006042709848</v>
      </c>
      <c r="P129" s="659">
        <f>'EU HCV'!P109</f>
        <v>37.07290780513938</v>
      </c>
      <c r="Q129" s="659">
        <f>'EU HCV'!Q109</f>
        <v>32.809524907789907</v>
      </c>
      <c r="R129" s="659">
        <f>'EU HCV'!R109</f>
        <v>29.054677780119718</v>
      </c>
      <c r="S129" s="659">
        <f>'EU HCV'!S109</f>
        <v>25.746748641708379</v>
      </c>
      <c r="T129" s="659">
        <f>'EU HCV'!T109</f>
        <v>22.831634421325802</v>
      </c>
      <c r="U129" s="659">
        <f>'EU HCV'!U109</f>
        <v>20.261827857583896</v>
      </c>
      <c r="V129" s="659">
        <f>'EU HCV'!V109</f>
        <v>17.995611083164892</v>
      </c>
      <c r="W129" s="659">
        <f>'EU HCV'!W109</f>
        <v>15.996347917416799</v>
      </c>
      <c r="X129" s="659">
        <f>'EU HCV'!X109</f>
        <v>14.231862779370827</v>
      </c>
      <c r="Y129" s="659">
        <f>'EU HCV'!Y109</f>
        <v>14.906073028415463</v>
      </c>
      <c r="Z129" s="659">
        <f>'EU HCV'!Z109</f>
        <v>0.97901738089570556</v>
      </c>
    </row>
    <row r="130" spans="1:26">
      <c r="B130" s="515" t="s">
        <v>912</v>
      </c>
      <c r="K130" s="659">
        <f>'EU HCV'!K111</f>
        <v>0</v>
      </c>
      <c r="L130" s="659">
        <f>'EU HCV'!L111</f>
        <v>140.83379998372428</v>
      </c>
      <c r="M130" s="659">
        <f>'EU HCV'!M111</f>
        <v>842.01839560849783</v>
      </c>
      <c r="N130" s="659">
        <f>'EU HCV'!N111</f>
        <v>554.20960691118626</v>
      </c>
      <c r="O130" s="659">
        <f>'EU HCV'!O111</f>
        <v>419.15006042709842</v>
      </c>
      <c r="P130" s="659">
        <f>'EU HCV'!P111</f>
        <v>370.7290780513938</v>
      </c>
      <c r="Q130" s="659">
        <f>'EU HCV'!Q111</f>
        <v>328.09524907789904</v>
      </c>
      <c r="R130" s="659">
        <f>'EU HCV'!R111</f>
        <v>290.54677780119715</v>
      </c>
      <c r="S130" s="659">
        <f>'EU HCV'!S111</f>
        <v>257.46748641708376</v>
      </c>
      <c r="T130" s="659">
        <f>'EU HCV'!T111</f>
        <v>228.31634421325802</v>
      </c>
      <c r="U130" s="659">
        <f>'EU HCV'!U111</f>
        <v>202.61827857583893</v>
      </c>
      <c r="V130" s="659">
        <f>'EU HCV'!V111</f>
        <v>179.95611083164891</v>
      </c>
      <c r="W130" s="659">
        <f>'EU HCV'!W111</f>
        <v>159.96347917416799</v>
      </c>
      <c r="X130" s="659">
        <f>'EU HCV'!X111</f>
        <v>142.31862779370826</v>
      </c>
      <c r="Y130" s="659">
        <f>'EU HCV'!Y111</f>
        <v>149.06073028415463</v>
      </c>
      <c r="Z130" s="659">
        <f>'EU HCV'!Z111</f>
        <v>9.7901738089570554</v>
      </c>
    </row>
    <row r="131" spans="1:26">
      <c r="B131" s="515" t="s">
        <v>1096</v>
      </c>
      <c r="K131" s="659"/>
      <c r="L131" s="659"/>
      <c r="M131" s="659">
        <f>'EU HCV'!M113</f>
        <v>92.752299451062228</v>
      </c>
      <c r="N131" s="659">
        <f>'EU HCV'!N113</f>
        <v>110.84192138223729</v>
      </c>
      <c r="O131" s="659">
        <v>150</v>
      </c>
      <c r="P131" s="659">
        <v>175</v>
      </c>
      <c r="Q131" s="659">
        <v>200</v>
      </c>
      <c r="R131" s="659">
        <v>150</v>
      </c>
      <c r="S131" s="659">
        <v>100</v>
      </c>
      <c r="T131" s="659">
        <f t="shared" ref="T131:Y131" si="128">S131</f>
        <v>100</v>
      </c>
      <c r="U131" s="659">
        <f t="shared" si="128"/>
        <v>100</v>
      </c>
      <c r="V131" s="659">
        <f t="shared" si="128"/>
        <v>100</v>
      </c>
      <c r="W131" s="659">
        <f t="shared" si="128"/>
        <v>100</v>
      </c>
      <c r="X131" s="659">
        <f t="shared" si="128"/>
        <v>100</v>
      </c>
      <c r="Y131" s="659">
        <f t="shared" si="128"/>
        <v>100</v>
      </c>
      <c r="Z131" s="659">
        <v>5</v>
      </c>
    </row>
    <row r="132" spans="1:26">
      <c r="K132" s="659"/>
      <c r="L132" s="659"/>
      <c r="M132" s="659"/>
      <c r="N132" s="659"/>
      <c r="O132" s="659"/>
      <c r="P132" s="659"/>
      <c r="Q132" s="659"/>
      <c r="R132" s="659"/>
      <c r="S132" s="659"/>
      <c r="T132" s="659"/>
      <c r="U132" s="659"/>
      <c r="V132" s="659"/>
      <c r="W132" s="659"/>
      <c r="X132" s="659"/>
      <c r="Y132" s="659"/>
      <c r="Z132" s="659"/>
    </row>
    <row r="133" spans="1:26">
      <c r="B133" s="515" t="s">
        <v>815</v>
      </c>
      <c r="K133" s="455">
        <f>'JPN HCV'!K105</f>
        <v>562.93332695262063</v>
      </c>
      <c r="L133" s="455">
        <f>'JPN HCV'!L105</f>
        <v>1231.7740094694209</v>
      </c>
      <c r="M133" s="455">
        <f>'JPN HCV'!M105</f>
        <v>397.33720444400041</v>
      </c>
      <c r="N133" s="455">
        <f>'JPN HCV'!N105</f>
        <v>180.96636064617019</v>
      </c>
      <c r="O133" s="455">
        <f>'JPN HCV'!O105</f>
        <v>161.67470567940714</v>
      </c>
      <c r="P133" s="455">
        <f>'JPN HCV'!P105</f>
        <v>134.20203758737844</v>
      </c>
      <c r="Q133" s="455">
        <f>'JPN HCV'!Q105</f>
        <v>128.00788228083451</v>
      </c>
      <c r="R133" s="455">
        <f>'JPN HCV'!R105</f>
        <v>112.33457312656844</v>
      </c>
      <c r="S133" s="455">
        <f>'JPN HCV'!S105</f>
        <v>107.1553011228343</v>
      </c>
      <c r="T133" s="455">
        <f>'JPN HCV'!T105</f>
        <v>94.040094896928409</v>
      </c>
      <c r="U133" s="455">
        <f>'JPN HCV'!U105</f>
        <v>89.708997399030437</v>
      </c>
      <c r="V133" s="455">
        <f>'JPN HCV'!V105</f>
        <v>78.733249007257456</v>
      </c>
      <c r="W133" s="455">
        <f>'JPN HCV'!W105</f>
        <v>75.111068426179244</v>
      </c>
      <c r="X133" s="455">
        <f>'JPN HCV'!X105</f>
        <v>65.924824191432876</v>
      </c>
      <c r="Y133" s="455">
        <f>'JPN HCV'!Y105</f>
        <v>58.982370950744475</v>
      </c>
      <c r="Z133" s="455">
        <f>'JPN HCV'!Z105</f>
        <v>4.4301398731113357</v>
      </c>
    </row>
    <row r="134" spans="1:26">
      <c r="B134" s="515" t="s">
        <v>816</v>
      </c>
      <c r="K134" s="455">
        <f>'JPN HCV'!K106</f>
        <v>913.99785695934634</v>
      </c>
      <c r="L134" s="455">
        <f>'JPN HCV'!L106</f>
        <v>513.51500969102335</v>
      </c>
      <c r="M134" s="455">
        <f>'JPN HCV'!M106</f>
        <v>39.491001663412263</v>
      </c>
      <c r="N134" s="455">
        <f>'JPN HCV'!N106</f>
        <v>12.926168617583585</v>
      </c>
      <c r="O134" s="455">
        <f>'JPN HCV'!O106</f>
        <v>11.548193262814799</v>
      </c>
      <c r="P134" s="455">
        <f>'JPN HCV'!P106</f>
        <v>9.5858598276698892</v>
      </c>
      <c r="Q134" s="455">
        <f>'JPN HCV'!Q106</f>
        <v>9.1434201629167529</v>
      </c>
      <c r="R134" s="455">
        <f>'JPN HCV'!R106</f>
        <v>8.0238980804691753</v>
      </c>
      <c r="S134" s="455">
        <f>'JPN HCV'!S106</f>
        <v>7.6539500802024509</v>
      </c>
      <c r="T134" s="455">
        <f>'JPN HCV'!T106</f>
        <v>6.7171496354948879</v>
      </c>
      <c r="U134" s="455">
        <f>'JPN HCV'!U106</f>
        <v>6.4077855285021741</v>
      </c>
      <c r="V134" s="455">
        <f>'JPN HCV'!V106</f>
        <v>5.62380350051839</v>
      </c>
      <c r="W134" s="455">
        <f>'JPN HCV'!W106</f>
        <v>5.3650763161556609</v>
      </c>
      <c r="X134" s="455">
        <f>'JPN HCV'!X106</f>
        <v>4.708916013673778</v>
      </c>
      <c r="Y134" s="455">
        <f>'JPN HCV'!Y106</f>
        <v>4.2130264964817483</v>
      </c>
      <c r="Z134" s="455">
        <f>'JPN HCV'!Z106</f>
        <v>0.31643856236509543</v>
      </c>
    </row>
    <row r="135" spans="1:26">
      <c r="B135" s="515" t="s">
        <v>913</v>
      </c>
      <c r="K135" s="455">
        <f>'JPN HCV'!K107</f>
        <v>0</v>
      </c>
      <c r="L135" s="455">
        <f>'JPN HCV'!L107</f>
        <v>0</v>
      </c>
      <c r="M135" s="455">
        <f>'JPN HCV'!M107</f>
        <v>19.745500831706135</v>
      </c>
      <c r="N135" s="455">
        <f>'JPN HCV'!N107</f>
        <v>38.778505852750754</v>
      </c>
      <c r="O135" s="455">
        <f>'JPN HCV'!O107</f>
        <v>34.644579788444389</v>
      </c>
      <c r="P135" s="455">
        <f>'JPN HCV'!P107</f>
        <v>28.757579483009664</v>
      </c>
      <c r="Q135" s="455">
        <f>'JPN HCV'!Q107</f>
        <v>27.430260488750253</v>
      </c>
      <c r="R135" s="455">
        <f>'JPN HCV'!R107</f>
        <v>24.071694241407524</v>
      </c>
      <c r="S135" s="455">
        <f>'JPN HCV'!S107</f>
        <v>22.961850240607351</v>
      </c>
      <c r="T135" s="455">
        <f>'JPN HCV'!T107</f>
        <v>20.15144890648466</v>
      </c>
      <c r="U135" s="455">
        <f>'JPN HCV'!U107</f>
        <v>19.223356585506522</v>
      </c>
      <c r="V135" s="455">
        <f>'JPN HCV'!V107</f>
        <v>16.871410501555168</v>
      </c>
      <c r="W135" s="455">
        <f>'JPN HCV'!W107</f>
        <v>16.095228948466982</v>
      </c>
      <c r="X135" s="455">
        <f>'JPN HCV'!X107</f>
        <v>14.126748041021331</v>
      </c>
      <c r="Y135" s="455">
        <f>'JPN HCV'!Y107</f>
        <v>12.639079489445246</v>
      </c>
      <c r="Z135" s="455">
        <f>'JPN HCV'!Z107</f>
        <v>0.94931568709528624</v>
      </c>
    </row>
    <row r="136" spans="1:26">
      <c r="B136" s="515" t="s">
        <v>1097</v>
      </c>
      <c r="K136" s="455">
        <v>0</v>
      </c>
      <c r="L136" s="455">
        <v>0</v>
      </c>
      <c r="M136" s="455">
        <v>0</v>
      </c>
      <c r="N136" s="455">
        <f>'JPN HCV'!N108</f>
        <v>25.85233723516717</v>
      </c>
      <c r="O136" s="455">
        <f>'JPN HCV'!O108</f>
        <v>23.096386525629619</v>
      </c>
      <c r="P136" s="455">
        <f>'JPN HCV'!P108</f>
        <v>19.171719655339771</v>
      </c>
      <c r="Q136" s="455">
        <f>'JPN HCV'!Q108</f>
        <v>18.28684032583352</v>
      </c>
      <c r="R136" s="455">
        <f>'JPN HCV'!R108</f>
        <v>16.047796160938358</v>
      </c>
      <c r="S136" s="455">
        <f>'JPN HCV'!S108</f>
        <v>15.307900160404909</v>
      </c>
      <c r="T136" s="455">
        <f>'JPN HCV'!T108</f>
        <v>13.434299270989783</v>
      </c>
      <c r="U136" s="455">
        <f>'JPN HCV'!U108</f>
        <v>12.815571057004348</v>
      </c>
      <c r="V136" s="455">
        <f>'JPN HCV'!V108</f>
        <v>11.247607001036776</v>
      </c>
      <c r="W136" s="455">
        <f>'JPN HCV'!W108</f>
        <v>10.73015263231132</v>
      </c>
      <c r="X136" s="455">
        <f>'JPN HCV'!X108</f>
        <v>9.4178320273475631</v>
      </c>
      <c r="Y136" s="455">
        <f>'JPN HCV'!Y108</f>
        <v>8.4260529929635002</v>
      </c>
      <c r="Z136" s="455">
        <f>'JPN HCV'!Z108</f>
        <v>0.63287712473019109</v>
      </c>
    </row>
    <row r="137" spans="1:26">
      <c r="K137" s="455"/>
      <c r="L137" s="455"/>
      <c r="M137" s="455"/>
      <c r="N137" s="455"/>
      <c r="O137" s="455"/>
      <c r="P137" s="455"/>
      <c r="Q137" s="455"/>
      <c r="R137" s="455"/>
      <c r="S137" s="455"/>
      <c r="T137" s="455"/>
      <c r="U137" s="455"/>
      <c r="V137" s="455"/>
      <c r="W137" s="455"/>
      <c r="X137" s="455"/>
      <c r="Y137" s="455"/>
      <c r="Z137" s="455"/>
    </row>
    <row r="138" spans="1:26">
      <c r="B138" s="515" t="s">
        <v>817</v>
      </c>
      <c r="K138" s="455">
        <f>K128*0.2</f>
        <v>-137.49368665782094</v>
      </c>
      <c r="L138" s="455">
        <f>L128*0.65</f>
        <v>1175.1132317790905</v>
      </c>
      <c r="M138" s="455">
        <f>M128*0.2</f>
        <v>166.95413901191202</v>
      </c>
      <c r="N138" s="455">
        <f>N128*0.3</f>
        <v>116.3840174513491</v>
      </c>
      <c r="O138" s="455">
        <f t="shared" ref="O138:Z138" si="129">O128*0.5</f>
        <v>146.70252114948443</v>
      </c>
      <c r="P138" s="455">
        <f t="shared" si="129"/>
        <v>129.75517731798783</v>
      </c>
      <c r="Q138" s="455">
        <f t="shared" si="129"/>
        <v>114.83333717726465</v>
      </c>
      <c r="R138" s="455">
        <f t="shared" si="129"/>
        <v>101.69137223041899</v>
      </c>
      <c r="S138" s="455">
        <f t="shared" si="129"/>
        <v>90.113620245979305</v>
      </c>
      <c r="T138" s="455">
        <f t="shared" si="129"/>
        <v>79.9107204746403</v>
      </c>
      <c r="U138" s="455">
        <f t="shared" si="129"/>
        <v>70.916397501543614</v>
      </c>
      <c r="V138" s="455">
        <f t="shared" si="129"/>
        <v>62.984638791077117</v>
      </c>
      <c r="W138" s="455">
        <f t="shared" si="129"/>
        <v>55.987217710958788</v>
      </c>
      <c r="X138" s="455">
        <f t="shared" si="129"/>
        <v>49.811519727797887</v>
      </c>
      <c r="Y138" s="455">
        <f t="shared" si="129"/>
        <v>52.17125559945412</v>
      </c>
      <c r="Z138" s="455">
        <f t="shared" si="129"/>
        <v>3.4265608331349693</v>
      </c>
    </row>
    <row r="139" spans="1:26">
      <c r="A139" s="319"/>
      <c r="B139" s="515" t="s">
        <v>818</v>
      </c>
      <c r="J139" s="455"/>
      <c r="K139" s="455">
        <f>K129*0.1</f>
        <v>-51.774885036426724</v>
      </c>
      <c r="L139" s="455">
        <f>L129*0.65</f>
        <v>578.46734227357433</v>
      </c>
      <c r="M139" s="455">
        <f>M129*1.45</f>
        <v>377.73166840808051</v>
      </c>
      <c r="N139" s="455">
        <f>N129*0.3</f>
        <v>16.626288207335588</v>
      </c>
      <c r="O139" s="455">
        <f t="shared" ref="O139:Z139" si="130">O129*0.5</f>
        <v>20.957503021354924</v>
      </c>
      <c r="P139" s="455">
        <f t="shared" si="130"/>
        <v>18.53645390256969</v>
      </c>
      <c r="Q139" s="455">
        <f t="shared" si="130"/>
        <v>16.404762453894953</v>
      </c>
      <c r="R139" s="455">
        <f t="shared" si="130"/>
        <v>14.527338890059859</v>
      </c>
      <c r="S139" s="455">
        <f t="shared" si="130"/>
        <v>12.87337432085419</v>
      </c>
      <c r="T139" s="455">
        <f t="shared" si="130"/>
        <v>11.415817210662901</v>
      </c>
      <c r="U139" s="455">
        <f t="shared" si="130"/>
        <v>10.130913928791948</v>
      </c>
      <c r="V139" s="455">
        <f t="shared" si="130"/>
        <v>8.9978055415824461</v>
      </c>
      <c r="W139" s="455">
        <f t="shared" si="130"/>
        <v>7.9981739587083993</v>
      </c>
      <c r="X139" s="455">
        <f t="shared" si="130"/>
        <v>7.1159313896854135</v>
      </c>
      <c r="Y139" s="455">
        <f t="shared" si="130"/>
        <v>7.4530365142077315</v>
      </c>
      <c r="Z139" s="455">
        <f t="shared" si="130"/>
        <v>0.48950869044785278</v>
      </c>
    </row>
    <row r="140" spans="1:26">
      <c r="B140" s="515" t="s">
        <v>914</v>
      </c>
      <c r="J140" s="455"/>
      <c r="K140" s="455">
        <f>K130*0.1</f>
        <v>0</v>
      </c>
      <c r="L140" s="455">
        <f t="shared" ref="L140" si="131">L130*0.1</f>
        <v>14.083379998372429</v>
      </c>
      <c r="M140" s="455">
        <f>M130*0.3</f>
        <v>252.60551868254933</v>
      </c>
      <c r="N140" s="455">
        <f>N130*0.3</f>
        <v>166.26288207335588</v>
      </c>
      <c r="O140" s="455">
        <f t="shared" ref="O140:Z140" si="132">O130*0.5</f>
        <v>209.57503021354921</v>
      </c>
      <c r="P140" s="455">
        <f t="shared" si="132"/>
        <v>185.3645390256969</v>
      </c>
      <c r="Q140" s="455">
        <f t="shared" si="132"/>
        <v>164.04762453894952</v>
      </c>
      <c r="R140" s="455">
        <f t="shared" si="132"/>
        <v>145.27338890059858</v>
      </c>
      <c r="S140" s="455">
        <f t="shared" si="132"/>
        <v>128.73374320854188</v>
      </c>
      <c r="T140" s="455">
        <f t="shared" si="132"/>
        <v>114.15817210662901</v>
      </c>
      <c r="U140" s="455">
        <f t="shared" si="132"/>
        <v>101.30913928791946</v>
      </c>
      <c r="V140" s="455">
        <f t="shared" si="132"/>
        <v>89.978055415824457</v>
      </c>
      <c r="W140" s="455">
        <f t="shared" si="132"/>
        <v>79.981739587083993</v>
      </c>
      <c r="X140" s="455">
        <f t="shared" si="132"/>
        <v>71.15931389685413</v>
      </c>
      <c r="Y140" s="455">
        <f t="shared" si="132"/>
        <v>74.530365142077315</v>
      </c>
      <c r="Z140" s="455">
        <f t="shared" si="132"/>
        <v>4.8950869044785277</v>
      </c>
    </row>
    <row r="141" spans="1:26">
      <c r="B141" s="515" t="s">
        <v>1098</v>
      </c>
      <c r="K141" s="455">
        <f>K131*0.1</f>
        <v>0</v>
      </c>
      <c r="L141" s="455">
        <f t="shared" ref="L141:M141" si="133">L131*0.1</f>
        <v>0</v>
      </c>
      <c r="M141" s="455">
        <f t="shared" si="133"/>
        <v>9.2752299451062239</v>
      </c>
      <c r="N141" s="455">
        <f>N131*0.3</f>
        <v>33.252576414671182</v>
      </c>
      <c r="O141" s="455">
        <f t="shared" ref="O141:Z141" si="134">O131*0.5</f>
        <v>75</v>
      </c>
      <c r="P141" s="455">
        <f t="shared" si="134"/>
        <v>87.5</v>
      </c>
      <c r="Q141" s="455">
        <f t="shared" si="134"/>
        <v>100</v>
      </c>
      <c r="R141" s="455">
        <f t="shared" si="134"/>
        <v>75</v>
      </c>
      <c r="S141" s="455">
        <f t="shared" si="134"/>
        <v>50</v>
      </c>
      <c r="T141" s="455">
        <f t="shared" si="134"/>
        <v>50</v>
      </c>
      <c r="U141" s="455">
        <f t="shared" si="134"/>
        <v>50</v>
      </c>
      <c r="V141" s="455">
        <f t="shared" si="134"/>
        <v>50</v>
      </c>
      <c r="W141" s="455">
        <f t="shared" si="134"/>
        <v>50</v>
      </c>
      <c r="X141" s="455">
        <f t="shared" si="134"/>
        <v>50</v>
      </c>
      <c r="Y141" s="455">
        <f t="shared" si="134"/>
        <v>50</v>
      </c>
      <c r="Z141" s="455">
        <f t="shared" si="134"/>
        <v>2.5</v>
      </c>
    </row>
  </sheetData>
  <mergeCells count="4">
    <mergeCell ref="E1:F1"/>
    <mergeCell ref="H1:J1"/>
    <mergeCell ref="L44:M44"/>
    <mergeCell ref="J44:K44"/>
  </mergeCells>
  <phoneticPr fontId="21" type="noConversion"/>
  <dataValidations disablePrompts="1" count="1">
    <dataValidation showDropDown="1" showInputMessage="1" showErrorMessage="1" sqref="E1:F1"/>
  </dataValidations>
  <pageMargins left="0.7" right="0.7" top="0.75" bottom="0.75" header="0.3" footer="0.3"/>
  <pageSetup scale="31"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S118"/>
  <sheetViews>
    <sheetView zoomScale="115" zoomScaleNormal="115" workbookViewId="0">
      <pane xSplit="2" ySplit="3" topLeftCell="E31" activePane="bottomRight" state="frozen"/>
      <selection pane="topRight" activeCell="C1" sqref="C1"/>
      <selection pane="bottomLeft" activeCell="A4" sqref="A4"/>
      <selection pane="bottomRight" activeCell="N47" sqref="N47"/>
    </sheetView>
  </sheetViews>
  <sheetFormatPr defaultRowHeight="12.75" outlineLevelRow="2"/>
  <cols>
    <col min="1" max="1" width="2.42578125" style="454" customWidth="1"/>
    <col min="2" max="2" width="27.5703125" style="319" bestFit="1" customWidth="1"/>
    <col min="3" max="10" width="9.140625" style="319"/>
    <col min="11" max="11" width="9.85546875" style="319" bestFit="1" customWidth="1"/>
    <col min="12" max="16384" width="9.140625" style="319"/>
  </cols>
  <sheetData>
    <row r="1" spans="1:45">
      <c r="A1" s="214"/>
      <c r="B1" s="215" t="s">
        <v>602</v>
      </c>
      <c r="C1" s="213"/>
      <c r="D1" s="213"/>
      <c r="E1" s="1011">
        <f>DCF!C25</f>
        <v>2</v>
      </c>
      <c r="F1" s="1011"/>
      <c r="G1" s="213"/>
      <c r="H1" s="1010" t="s">
        <v>603</v>
      </c>
      <c r="I1" s="1010"/>
      <c r="J1" s="1010"/>
      <c r="K1" s="213"/>
      <c r="L1" s="213"/>
      <c r="M1" s="213"/>
      <c r="N1" s="213"/>
      <c r="O1" s="213"/>
      <c r="P1" s="213"/>
      <c r="Q1" s="213"/>
      <c r="R1" s="213"/>
      <c r="S1" s="213"/>
      <c r="T1" s="213"/>
      <c r="U1" s="213"/>
      <c r="V1" s="213"/>
      <c r="W1" s="213"/>
      <c r="X1" s="213"/>
      <c r="Y1" s="213"/>
      <c r="Z1" s="213"/>
      <c r="AA1" s="213"/>
      <c r="AB1" s="213"/>
      <c r="AC1" s="213"/>
      <c r="AD1" s="213"/>
      <c r="AE1" s="213"/>
      <c r="AF1" s="213"/>
      <c r="AG1" s="213"/>
      <c r="AH1" s="213"/>
      <c r="AI1" s="213"/>
      <c r="AJ1" s="213"/>
      <c r="AK1" s="213"/>
      <c r="AL1" s="213"/>
      <c r="AM1" s="213"/>
      <c r="AN1" s="213"/>
      <c r="AO1" s="213"/>
      <c r="AP1" s="213"/>
      <c r="AQ1" s="213"/>
    </row>
    <row r="2" spans="1:45">
      <c r="A2" s="451">
        <v>1</v>
      </c>
    </row>
    <row r="3" spans="1:45" ht="13.5" thickBot="1">
      <c r="A3" s="451">
        <v>2</v>
      </c>
      <c r="B3" s="452"/>
      <c r="C3" s="452">
        <v>2007</v>
      </c>
      <c r="D3" s="452">
        <f>C3+1</f>
        <v>2008</v>
      </c>
      <c r="E3" s="452">
        <f t="shared" ref="E3:P3" si="0">D3+1</f>
        <v>2009</v>
      </c>
      <c r="F3" s="452">
        <f t="shared" si="0"/>
        <v>2010</v>
      </c>
      <c r="G3" s="452">
        <f t="shared" si="0"/>
        <v>2011</v>
      </c>
      <c r="H3" s="452">
        <f t="shared" si="0"/>
        <v>2012</v>
      </c>
      <c r="I3" s="452">
        <f t="shared" si="0"/>
        <v>2013</v>
      </c>
      <c r="J3" s="452">
        <f t="shared" si="0"/>
        <v>2014</v>
      </c>
      <c r="K3" s="452">
        <f t="shared" si="0"/>
        <v>2015</v>
      </c>
      <c r="L3" s="452">
        <f t="shared" si="0"/>
        <v>2016</v>
      </c>
      <c r="M3" s="452">
        <f t="shared" si="0"/>
        <v>2017</v>
      </c>
      <c r="N3" s="452">
        <f t="shared" si="0"/>
        <v>2018</v>
      </c>
      <c r="O3" s="452">
        <f t="shared" si="0"/>
        <v>2019</v>
      </c>
      <c r="P3" s="452">
        <f t="shared" si="0"/>
        <v>2020</v>
      </c>
      <c r="Q3" s="452">
        <f t="shared" ref="Q3:Z3" si="1">P3+1</f>
        <v>2021</v>
      </c>
      <c r="R3" s="452">
        <f t="shared" si="1"/>
        <v>2022</v>
      </c>
      <c r="S3" s="452">
        <f t="shared" si="1"/>
        <v>2023</v>
      </c>
      <c r="T3" s="452">
        <f t="shared" si="1"/>
        <v>2024</v>
      </c>
      <c r="U3" s="452">
        <f t="shared" si="1"/>
        <v>2025</v>
      </c>
      <c r="V3" s="452">
        <f t="shared" si="1"/>
        <v>2026</v>
      </c>
      <c r="W3" s="452">
        <f t="shared" si="1"/>
        <v>2027</v>
      </c>
      <c r="X3" s="452">
        <f t="shared" si="1"/>
        <v>2028</v>
      </c>
      <c r="Y3" s="452">
        <f t="shared" si="1"/>
        <v>2029</v>
      </c>
      <c r="Z3" s="452">
        <f t="shared" si="1"/>
        <v>2030</v>
      </c>
    </row>
    <row r="4" spans="1:45">
      <c r="A4" s="451">
        <v>3</v>
      </c>
      <c r="B4" s="453" t="s">
        <v>592</v>
      </c>
      <c r="C4" s="453"/>
      <c r="D4" s="453"/>
      <c r="E4" s="453"/>
      <c r="F4" s="453"/>
      <c r="G4" s="453"/>
      <c r="H4" s="453"/>
      <c r="I4" s="453"/>
      <c r="J4" s="453"/>
      <c r="K4" s="453"/>
      <c r="L4" s="453"/>
      <c r="M4" s="453"/>
      <c r="N4" s="453"/>
      <c r="O4" s="453"/>
      <c r="P4" s="453"/>
      <c r="Q4" s="453"/>
      <c r="R4" s="453"/>
      <c r="S4" s="453"/>
      <c r="T4" s="453"/>
      <c r="U4" s="453"/>
      <c r="V4" s="453"/>
      <c r="W4" s="453"/>
      <c r="X4" s="453"/>
      <c r="Y4" s="453"/>
      <c r="Z4" s="453"/>
    </row>
    <row r="5" spans="1:45">
      <c r="B5" s="319" t="s">
        <v>571</v>
      </c>
      <c r="C5" s="455">
        <v>313000</v>
      </c>
      <c r="D5" s="455">
        <f>C5*(1+D6)</f>
        <v>313626</v>
      </c>
      <c r="E5" s="455">
        <f t="shared" ref="E5:O5" si="2">D5*(1+E6)</f>
        <v>314253.25199999998</v>
      </c>
      <c r="F5" s="455">
        <f t="shared" si="2"/>
        <v>314881.75850399997</v>
      </c>
      <c r="G5" s="455">
        <f t="shared" si="2"/>
        <v>315511.52202100796</v>
      </c>
      <c r="H5" s="455">
        <f t="shared" si="2"/>
        <v>316142.54506504996</v>
      </c>
      <c r="I5" s="455">
        <f t="shared" si="2"/>
        <v>316774.83015518007</v>
      </c>
      <c r="J5" s="455">
        <f t="shared" si="2"/>
        <v>317408.37981549045</v>
      </c>
      <c r="K5" s="455">
        <f t="shared" si="2"/>
        <v>318043.19657512143</v>
      </c>
      <c r="L5" s="455">
        <f t="shared" si="2"/>
        <v>318679.2829682717</v>
      </c>
      <c r="M5" s="455">
        <f t="shared" si="2"/>
        <v>319316.64153420826</v>
      </c>
      <c r="N5" s="455">
        <f t="shared" si="2"/>
        <v>319955.27481727669</v>
      </c>
      <c r="O5" s="455">
        <f t="shared" si="2"/>
        <v>320595.18536691123</v>
      </c>
      <c r="P5" s="455">
        <f>O5*(1+P6)</f>
        <v>321236.37573764508</v>
      </c>
      <c r="Q5" s="455">
        <f t="shared" ref="Q5:Z5" si="3">P5*(1+Q6)</f>
        <v>321878.84848912037</v>
      </c>
      <c r="R5" s="455">
        <f t="shared" si="3"/>
        <v>322522.60618609859</v>
      </c>
      <c r="S5" s="455">
        <f t="shared" si="3"/>
        <v>323167.6513984708</v>
      </c>
      <c r="T5" s="455">
        <f t="shared" si="3"/>
        <v>323813.98670126771</v>
      </c>
      <c r="U5" s="455">
        <f t="shared" si="3"/>
        <v>324461.61467467027</v>
      </c>
      <c r="V5" s="455">
        <f t="shared" si="3"/>
        <v>325110.53790401964</v>
      </c>
      <c r="W5" s="455">
        <f t="shared" si="3"/>
        <v>325760.75897982769</v>
      </c>
      <c r="X5" s="455">
        <f t="shared" si="3"/>
        <v>326412.28049778735</v>
      </c>
      <c r="Y5" s="455">
        <f t="shared" si="3"/>
        <v>327065.10505878291</v>
      </c>
      <c r="Z5" s="455">
        <f t="shared" si="3"/>
        <v>327719.23526890046</v>
      </c>
    </row>
    <row r="6" spans="1:45" s="458" customFormat="1">
      <c r="A6" s="456"/>
      <c r="B6" s="457" t="s">
        <v>531</v>
      </c>
      <c r="D6" s="459">
        <v>2E-3</v>
      </c>
      <c r="E6" s="460">
        <f>D6</f>
        <v>2E-3</v>
      </c>
      <c r="F6" s="460">
        <f t="shared" ref="F6:P6" si="4">E6</f>
        <v>2E-3</v>
      </c>
      <c r="G6" s="460">
        <f t="shared" si="4"/>
        <v>2E-3</v>
      </c>
      <c r="H6" s="460">
        <f t="shared" si="4"/>
        <v>2E-3</v>
      </c>
      <c r="I6" s="460">
        <f t="shared" si="4"/>
        <v>2E-3</v>
      </c>
      <c r="J6" s="460">
        <f t="shared" si="4"/>
        <v>2E-3</v>
      </c>
      <c r="K6" s="460">
        <f t="shared" si="4"/>
        <v>2E-3</v>
      </c>
      <c r="L6" s="460">
        <f t="shared" si="4"/>
        <v>2E-3</v>
      </c>
      <c r="M6" s="460">
        <f t="shared" si="4"/>
        <v>2E-3</v>
      </c>
      <c r="N6" s="460">
        <f t="shared" si="4"/>
        <v>2E-3</v>
      </c>
      <c r="O6" s="460">
        <f t="shared" si="4"/>
        <v>2E-3</v>
      </c>
      <c r="P6" s="460">
        <f t="shared" si="4"/>
        <v>2E-3</v>
      </c>
      <c r="Q6" s="460">
        <f t="shared" ref="Q6:Z6" si="5">P6</f>
        <v>2E-3</v>
      </c>
      <c r="R6" s="460">
        <f t="shared" si="5"/>
        <v>2E-3</v>
      </c>
      <c r="S6" s="460">
        <f t="shared" si="5"/>
        <v>2E-3</v>
      </c>
      <c r="T6" s="460">
        <f t="shared" si="5"/>
        <v>2E-3</v>
      </c>
      <c r="U6" s="460">
        <f t="shared" si="5"/>
        <v>2E-3</v>
      </c>
      <c r="V6" s="460">
        <f t="shared" si="5"/>
        <v>2E-3</v>
      </c>
      <c r="W6" s="460">
        <f t="shared" si="5"/>
        <v>2E-3</v>
      </c>
      <c r="X6" s="460">
        <f t="shared" si="5"/>
        <v>2E-3</v>
      </c>
      <c r="Y6" s="460">
        <f t="shared" si="5"/>
        <v>2E-3</v>
      </c>
      <c r="Z6" s="460">
        <f t="shared" si="5"/>
        <v>2E-3</v>
      </c>
    </row>
    <row r="8" spans="1:45">
      <c r="B8" s="461" t="s">
        <v>575</v>
      </c>
      <c r="C8" s="461"/>
      <c r="D8" s="462"/>
      <c r="E8" s="461"/>
      <c r="F8" s="461"/>
      <c r="G8" s="461"/>
      <c r="H8" s="461"/>
      <c r="I8" s="461"/>
      <c r="J8" s="461"/>
      <c r="K8" s="461"/>
      <c r="L8" s="461"/>
      <c r="M8" s="461"/>
      <c r="N8" s="461"/>
      <c r="O8" s="461"/>
      <c r="P8" s="461"/>
      <c r="Q8" s="461"/>
      <c r="R8" s="461"/>
      <c r="S8" s="461"/>
      <c r="T8" s="461"/>
      <c r="U8" s="461"/>
      <c r="V8" s="461"/>
      <c r="W8" s="461"/>
      <c r="X8" s="461"/>
      <c r="Y8" s="461"/>
      <c r="Z8" s="461"/>
      <c r="AA8" s="211"/>
      <c r="AB8" s="211"/>
      <c r="AC8" s="211"/>
      <c r="AD8" s="211"/>
      <c r="AE8" s="211"/>
      <c r="AF8" s="211"/>
      <c r="AG8" s="211"/>
      <c r="AH8" s="211"/>
      <c r="AI8" s="211"/>
      <c r="AJ8" s="211"/>
      <c r="AK8" s="211"/>
      <c r="AL8" s="211"/>
      <c r="AM8" s="211"/>
      <c r="AN8" s="211"/>
      <c r="AO8" s="211"/>
      <c r="AP8" s="211"/>
      <c r="AQ8" s="211"/>
      <c r="AR8" s="211"/>
      <c r="AS8" s="211"/>
    </row>
    <row r="9" spans="1:45">
      <c r="B9" s="319" t="s">
        <v>532</v>
      </c>
      <c r="C9" s="463">
        <f>C10/C5</f>
        <v>9.4695479722420178E-3</v>
      </c>
      <c r="D9" s="463">
        <f t="shared" ref="D9:Z9" si="6">D10/D5</f>
        <v>9.3361878356963725E-3</v>
      </c>
      <c r="E9" s="463">
        <f t="shared" si="6"/>
        <v>9.2014173845526379E-3</v>
      </c>
      <c r="F9" s="463">
        <f t="shared" si="6"/>
        <v>9.0652401252317698E-3</v>
      </c>
      <c r="G9" s="463">
        <f t="shared" si="6"/>
        <v>8.9310316870341664E-3</v>
      </c>
      <c r="H9" s="463">
        <f t="shared" si="6"/>
        <v>8.7909209746576539E-3</v>
      </c>
      <c r="I9" s="463">
        <f t="shared" si="6"/>
        <v>8.5928544217561739E-3</v>
      </c>
      <c r="J9" s="463">
        <f t="shared" si="6"/>
        <v>8.4018109635979488E-3</v>
      </c>
      <c r="K9" s="463">
        <f t="shared" si="6"/>
        <v>8.0909970839699637E-3</v>
      </c>
      <c r="L9" s="463">
        <f t="shared" si="6"/>
        <v>7.604789352998363E-3</v>
      </c>
      <c r="M9" s="463">
        <f t="shared" si="6"/>
        <v>7.0636415863971807E-3</v>
      </c>
      <c r="N9" s="463">
        <f t="shared" si="6"/>
        <v>6.5840929695008665E-3</v>
      </c>
      <c r="O9" s="463">
        <f t="shared" si="6"/>
        <v>6.1608176496012971E-3</v>
      </c>
      <c r="P9" s="463">
        <f t="shared" si="6"/>
        <v>5.7832312261410709E-3</v>
      </c>
      <c r="Q9" s="463">
        <f t="shared" si="6"/>
        <v>5.4312944329120713E-3</v>
      </c>
      <c r="R9" s="463">
        <f t="shared" si="6"/>
        <v>5.102289337019162E-3</v>
      </c>
      <c r="S9" s="463">
        <f t="shared" si="6"/>
        <v>4.7937732750892347E-3</v>
      </c>
      <c r="T9" s="463">
        <f t="shared" si="6"/>
        <v>4.5035508546579072E-3</v>
      </c>
      <c r="U9" s="463">
        <f t="shared" si="6"/>
        <v>4.2296488047274218E-3</v>
      </c>
      <c r="V9" s="463">
        <f t="shared" si="6"/>
        <v>3.9702933854870682E-3</v>
      </c>
      <c r="W9" s="463">
        <f t="shared" si="6"/>
        <v>3.723890096708479E-3</v>
      </c>
      <c r="X9" s="463">
        <f t="shared" si="6"/>
        <v>3.4890054508441752E-3</v>
      </c>
      <c r="Y9" s="463">
        <f t="shared" si="6"/>
        <v>3.2643506006744547E-3</v>
      </c>
      <c r="Z9" s="463">
        <f t="shared" si="6"/>
        <v>3.0312463481067605E-3</v>
      </c>
    </row>
    <row r="10" spans="1:45">
      <c r="B10" s="319" t="s">
        <v>591</v>
      </c>
      <c r="C10" s="455">
        <f t="shared" ref="C10:H10" si="7">D10-C11+C12+C13</f>
        <v>2963.9685153117516</v>
      </c>
      <c r="D10" s="455">
        <f t="shared" si="7"/>
        <v>2928.0712461581106</v>
      </c>
      <c r="E10" s="455">
        <f t="shared" si="7"/>
        <v>2891.5753361050006</v>
      </c>
      <c r="F10" s="455">
        <f t="shared" si="7"/>
        <v>2854.4787518940007</v>
      </c>
      <c r="G10" s="455">
        <f t="shared" si="7"/>
        <v>2817.8434007940004</v>
      </c>
      <c r="H10" s="455">
        <f t="shared" si="7"/>
        <v>2779.184130394</v>
      </c>
      <c r="I10" s="464">
        <f>268+262+1500+476+216</f>
        <v>2722</v>
      </c>
      <c r="J10" s="455">
        <f>I10+I11-I12-I13</f>
        <v>2666.8052054716495</v>
      </c>
      <c r="K10" s="455">
        <f t="shared" ref="K10:P10" si="8">J10+J11-J12-J13</f>
        <v>2573.2865760657937</v>
      </c>
      <c r="L10" s="455">
        <f t="shared" si="8"/>
        <v>2423.4888181382653</v>
      </c>
      <c r="M10" s="455">
        <f t="shared" si="8"/>
        <v>2255.5383083697147</v>
      </c>
      <c r="N10" s="455">
        <f t="shared" si="8"/>
        <v>2106.6152754791492</v>
      </c>
      <c r="O10" s="455">
        <f t="shared" si="8"/>
        <v>1975.1284763856661</v>
      </c>
      <c r="P10" s="455">
        <f t="shared" si="8"/>
        <v>1857.7842391383349</v>
      </c>
      <c r="Q10" s="455">
        <f t="shared" ref="Q10:Z10" si="9">P10+P11-P12-P13</f>
        <v>1748.2187978711077</v>
      </c>
      <c r="R10" s="455">
        <f t="shared" si="9"/>
        <v>1645.6036544909612</v>
      </c>
      <c r="S10" s="455">
        <f t="shared" si="9"/>
        <v>1549.1924506473433</v>
      </c>
      <c r="T10" s="455">
        <f t="shared" si="9"/>
        <v>1458.3127565586783</v>
      </c>
      <c r="U10" s="455">
        <f t="shared" si="9"/>
        <v>1372.3586806886485</v>
      </c>
      <c r="V10" s="455">
        <f t="shared" si="9"/>
        <v>1290.7842181924721</v>
      </c>
      <c r="W10" s="455">
        <f t="shared" si="9"/>
        <v>1213.097264261218</v>
      </c>
      <c r="X10" s="455">
        <f t="shared" si="9"/>
        <v>1138.8542258792579</v>
      </c>
      <c r="Y10" s="455">
        <f t="shared" si="9"/>
        <v>1067.6551721582916</v>
      </c>
      <c r="Z10" s="455">
        <f t="shared" si="9"/>
        <v>993.39773511319481</v>
      </c>
      <c r="AB10" s="319" t="s">
        <v>534</v>
      </c>
    </row>
    <row r="11" spans="1:45">
      <c r="B11" s="465" t="s">
        <v>535</v>
      </c>
      <c r="C11" s="466">
        <f t="shared" ref="C11:H11" si="10">D11*1.01</f>
        <v>20.0627308463589</v>
      </c>
      <c r="D11" s="466">
        <f t="shared" si="10"/>
        <v>19.864089946890001</v>
      </c>
      <c r="E11" s="466">
        <f t="shared" si="10"/>
        <v>19.667415789</v>
      </c>
      <c r="F11" s="466">
        <f t="shared" si="10"/>
        <v>19.472688899999998</v>
      </c>
      <c r="G11" s="466">
        <f t="shared" si="10"/>
        <v>19.279889999999998</v>
      </c>
      <c r="H11" s="466">
        <f t="shared" si="10"/>
        <v>19.088999999999999</v>
      </c>
      <c r="I11" s="467">
        <f>30*0.63</f>
        <v>18.899999999999999</v>
      </c>
      <c r="J11" s="466">
        <f t="shared" ref="J11:P11" si="11">I11*0.99</f>
        <v>18.710999999999999</v>
      </c>
      <c r="K11" s="466">
        <f t="shared" si="11"/>
        <v>18.523889999999998</v>
      </c>
      <c r="L11" s="466">
        <f t="shared" si="11"/>
        <v>18.338651099999996</v>
      </c>
      <c r="M11" s="466">
        <f t="shared" si="11"/>
        <v>18.155264588999998</v>
      </c>
      <c r="N11" s="466">
        <f t="shared" si="11"/>
        <v>17.973711943109997</v>
      </c>
      <c r="O11" s="466">
        <f t="shared" si="11"/>
        <v>17.793974823678898</v>
      </c>
      <c r="P11" s="466">
        <f t="shared" si="11"/>
        <v>17.61603507544211</v>
      </c>
      <c r="Q11" s="466">
        <f t="shared" ref="Q11:Z11" si="12">P11*0.99</f>
        <v>17.439874724687687</v>
      </c>
      <c r="R11" s="466">
        <f t="shared" si="12"/>
        <v>17.265475977440811</v>
      </c>
      <c r="S11" s="466">
        <f t="shared" si="12"/>
        <v>17.092821217666405</v>
      </c>
      <c r="T11" s="466">
        <f t="shared" si="12"/>
        <v>16.921893005489739</v>
      </c>
      <c r="U11" s="466">
        <f t="shared" si="12"/>
        <v>16.752674075434843</v>
      </c>
      <c r="V11" s="466">
        <f t="shared" si="12"/>
        <v>16.585147334680496</v>
      </c>
      <c r="W11" s="466">
        <f t="shared" si="12"/>
        <v>16.419295861333691</v>
      </c>
      <c r="X11" s="466">
        <f t="shared" si="12"/>
        <v>16.255102902720353</v>
      </c>
      <c r="Y11" s="466">
        <f t="shared" si="12"/>
        <v>16.09255187369315</v>
      </c>
      <c r="Z11" s="466">
        <f t="shared" si="12"/>
        <v>15.931626354956219</v>
      </c>
      <c r="AB11" s="319" t="s">
        <v>572</v>
      </c>
    </row>
    <row r="12" spans="1:45">
      <c r="B12" s="465" t="s">
        <v>537</v>
      </c>
      <c r="C12" s="468">
        <v>40</v>
      </c>
      <c r="D12" s="466">
        <f>C12*1.01</f>
        <v>40.4</v>
      </c>
      <c r="E12" s="466">
        <f t="shared" ref="E12:O12" si="13">D12*1.01</f>
        <v>40.804000000000002</v>
      </c>
      <c r="F12" s="466">
        <f t="shared" si="13"/>
        <v>41.212040000000002</v>
      </c>
      <c r="G12" s="466">
        <f t="shared" si="13"/>
        <v>41.624160400000001</v>
      </c>
      <c r="H12" s="466">
        <f t="shared" si="13"/>
        <v>42.040402004000001</v>
      </c>
      <c r="I12" s="466">
        <f t="shared" si="13"/>
        <v>42.460806024040004</v>
      </c>
      <c r="J12" s="466">
        <f t="shared" si="13"/>
        <v>42.885414084280406</v>
      </c>
      <c r="K12" s="466">
        <f t="shared" si="13"/>
        <v>43.314268225123207</v>
      </c>
      <c r="L12" s="466">
        <f t="shared" si="13"/>
        <v>43.747410907374437</v>
      </c>
      <c r="M12" s="466">
        <f t="shared" si="13"/>
        <v>44.184885016448185</v>
      </c>
      <c r="N12" s="466">
        <f t="shared" si="13"/>
        <v>44.626733866612668</v>
      </c>
      <c r="O12" s="466">
        <f t="shared" si="13"/>
        <v>45.073001205278793</v>
      </c>
      <c r="P12" s="466">
        <f>O12*1.01</f>
        <v>45.52373121733158</v>
      </c>
      <c r="Q12" s="466">
        <f t="shared" ref="Q12:Z12" si="14">P12*1.01</f>
        <v>45.978968529504897</v>
      </c>
      <c r="R12" s="466">
        <f t="shared" si="14"/>
        <v>46.438758214799947</v>
      </c>
      <c r="S12" s="466">
        <f t="shared" si="14"/>
        <v>46.903145796947946</v>
      </c>
      <c r="T12" s="466">
        <f t="shared" si="14"/>
        <v>47.372177254917425</v>
      </c>
      <c r="U12" s="466">
        <f t="shared" si="14"/>
        <v>47.845899027466601</v>
      </c>
      <c r="V12" s="466">
        <f t="shared" si="14"/>
        <v>48.324358017741268</v>
      </c>
      <c r="W12" s="466">
        <f t="shared" si="14"/>
        <v>48.807601597918683</v>
      </c>
      <c r="X12" s="466">
        <f t="shared" si="14"/>
        <v>49.295677613897873</v>
      </c>
      <c r="Y12" s="466">
        <f t="shared" si="14"/>
        <v>49.788634390036854</v>
      </c>
      <c r="Z12" s="466">
        <f t="shared" si="14"/>
        <v>50.286520733937223</v>
      </c>
      <c r="AB12" s="319" t="s">
        <v>572</v>
      </c>
    </row>
    <row r="13" spans="1:45">
      <c r="B13" s="465" t="s">
        <v>538</v>
      </c>
      <c r="C13" s="210">
        <f>C36+C37+C38</f>
        <v>15.96</v>
      </c>
      <c r="D13" s="210">
        <f>D36+D37+D38</f>
        <v>15.96</v>
      </c>
      <c r="E13" s="210">
        <f>E36+E37+E38</f>
        <v>15.96</v>
      </c>
      <c r="F13" s="210">
        <f>F36+F37+F38</f>
        <v>14.896000000000001</v>
      </c>
      <c r="G13" s="210">
        <f>G36+G37+G38</f>
        <v>16.315000000000001</v>
      </c>
      <c r="H13" s="210">
        <f t="shared" ref="H13:O13" si="15">H36+H37+H38+H62</f>
        <v>34.232728389999991</v>
      </c>
      <c r="I13" s="210">
        <f t="shared" si="15"/>
        <v>31.633988504310551</v>
      </c>
      <c r="J13" s="210">
        <f t="shared" si="15"/>
        <v>69.344215321574978</v>
      </c>
      <c r="K13" s="210">
        <f t="shared" si="15"/>
        <v>125.00737970240519</v>
      </c>
      <c r="L13" s="210">
        <f t="shared" si="15"/>
        <v>142.54174996117592</v>
      </c>
      <c r="M13" s="210">
        <f t="shared" si="15"/>
        <v>122.89341246311712</v>
      </c>
      <c r="N13" s="210">
        <f t="shared" si="15"/>
        <v>104.83377716998064</v>
      </c>
      <c r="O13" s="210">
        <f t="shared" si="15"/>
        <v>90.065210865731103</v>
      </c>
      <c r="P13" s="210">
        <f>P36+P37+P38+P62</f>
        <v>81.657745125337854</v>
      </c>
      <c r="Q13" s="210">
        <f t="shared" ref="Q13:Z13" si="16">Q36+Q37+Q38+Q62</f>
        <v>74.076049575329392</v>
      </c>
      <c r="R13" s="210">
        <f t="shared" si="16"/>
        <v>67.237921606258652</v>
      </c>
      <c r="S13" s="210">
        <f t="shared" si="16"/>
        <v>61.069369509383449</v>
      </c>
      <c r="T13" s="210">
        <f t="shared" si="16"/>
        <v>55.50379162060198</v>
      </c>
      <c r="U13" s="210">
        <f t="shared" si="16"/>
        <v>50.481237544144747</v>
      </c>
      <c r="V13" s="210">
        <f t="shared" si="16"/>
        <v>45.947743248193163</v>
      </c>
      <c r="W13" s="210">
        <f t="shared" si="16"/>
        <v>41.854732645375158</v>
      </c>
      <c r="X13" s="210">
        <f t="shared" si="16"/>
        <v>38.158479009788934</v>
      </c>
      <c r="Y13" s="210">
        <f t="shared" si="16"/>
        <v>40.561354528753114</v>
      </c>
      <c r="Z13" s="210">
        <f t="shared" si="16"/>
        <v>27.26791375004435</v>
      </c>
    </row>
    <row r="15" spans="1:45">
      <c r="B15" s="319" t="s">
        <v>540</v>
      </c>
      <c r="C15" s="455">
        <f t="shared" ref="C15:H15" si="17">C16*C10</f>
        <v>867.84823905344081</v>
      </c>
      <c r="D15" s="455">
        <f t="shared" si="17"/>
        <v>857.3375397457803</v>
      </c>
      <c r="E15" s="455">
        <f t="shared" si="17"/>
        <v>846.65155873463823</v>
      </c>
      <c r="F15" s="455">
        <f t="shared" si="17"/>
        <v>835.78970068314413</v>
      </c>
      <c r="G15" s="455">
        <f t="shared" si="17"/>
        <v>825.06289141543652</v>
      </c>
      <c r="H15" s="455">
        <f t="shared" si="17"/>
        <v>813.74347976635488</v>
      </c>
      <c r="I15" s="464">
        <f>137+94+304+170+92</f>
        <v>797</v>
      </c>
      <c r="J15" s="455">
        <f t="shared" ref="J15:O15" si="18">J16*J10</f>
        <v>780.83899660576947</v>
      </c>
      <c r="K15" s="455">
        <f t="shared" si="18"/>
        <v>753.45679688627388</v>
      </c>
      <c r="L15" s="455">
        <f t="shared" si="18"/>
        <v>709.59610141667793</v>
      </c>
      <c r="M15" s="455">
        <f t="shared" si="18"/>
        <v>660.42029087827427</v>
      </c>
      <c r="N15" s="455">
        <f t="shared" si="18"/>
        <v>616.81571438533501</v>
      </c>
      <c r="O15" s="455">
        <f t="shared" si="18"/>
        <v>578.31645689910943</v>
      </c>
      <c r="P15" s="455">
        <f>P16*P10</f>
        <v>543.95813320839557</v>
      </c>
      <c r="Q15" s="455">
        <f>Q16*Q10</f>
        <v>511.87743640825596</v>
      </c>
      <c r="R15" s="455">
        <f t="shared" ref="R15:Z15" si="19">R16*R10</f>
        <v>481.83178274404702</v>
      </c>
      <c r="S15" s="455">
        <f t="shared" si="19"/>
        <v>453.60263892943885</v>
      </c>
      <c r="T15" s="455">
        <f t="shared" si="19"/>
        <v>426.99311791964237</v>
      </c>
      <c r="U15" s="455">
        <f t="shared" si="19"/>
        <v>401.82581502896869</v>
      </c>
      <c r="V15" s="455">
        <f t="shared" si="19"/>
        <v>377.94086035980905</v>
      </c>
      <c r="W15" s="455">
        <f t="shared" si="19"/>
        <v>355.19416591336909</v>
      </c>
      <c r="X15" s="455">
        <f t="shared" si="19"/>
        <v>333.45584791541825</v>
      </c>
      <c r="Y15" s="455">
        <f t="shared" si="19"/>
        <v>312.60880683694285</v>
      </c>
      <c r="Z15" s="455">
        <f t="shared" si="19"/>
        <v>290.86627291888914</v>
      </c>
      <c r="AB15" s="319" t="s">
        <v>541</v>
      </c>
    </row>
    <row r="16" spans="1:45">
      <c r="B16" s="319" t="s">
        <v>539</v>
      </c>
      <c r="C16" s="469">
        <f t="shared" ref="C16:H16" si="20">D16</f>
        <v>0.29279941219691402</v>
      </c>
      <c r="D16" s="469">
        <f t="shared" si="20"/>
        <v>0.29279941219691402</v>
      </c>
      <c r="E16" s="469">
        <f t="shared" si="20"/>
        <v>0.29279941219691402</v>
      </c>
      <c r="F16" s="469">
        <f t="shared" si="20"/>
        <v>0.29279941219691402</v>
      </c>
      <c r="G16" s="469">
        <f t="shared" si="20"/>
        <v>0.29279941219691402</v>
      </c>
      <c r="H16" s="469">
        <f t="shared" si="20"/>
        <v>0.29279941219691402</v>
      </c>
      <c r="I16" s="470">
        <f>I15/I10</f>
        <v>0.29279941219691402</v>
      </c>
      <c r="J16" s="469">
        <f t="shared" ref="J16:Q16" si="21">I16</f>
        <v>0.29279941219691402</v>
      </c>
      <c r="K16" s="469">
        <f t="shared" si="21"/>
        <v>0.29279941219691402</v>
      </c>
      <c r="L16" s="469">
        <f t="shared" si="21"/>
        <v>0.29279941219691402</v>
      </c>
      <c r="M16" s="469">
        <f t="shared" si="21"/>
        <v>0.29279941219691402</v>
      </c>
      <c r="N16" s="469">
        <f t="shared" si="21"/>
        <v>0.29279941219691402</v>
      </c>
      <c r="O16" s="469">
        <f t="shared" si="21"/>
        <v>0.29279941219691402</v>
      </c>
      <c r="P16" s="469">
        <f t="shared" si="21"/>
        <v>0.29279941219691402</v>
      </c>
      <c r="Q16" s="469">
        <f t="shared" si="21"/>
        <v>0.29279941219691402</v>
      </c>
      <c r="R16" s="469">
        <f t="shared" ref="R16:Z16" si="22">Q16</f>
        <v>0.29279941219691402</v>
      </c>
      <c r="S16" s="469">
        <f t="shared" si="22"/>
        <v>0.29279941219691402</v>
      </c>
      <c r="T16" s="469">
        <f t="shared" si="22"/>
        <v>0.29279941219691402</v>
      </c>
      <c r="U16" s="469">
        <f t="shared" si="22"/>
        <v>0.29279941219691402</v>
      </c>
      <c r="V16" s="469">
        <f t="shared" si="22"/>
        <v>0.29279941219691402</v>
      </c>
      <c r="W16" s="469">
        <f t="shared" si="22"/>
        <v>0.29279941219691402</v>
      </c>
      <c r="X16" s="469">
        <f t="shared" si="22"/>
        <v>0.29279941219691402</v>
      </c>
      <c r="Y16" s="469">
        <f t="shared" si="22"/>
        <v>0.29279941219691402</v>
      </c>
      <c r="Z16" s="469">
        <f t="shared" si="22"/>
        <v>0.29279941219691402</v>
      </c>
    </row>
    <row r="18" spans="1:28">
      <c r="B18" s="319" t="s">
        <v>543</v>
      </c>
      <c r="C18" s="464">
        <v>32</v>
      </c>
      <c r="D18" s="464">
        <v>32</v>
      </c>
      <c r="E18" s="464">
        <v>32</v>
      </c>
      <c r="F18" s="464">
        <v>30</v>
      </c>
      <c r="G18" s="464">
        <v>27</v>
      </c>
      <c r="H18" s="468">
        <v>49</v>
      </c>
      <c r="I18" s="455">
        <f>I19*I15</f>
        <v>43.835000000000001</v>
      </c>
      <c r="J18" s="455">
        <f t="shared" ref="J18:O18" si="23">J25+J59</f>
        <v>87.458953762099981</v>
      </c>
      <c r="K18" s="455">
        <f t="shared" si="23"/>
        <v>139.42044670871198</v>
      </c>
      <c r="L18" s="455">
        <f t="shared" si="23"/>
        <v>150.87972217908438</v>
      </c>
      <c r="M18" s="455">
        <f t="shared" si="23"/>
        <v>130.17323607013014</v>
      </c>
      <c r="N18" s="455">
        <f t="shared" si="23"/>
        <v>110.74447463331182</v>
      </c>
      <c r="O18" s="455">
        <f t="shared" si="23"/>
        <v>95.195581517479027</v>
      </c>
      <c r="P18" s="455">
        <f>P25+P59</f>
        <v>86.341640417042058</v>
      </c>
      <c r="Q18" s="455">
        <f>Q25+Q59</f>
        <v>78.356453000366002</v>
      </c>
      <c r="R18" s="455">
        <f t="shared" ref="R18:Z18" si="24">R25+R59</f>
        <v>71.153559909731854</v>
      </c>
      <c r="S18" s="455">
        <f t="shared" si="24"/>
        <v>64.655137322926066</v>
      </c>
      <c r="T18" s="455">
        <f t="shared" si="24"/>
        <v>58.791133659696662</v>
      </c>
      <c r="U18" s="455">
        <f t="shared" si="24"/>
        <v>53.498492611063618</v>
      </c>
      <c r="V18" s="455">
        <f t="shared" si="24"/>
        <v>48.720453859360461</v>
      </c>
      <c r="W18" s="455">
        <f t="shared" si="24"/>
        <v>44.405923720092545</v>
      </c>
      <c r="X18" s="455">
        <f t="shared" si="24"/>
        <v>40.508908713584717</v>
      </c>
      <c r="Y18" s="455">
        <f t="shared" si="24"/>
        <v>43.367710531051891</v>
      </c>
      <c r="Z18" s="455">
        <f t="shared" si="24"/>
        <v>28.767266893687307</v>
      </c>
      <c r="AB18" s="319" t="s">
        <v>541</v>
      </c>
    </row>
    <row r="19" spans="1:28">
      <c r="B19" s="319" t="s">
        <v>594</v>
      </c>
      <c r="C19" s="209">
        <f t="shared" ref="C19:H19" si="25">C18/C15</f>
        <v>3.6872806281086995E-2</v>
      </c>
      <c r="D19" s="209">
        <f t="shared" si="25"/>
        <v>3.7324855749917021E-2</v>
      </c>
      <c r="E19" s="209">
        <f t="shared" si="25"/>
        <v>3.7795950022020332E-2</v>
      </c>
      <c r="F19" s="209">
        <f t="shared" si="25"/>
        <v>3.5894196800318419E-2</v>
      </c>
      <c r="G19" s="209">
        <f t="shared" si="25"/>
        <v>3.272477805138E-2</v>
      </c>
      <c r="H19" s="209">
        <f t="shared" si="25"/>
        <v>6.0215536244995864E-2</v>
      </c>
      <c r="I19" s="517">
        <v>5.5E-2</v>
      </c>
      <c r="J19" s="209">
        <f t="shared" ref="J19:O19" si="26">J18/J15</f>
        <v>0.11200638562146034</v>
      </c>
      <c r="K19" s="209">
        <f t="shared" si="26"/>
        <v>0.1850410631171942</v>
      </c>
      <c r="L19" s="209">
        <f t="shared" si="26"/>
        <v>0.21262760868874497</v>
      </c>
      <c r="M19" s="209">
        <f t="shared" si="26"/>
        <v>0.19710665748476086</v>
      </c>
      <c r="N19" s="209">
        <f t="shared" si="26"/>
        <v>0.17954223936021174</v>
      </c>
      <c r="O19" s="209">
        <f t="shared" si="26"/>
        <v>0.16460811443601445</v>
      </c>
      <c r="P19" s="209">
        <f>P18/P15</f>
        <v>0.15872846667036367</v>
      </c>
      <c r="Q19" s="209">
        <f>Q18/Q15</f>
        <v>0.15307659104917368</v>
      </c>
      <c r="R19" s="209">
        <f t="shared" ref="R19:Z19" si="27">R18/R15</f>
        <v>0.14767303124860323</v>
      </c>
      <c r="S19" s="209">
        <f t="shared" si="27"/>
        <v>0.1425369514505484</v>
      </c>
      <c r="T19" s="209">
        <f t="shared" si="27"/>
        <v>0.13768637290018526</v>
      </c>
      <c r="U19" s="209">
        <f t="shared" si="27"/>
        <v>0.13313851577009</v>
      </c>
      <c r="V19" s="209">
        <f t="shared" si="27"/>
        <v>0.12891025811016407</v>
      </c>
      <c r="W19" s="209">
        <f t="shared" si="27"/>
        <v>0.12501873054672591</v>
      </c>
      <c r="X19" s="209">
        <f t="shared" si="27"/>
        <v>0.12148207616337826</v>
      </c>
      <c r="Y19" s="209">
        <f t="shared" si="27"/>
        <v>0.13872837099459115</v>
      </c>
      <c r="Z19" s="209">
        <f t="shared" si="27"/>
        <v>9.8902037025479866E-2</v>
      </c>
    </row>
    <row r="21" spans="1:28">
      <c r="B21" s="471" t="s">
        <v>544</v>
      </c>
      <c r="C21" s="471"/>
      <c r="D21" s="472"/>
      <c r="E21" s="471"/>
      <c r="F21" s="471"/>
      <c r="G21" s="471"/>
      <c r="H21" s="471"/>
      <c r="I21" s="471"/>
      <c r="J21" s="471"/>
      <c r="K21" s="471"/>
      <c r="L21" s="471"/>
      <c r="M21" s="471"/>
      <c r="N21" s="471"/>
      <c r="O21" s="471"/>
      <c r="P21" s="471"/>
      <c r="Q21" s="471"/>
      <c r="R21" s="471"/>
      <c r="S21" s="471"/>
      <c r="T21" s="471"/>
      <c r="U21" s="471"/>
      <c r="V21" s="471"/>
      <c r="W21" s="471"/>
      <c r="X21" s="471"/>
      <c r="Y21" s="471"/>
      <c r="Z21" s="471"/>
    </row>
    <row r="22" spans="1:28" s="480" customFormat="1" ht="12.75" customHeight="1" outlineLevel="1">
      <c r="A22" s="473"/>
      <c r="B22" s="474" t="s">
        <v>601</v>
      </c>
      <c r="C22" s="474"/>
      <c r="D22" s="475"/>
      <c r="E22" s="474"/>
      <c r="F22" s="474"/>
      <c r="G22" s="474"/>
      <c r="H22" s="474"/>
      <c r="I22" s="474"/>
      <c r="J22" s="476"/>
      <c r="K22" s="476">
        <f>K23</f>
        <v>2</v>
      </c>
      <c r="L22" s="476">
        <f>L23</f>
        <v>0.9</v>
      </c>
      <c r="M22" s="476">
        <v>0.8</v>
      </c>
      <c r="N22" s="649">
        <v>0.9</v>
      </c>
      <c r="O22" s="478">
        <f>N22</f>
        <v>0.9</v>
      </c>
      <c r="P22" s="479">
        <f>O22</f>
        <v>0.9</v>
      </c>
      <c r="Q22" s="476">
        <v>0.95</v>
      </c>
      <c r="R22" s="649">
        <f t="shared" ref="R22:Z22" si="28">Q22</f>
        <v>0.95</v>
      </c>
      <c r="S22" s="649">
        <f t="shared" si="28"/>
        <v>0.95</v>
      </c>
      <c r="T22" s="649">
        <f t="shared" si="28"/>
        <v>0.95</v>
      </c>
      <c r="U22" s="649">
        <f t="shared" si="28"/>
        <v>0.95</v>
      </c>
      <c r="V22" s="649">
        <f t="shared" si="28"/>
        <v>0.95</v>
      </c>
      <c r="W22" s="649">
        <f t="shared" si="28"/>
        <v>0.95</v>
      </c>
      <c r="X22" s="649">
        <f t="shared" si="28"/>
        <v>0.95</v>
      </c>
      <c r="Y22" s="649">
        <f t="shared" si="28"/>
        <v>0.95</v>
      </c>
      <c r="Z22" s="649">
        <f t="shared" si="28"/>
        <v>0.95</v>
      </c>
    </row>
    <row r="23" spans="1:28" s="480" customFormat="1" ht="12.75" customHeight="1" outlineLevel="1">
      <c r="A23" s="473"/>
      <c r="B23" s="474" t="s">
        <v>599</v>
      </c>
      <c r="C23" s="474"/>
      <c r="D23" s="481">
        <f t="shared" ref="D23:I23" si="29">D25/C25</f>
        <v>1</v>
      </c>
      <c r="E23" s="481">
        <f t="shared" si="29"/>
        <v>1</v>
      </c>
      <c r="F23" s="481">
        <f t="shared" si="29"/>
        <v>0.93333333333333335</v>
      </c>
      <c r="G23" s="481">
        <f t="shared" si="29"/>
        <v>0.8928571428571429</v>
      </c>
      <c r="H23" s="481">
        <f t="shared" si="29"/>
        <v>1.5918531999999999</v>
      </c>
      <c r="I23" s="481">
        <f t="shared" si="29"/>
        <v>0.94658932112081706</v>
      </c>
      <c r="J23" s="482"/>
      <c r="K23" s="482">
        <v>2</v>
      </c>
      <c r="L23" s="482">
        <v>0.9</v>
      </c>
      <c r="M23" s="482">
        <v>0.85</v>
      </c>
      <c r="N23" s="482">
        <v>0.9</v>
      </c>
      <c r="O23" s="482">
        <v>0.85</v>
      </c>
      <c r="P23" s="482">
        <v>0.9</v>
      </c>
      <c r="Q23" s="483">
        <v>0.9</v>
      </c>
      <c r="R23" s="483">
        <f t="shared" ref="R23:Z24" si="30">Q23</f>
        <v>0.9</v>
      </c>
      <c r="S23" s="483">
        <f t="shared" si="30"/>
        <v>0.9</v>
      </c>
      <c r="T23" s="483">
        <f t="shared" si="30"/>
        <v>0.9</v>
      </c>
      <c r="U23" s="483">
        <f t="shared" si="30"/>
        <v>0.9</v>
      </c>
      <c r="V23" s="483">
        <f t="shared" si="30"/>
        <v>0.9</v>
      </c>
      <c r="W23" s="483">
        <f t="shared" si="30"/>
        <v>0.9</v>
      </c>
      <c r="X23" s="483">
        <f t="shared" si="30"/>
        <v>0.9</v>
      </c>
      <c r="Y23" s="483">
        <f t="shared" si="30"/>
        <v>0.9</v>
      </c>
      <c r="Z23" s="483">
        <f t="shared" si="30"/>
        <v>0.9</v>
      </c>
    </row>
    <row r="24" spans="1:28" s="480" customFormat="1" ht="12.75" customHeight="1" outlineLevel="1">
      <c r="A24" s="473"/>
      <c r="B24" s="474" t="s">
        <v>600</v>
      </c>
      <c r="C24" s="474"/>
      <c r="D24" s="475"/>
      <c r="E24" s="474"/>
      <c r="F24" s="474"/>
      <c r="G24" s="474"/>
      <c r="H24" s="474"/>
      <c r="I24" s="474"/>
      <c r="J24" s="478"/>
      <c r="K24" s="478">
        <f>K23</f>
        <v>2</v>
      </c>
      <c r="L24" s="478">
        <f>L23</f>
        <v>0.9</v>
      </c>
      <c r="M24" s="478">
        <v>0.6</v>
      </c>
      <c r="N24" s="479">
        <v>0.7</v>
      </c>
      <c r="O24" s="479">
        <v>0.8</v>
      </c>
      <c r="P24" s="479">
        <f>O24</f>
        <v>0.8</v>
      </c>
      <c r="Q24" s="479">
        <f>P24</f>
        <v>0.8</v>
      </c>
      <c r="R24" s="479">
        <f t="shared" si="30"/>
        <v>0.8</v>
      </c>
      <c r="S24" s="479">
        <f t="shared" si="30"/>
        <v>0.8</v>
      </c>
      <c r="T24" s="479">
        <f t="shared" si="30"/>
        <v>0.8</v>
      </c>
      <c r="U24" s="479">
        <f t="shared" si="30"/>
        <v>0.8</v>
      </c>
      <c r="V24" s="479">
        <f t="shared" si="30"/>
        <v>0.8</v>
      </c>
      <c r="W24" s="479">
        <f t="shared" si="30"/>
        <v>0.8</v>
      </c>
      <c r="X24" s="479">
        <f t="shared" si="30"/>
        <v>0.8</v>
      </c>
      <c r="Y24" s="479">
        <f t="shared" si="30"/>
        <v>0.8</v>
      </c>
      <c r="Z24" s="479">
        <f t="shared" si="30"/>
        <v>0.8</v>
      </c>
    </row>
    <row r="25" spans="1:28">
      <c r="A25" s="484" t="s">
        <v>578</v>
      </c>
      <c r="B25" s="485" t="s">
        <v>547</v>
      </c>
      <c r="C25" s="491">
        <v>30</v>
      </c>
      <c r="D25" s="491">
        <v>30</v>
      </c>
      <c r="E25" s="491">
        <v>30</v>
      </c>
      <c r="F25" s="491">
        <v>28</v>
      </c>
      <c r="G25" s="491">
        <v>25</v>
      </c>
      <c r="H25" s="491">
        <f>H18-H59</f>
        <v>39.796329999999998</v>
      </c>
      <c r="I25" s="486">
        <f>I18-I59</f>
        <v>37.670780997800001</v>
      </c>
      <c r="J25" s="674">
        <v>75</v>
      </c>
      <c r="K25" s="992">
        <v>130</v>
      </c>
      <c r="L25" s="992">
        <v>135</v>
      </c>
      <c r="M25" s="487">
        <f t="shared" ref="M25:P25" si="31">CHOOSE($E$1,M22*L25,L25*M23,L25*M24)</f>
        <v>114.75</v>
      </c>
      <c r="N25" s="487">
        <f t="shared" si="31"/>
        <v>103.27500000000001</v>
      </c>
      <c r="O25" s="487">
        <f t="shared" si="31"/>
        <v>87.783749999999998</v>
      </c>
      <c r="P25" s="487">
        <f t="shared" si="31"/>
        <v>79.005375000000001</v>
      </c>
      <c r="Q25" s="487">
        <f t="shared" ref="Q25:Z25" si="32">CHOOSE($E$1,Q22*P25,P25*Q23,P25*Q24)</f>
        <v>71.104837500000002</v>
      </c>
      <c r="R25" s="487">
        <f t="shared" si="32"/>
        <v>63.994353750000002</v>
      </c>
      <c r="S25" s="487">
        <f t="shared" si="32"/>
        <v>57.594918375000006</v>
      </c>
      <c r="T25" s="487">
        <f t="shared" si="32"/>
        <v>51.835426537500005</v>
      </c>
      <c r="U25" s="487">
        <f t="shared" si="32"/>
        <v>46.651883883750003</v>
      </c>
      <c r="V25" s="487">
        <f t="shared" si="32"/>
        <v>41.986695495375002</v>
      </c>
      <c r="W25" s="487">
        <f t="shared" si="32"/>
        <v>37.788025945837504</v>
      </c>
      <c r="X25" s="487">
        <f t="shared" si="32"/>
        <v>34.009223351253752</v>
      </c>
      <c r="Y25" s="487">
        <f t="shared" si="32"/>
        <v>30.608301016128376</v>
      </c>
      <c r="Z25" s="487">
        <f t="shared" si="32"/>
        <v>27.547470914515539</v>
      </c>
    </row>
    <row r="26" spans="1:28" s="458" customFormat="1">
      <c r="A26" s="456"/>
      <c r="B26" s="457" t="s">
        <v>545</v>
      </c>
      <c r="C26" s="488">
        <f t="shared" ref="C26:O26" si="33">C25/C10</f>
        <v>1.0121565004830892E-2</v>
      </c>
      <c r="D26" s="488">
        <f t="shared" si="33"/>
        <v>1.0245652334915915E-2</v>
      </c>
      <c r="E26" s="488">
        <f t="shared" si="33"/>
        <v>1.0374967453004525E-2</v>
      </c>
      <c r="F26" s="488">
        <f t="shared" si="33"/>
        <v>9.8091464094526779E-3</v>
      </c>
      <c r="G26" s="488">
        <f t="shared" si="33"/>
        <v>8.8720331275171649E-3</v>
      </c>
      <c r="H26" s="488">
        <f t="shared" si="33"/>
        <v>1.4319429060052291E-2</v>
      </c>
      <c r="I26" s="488">
        <f t="shared" si="33"/>
        <v>1.3839375825789861E-2</v>
      </c>
      <c r="J26" s="488">
        <f t="shared" si="33"/>
        <v>2.8123538924447071E-2</v>
      </c>
      <c r="K26" s="488">
        <f t="shared" si="33"/>
        <v>5.0519052642303205E-2</v>
      </c>
      <c r="L26" s="488">
        <f t="shared" si="33"/>
        <v>5.5704816539532291E-2</v>
      </c>
      <c r="M26" s="488">
        <f t="shared" si="33"/>
        <v>5.0874773252217738E-2</v>
      </c>
      <c r="N26" s="488">
        <f t="shared" si="33"/>
        <v>4.9024138959834575E-2</v>
      </c>
      <c r="O26" s="488">
        <f t="shared" si="33"/>
        <v>4.4444577175373187E-2</v>
      </c>
      <c r="P26" s="488">
        <f>P25/P10</f>
        <v>4.2526668778632627E-2</v>
      </c>
      <c r="Q26" s="488">
        <f t="shared" ref="Q26:Z26" si="34">Q25/Q10</f>
        <v>4.0672733634135427E-2</v>
      </c>
      <c r="R26" s="488">
        <f t="shared" si="34"/>
        <v>3.8888072213108651E-2</v>
      </c>
      <c r="S26" s="488">
        <f t="shared" si="34"/>
        <v>3.7177381254945747E-2</v>
      </c>
      <c r="T26" s="488">
        <f t="shared" si="34"/>
        <v>3.5544794012377069E-2</v>
      </c>
      <c r="U26" s="488">
        <f t="shared" si="34"/>
        <v>3.3993943813828705E-2</v>
      </c>
      <c r="V26" s="488">
        <f t="shared" si="34"/>
        <v>3.2528051477240992E-2</v>
      </c>
      <c r="W26" s="488">
        <f t="shared" si="34"/>
        <v>3.1150038054739652E-2</v>
      </c>
      <c r="X26" s="488">
        <f t="shared" si="34"/>
        <v>2.9862665983433276E-2</v>
      </c>
      <c r="Y26" s="488">
        <f t="shared" si="34"/>
        <v>2.8668714220016309E-2</v>
      </c>
      <c r="Z26" s="488">
        <f t="shared" si="34"/>
        <v>2.7730555386636335E-2</v>
      </c>
    </row>
    <row r="27" spans="1:28" s="458" customFormat="1">
      <c r="A27" s="456"/>
      <c r="B27" s="457" t="s">
        <v>546</v>
      </c>
      <c r="C27" s="488">
        <f t="shared" ref="C27:O27" si="35">C25/C15</f>
        <v>3.4568255888519056E-2</v>
      </c>
      <c r="D27" s="488">
        <f t="shared" si="35"/>
        <v>3.4992052265547205E-2</v>
      </c>
      <c r="E27" s="488">
        <f t="shared" si="35"/>
        <v>3.5433703145644063E-2</v>
      </c>
      <c r="F27" s="488">
        <f t="shared" si="35"/>
        <v>3.3501250346963857E-2</v>
      </c>
      <c r="G27" s="488">
        <f t="shared" si="35"/>
        <v>3.0300720417944446E-2</v>
      </c>
      <c r="H27" s="488">
        <f t="shared" si="35"/>
        <v>4.8905252072098289E-2</v>
      </c>
      <c r="I27" s="488">
        <f t="shared" si="35"/>
        <v>4.7265722707402764E-2</v>
      </c>
      <c r="J27" s="488">
        <f t="shared" si="35"/>
        <v>9.6050530680482971E-2</v>
      </c>
      <c r="K27" s="488">
        <f t="shared" si="35"/>
        <v>0.17253809446969803</v>
      </c>
      <c r="L27" s="488">
        <f t="shared" si="35"/>
        <v>0.19024907229687191</v>
      </c>
      <c r="M27" s="488">
        <f t="shared" si="35"/>
        <v>0.17375298970205355</v>
      </c>
      <c r="N27" s="488">
        <f t="shared" si="35"/>
        <v>0.16743250470347518</v>
      </c>
      <c r="O27" s="488">
        <f t="shared" si="35"/>
        <v>0.15179189343960581</v>
      </c>
      <c r="P27" s="488">
        <f>P25/P15</f>
        <v>0.14524164669440154</v>
      </c>
      <c r="Q27" s="488">
        <f t="shared" ref="Q27:Z27" si="36">Q25/Q15</f>
        <v>0.13890988827116266</v>
      </c>
      <c r="R27" s="488">
        <f t="shared" si="36"/>
        <v>0.13281472090850913</v>
      </c>
      <c r="S27" s="488">
        <f t="shared" si="36"/>
        <v>0.12697218541526015</v>
      </c>
      <c r="T27" s="488">
        <f t="shared" si="36"/>
        <v>0.12139639812006321</v>
      </c>
      <c r="U27" s="488">
        <f t="shared" si="36"/>
        <v>0.11609976795638863</v>
      </c>
      <c r="V27" s="488">
        <f t="shared" si="36"/>
        <v>0.11109329500759095</v>
      </c>
      <c r="W27" s="488">
        <f t="shared" si="36"/>
        <v>0.106386955564619</v>
      </c>
      <c r="X27" s="488">
        <f t="shared" si="36"/>
        <v>0.1019901841993794</v>
      </c>
      <c r="Y27" s="488">
        <f t="shared" si="36"/>
        <v>9.7912471903242648E-2</v>
      </c>
      <c r="Z27" s="488">
        <f t="shared" si="36"/>
        <v>9.4708371094635022E-2</v>
      </c>
    </row>
    <row r="28" spans="1:28">
      <c r="B28" s="319" t="s">
        <v>548</v>
      </c>
      <c r="C28" s="489">
        <f t="shared" ref="C28:O28" si="37">C$25*C31</f>
        <v>18</v>
      </c>
      <c r="D28" s="489">
        <f t="shared" si="37"/>
        <v>18</v>
      </c>
      <c r="E28" s="489">
        <f t="shared" si="37"/>
        <v>18</v>
      </c>
      <c r="F28" s="489">
        <f t="shared" si="37"/>
        <v>16.8</v>
      </c>
      <c r="G28" s="489">
        <f t="shared" si="37"/>
        <v>15</v>
      </c>
      <c r="H28" s="489">
        <f t="shared" si="37"/>
        <v>23.877797999999999</v>
      </c>
      <c r="I28" s="489">
        <f t="shared" si="37"/>
        <v>22.602468598680002</v>
      </c>
      <c r="J28" s="489">
        <f t="shared" si="37"/>
        <v>45</v>
      </c>
      <c r="K28" s="489">
        <f t="shared" si="37"/>
        <v>78</v>
      </c>
      <c r="L28" s="489">
        <f t="shared" si="37"/>
        <v>81</v>
      </c>
      <c r="M28" s="489">
        <f t="shared" si="37"/>
        <v>68.849999999999994</v>
      </c>
      <c r="N28" s="489">
        <f t="shared" si="37"/>
        <v>61.965000000000003</v>
      </c>
      <c r="O28" s="489">
        <f t="shared" si="37"/>
        <v>52.670249999999996</v>
      </c>
      <c r="P28" s="489">
        <f>P$25*P31</f>
        <v>47.403224999999999</v>
      </c>
      <c r="Q28" s="489">
        <f t="shared" ref="Q28:Z28" si="38">Q$25*Q31</f>
        <v>42.662902500000001</v>
      </c>
      <c r="R28" s="489">
        <f t="shared" si="38"/>
        <v>38.396612249999997</v>
      </c>
      <c r="S28" s="489">
        <f t="shared" si="38"/>
        <v>34.556951025000004</v>
      </c>
      <c r="T28" s="489">
        <f t="shared" si="38"/>
        <v>31.101255922500002</v>
      </c>
      <c r="U28" s="489">
        <f t="shared" si="38"/>
        <v>27.991130330250002</v>
      </c>
      <c r="V28" s="489">
        <f t="shared" si="38"/>
        <v>25.192017297225</v>
      </c>
      <c r="W28" s="489">
        <f t="shared" si="38"/>
        <v>22.6728155675025</v>
      </c>
      <c r="X28" s="489">
        <f t="shared" si="38"/>
        <v>20.405534010752252</v>
      </c>
      <c r="Y28" s="489">
        <f t="shared" si="38"/>
        <v>18.364980609677026</v>
      </c>
      <c r="Z28" s="489">
        <f t="shared" si="38"/>
        <v>16.528482548709324</v>
      </c>
      <c r="AB28" s="319" t="s">
        <v>573</v>
      </c>
    </row>
    <row r="29" spans="1:28">
      <c r="B29" s="319" t="s">
        <v>550</v>
      </c>
      <c r="C29" s="466">
        <f t="shared" ref="C29:O29" si="39">C$25*C32</f>
        <v>9.9</v>
      </c>
      <c r="D29" s="466">
        <f t="shared" si="39"/>
        <v>9.9</v>
      </c>
      <c r="E29" s="466">
        <f t="shared" si="39"/>
        <v>9.9</v>
      </c>
      <c r="F29" s="466">
        <f t="shared" si="39"/>
        <v>9.24</v>
      </c>
      <c r="G29" s="466">
        <f t="shared" si="39"/>
        <v>8.25</v>
      </c>
      <c r="H29" s="466">
        <f t="shared" si="39"/>
        <v>13.1327889</v>
      </c>
      <c r="I29" s="466">
        <f t="shared" si="39"/>
        <v>12.431357729274001</v>
      </c>
      <c r="J29" s="466">
        <f t="shared" si="39"/>
        <v>24.75</v>
      </c>
      <c r="K29" s="466">
        <f t="shared" si="39"/>
        <v>42.9</v>
      </c>
      <c r="L29" s="466">
        <f t="shared" si="39"/>
        <v>44.550000000000004</v>
      </c>
      <c r="M29" s="466">
        <f t="shared" si="39"/>
        <v>37.8675</v>
      </c>
      <c r="N29" s="466">
        <f t="shared" si="39"/>
        <v>34.080750000000002</v>
      </c>
      <c r="O29" s="466">
        <f t="shared" si="39"/>
        <v>28.9686375</v>
      </c>
      <c r="P29" s="466">
        <f>P$25*P32</f>
        <v>26.071773750000002</v>
      </c>
      <c r="Q29" s="466">
        <f t="shared" ref="Q29:Z29" si="40">Q$25*Q32</f>
        <v>23.464596375000003</v>
      </c>
      <c r="R29" s="466">
        <f t="shared" si="40"/>
        <v>21.118136737500002</v>
      </c>
      <c r="S29" s="466">
        <f t="shared" si="40"/>
        <v>19.006323063750003</v>
      </c>
      <c r="T29" s="466">
        <f t="shared" si="40"/>
        <v>17.105690757375001</v>
      </c>
      <c r="U29" s="466">
        <f t="shared" si="40"/>
        <v>15.395121681637502</v>
      </c>
      <c r="V29" s="466">
        <f t="shared" si="40"/>
        <v>13.855609513473752</v>
      </c>
      <c r="W29" s="466">
        <f t="shared" si="40"/>
        <v>12.470048562126376</v>
      </c>
      <c r="X29" s="466">
        <f t="shared" si="40"/>
        <v>11.223043705913739</v>
      </c>
      <c r="Y29" s="466">
        <f t="shared" si="40"/>
        <v>10.100739335322364</v>
      </c>
      <c r="Z29" s="466">
        <f t="shared" si="40"/>
        <v>9.0906654017901278</v>
      </c>
      <c r="AB29" s="319" t="s">
        <v>551</v>
      </c>
    </row>
    <row r="30" spans="1:28">
      <c r="B30" s="319" t="s">
        <v>552</v>
      </c>
      <c r="C30" s="466">
        <f t="shared" ref="C30:O30" si="41">C$25*C33</f>
        <v>2.0999999999999988</v>
      </c>
      <c r="D30" s="466">
        <f t="shared" si="41"/>
        <v>2.0999999999999988</v>
      </c>
      <c r="E30" s="466">
        <f t="shared" si="41"/>
        <v>2.0999999999999988</v>
      </c>
      <c r="F30" s="466">
        <f t="shared" si="41"/>
        <v>1.9599999999999986</v>
      </c>
      <c r="G30" s="466">
        <f t="shared" si="41"/>
        <v>1.7499999999999987</v>
      </c>
      <c r="H30" s="466">
        <f t="shared" si="41"/>
        <v>2.7857430999999977</v>
      </c>
      <c r="I30" s="466">
        <f t="shared" si="41"/>
        <v>2.6369546698459985</v>
      </c>
      <c r="J30" s="466">
        <f t="shared" si="41"/>
        <v>5.2499999999999964</v>
      </c>
      <c r="K30" s="466">
        <f t="shared" si="41"/>
        <v>9.0999999999999943</v>
      </c>
      <c r="L30" s="466">
        <f t="shared" si="41"/>
        <v>9.449999999999994</v>
      </c>
      <c r="M30" s="466">
        <f t="shared" si="41"/>
        <v>8.0324999999999935</v>
      </c>
      <c r="N30" s="466">
        <f t="shared" si="41"/>
        <v>7.2292499999999951</v>
      </c>
      <c r="O30" s="466">
        <f t="shared" si="41"/>
        <v>6.1448624999999959</v>
      </c>
      <c r="P30" s="466">
        <f>P$25*P33</f>
        <v>5.5303762499999962</v>
      </c>
      <c r="Q30" s="466">
        <f t="shared" ref="Q30:Z30" si="42">Q$25*Q33</f>
        <v>4.9773386249999962</v>
      </c>
      <c r="R30" s="466">
        <f t="shared" si="42"/>
        <v>4.4796047624999966</v>
      </c>
      <c r="S30" s="466">
        <f t="shared" si="42"/>
        <v>4.0316442862499979</v>
      </c>
      <c r="T30" s="466">
        <f t="shared" si="42"/>
        <v>3.6284798576249977</v>
      </c>
      <c r="U30" s="466">
        <f t="shared" si="42"/>
        <v>3.2656318718624977</v>
      </c>
      <c r="V30" s="466">
        <f t="shared" si="42"/>
        <v>2.9390686846762479</v>
      </c>
      <c r="W30" s="466">
        <f t="shared" si="42"/>
        <v>2.6451618162086232</v>
      </c>
      <c r="X30" s="466">
        <f t="shared" si="42"/>
        <v>2.3806456345877609</v>
      </c>
      <c r="Y30" s="466">
        <f t="shared" si="42"/>
        <v>2.1425810711289848</v>
      </c>
      <c r="Z30" s="466">
        <f t="shared" si="42"/>
        <v>1.9283229640160864</v>
      </c>
    </row>
    <row r="31" spans="1:28" s="458" customFormat="1">
      <c r="A31" s="456"/>
      <c r="B31" s="457" t="s">
        <v>553</v>
      </c>
      <c r="C31" s="492">
        <v>0.6</v>
      </c>
      <c r="D31" s="212">
        <f>C31</f>
        <v>0.6</v>
      </c>
      <c r="E31" s="212">
        <f t="shared" ref="E31:P32" si="43">D31</f>
        <v>0.6</v>
      </c>
      <c r="F31" s="212">
        <f t="shared" si="43"/>
        <v>0.6</v>
      </c>
      <c r="G31" s="212">
        <f t="shared" si="43"/>
        <v>0.6</v>
      </c>
      <c r="H31" s="212">
        <f t="shared" si="43"/>
        <v>0.6</v>
      </c>
      <c r="I31" s="212">
        <f t="shared" si="43"/>
        <v>0.6</v>
      </c>
      <c r="J31" s="212">
        <f t="shared" si="43"/>
        <v>0.6</v>
      </c>
      <c r="K31" s="212">
        <f t="shared" si="43"/>
        <v>0.6</v>
      </c>
      <c r="L31" s="212">
        <f t="shared" si="43"/>
        <v>0.6</v>
      </c>
      <c r="M31" s="212">
        <f t="shared" si="43"/>
        <v>0.6</v>
      </c>
      <c r="N31" s="212">
        <f t="shared" si="43"/>
        <v>0.6</v>
      </c>
      <c r="O31" s="212">
        <f t="shared" si="43"/>
        <v>0.6</v>
      </c>
      <c r="P31" s="212">
        <f>O31</f>
        <v>0.6</v>
      </c>
      <c r="Q31" s="212">
        <f t="shared" ref="Q31:Z32" si="44">P31</f>
        <v>0.6</v>
      </c>
      <c r="R31" s="212">
        <f t="shared" si="44"/>
        <v>0.6</v>
      </c>
      <c r="S31" s="212">
        <f t="shared" si="44"/>
        <v>0.6</v>
      </c>
      <c r="T31" s="212">
        <f t="shared" si="44"/>
        <v>0.6</v>
      </c>
      <c r="U31" s="212">
        <f t="shared" si="44"/>
        <v>0.6</v>
      </c>
      <c r="V31" s="212">
        <f t="shared" si="44"/>
        <v>0.6</v>
      </c>
      <c r="W31" s="212">
        <f t="shared" si="44"/>
        <v>0.6</v>
      </c>
      <c r="X31" s="212">
        <f t="shared" si="44"/>
        <v>0.6</v>
      </c>
      <c r="Y31" s="212">
        <f t="shared" si="44"/>
        <v>0.6</v>
      </c>
      <c r="Z31" s="212">
        <f t="shared" si="44"/>
        <v>0.6</v>
      </c>
    </row>
    <row r="32" spans="1:28" s="458" customFormat="1">
      <c r="A32" s="456"/>
      <c r="B32" s="457" t="s">
        <v>554</v>
      </c>
      <c r="C32" s="492">
        <v>0.33</v>
      </c>
      <c r="D32" s="212">
        <f>C32</f>
        <v>0.33</v>
      </c>
      <c r="E32" s="212">
        <f t="shared" si="43"/>
        <v>0.33</v>
      </c>
      <c r="F32" s="212">
        <f t="shared" si="43"/>
        <v>0.33</v>
      </c>
      <c r="G32" s="212">
        <f t="shared" si="43"/>
        <v>0.33</v>
      </c>
      <c r="H32" s="212">
        <f t="shared" si="43"/>
        <v>0.33</v>
      </c>
      <c r="I32" s="212">
        <f t="shared" si="43"/>
        <v>0.33</v>
      </c>
      <c r="J32" s="212">
        <f t="shared" si="43"/>
        <v>0.33</v>
      </c>
      <c r="K32" s="212">
        <f t="shared" si="43"/>
        <v>0.33</v>
      </c>
      <c r="L32" s="212">
        <f t="shared" si="43"/>
        <v>0.33</v>
      </c>
      <c r="M32" s="212">
        <f t="shared" si="43"/>
        <v>0.33</v>
      </c>
      <c r="N32" s="212">
        <f t="shared" si="43"/>
        <v>0.33</v>
      </c>
      <c r="O32" s="212">
        <f t="shared" si="43"/>
        <v>0.33</v>
      </c>
      <c r="P32" s="212">
        <f t="shared" si="43"/>
        <v>0.33</v>
      </c>
      <c r="Q32" s="212">
        <f t="shared" si="44"/>
        <v>0.33</v>
      </c>
      <c r="R32" s="212">
        <f t="shared" si="44"/>
        <v>0.33</v>
      </c>
      <c r="S32" s="212">
        <f t="shared" si="44"/>
        <v>0.33</v>
      </c>
      <c r="T32" s="212">
        <f t="shared" si="44"/>
        <v>0.33</v>
      </c>
      <c r="U32" s="212">
        <f t="shared" si="44"/>
        <v>0.33</v>
      </c>
      <c r="V32" s="212">
        <f t="shared" si="44"/>
        <v>0.33</v>
      </c>
      <c r="W32" s="212">
        <f t="shared" si="44"/>
        <v>0.33</v>
      </c>
      <c r="X32" s="212">
        <f t="shared" si="44"/>
        <v>0.33</v>
      </c>
      <c r="Y32" s="212">
        <f t="shared" si="44"/>
        <v>0.33</v>
      </c>
      <c r="Z32" s="212">
        <f t="shared" si="44"/>
        <v>0.33</v>
      </c>
    </row>
    <row r="33" spans="1:28" s="458" customFormat="1">
      <c r="A33" s="456"/>
      <c r="B33" s="457" t="s">
        <v>555</v>
      </c>
      <c r="C33" s="460">
        <f t="shared" ref="C33:O33" si="45">1-C32-C31</f>
        <v>6.9999999999999951E-2</v>
      </c>
      <c r="D33" s="460">
        <f t="shared" si="45"/>
        <v>6.9999999999999951E-2</v>
      </c>
      <c r="E33" s="460">
        <f t="shared" si="45"/>
        <v>6.9999999999999951E-2</v>
      </c>
      <c r="F33" s="460">
        <f t="shared" si="45"/>
        <v>6.9999999999999951E-2</v>
      </c>
      <c r="G33" s="460">
        <f t="shared" si="45"/>
        <v>6.9999999999999951E-2</v>
      </c>
      <c r="H33" s="460">
        <f t="shared" si="45"/>
        <v>6.9999999999999951E-2</v>
      </c>
      <c r="I33" s="460">
        <f t="shared" si="45"/>
        <v>6.9999999999999951E-2</v>
      </c>
      <c r="J33" s="460">
        <f t="shared" si="45"/>
        <v>6.9999999999999951E-2</v>
      </c>
      <c r="K33" s="460">
        <f t="shared" si="45"/>
        <v>6.9999999999999951E-2</v>
      </c>
      <c r="L33" s="460">
        <f t="shared" si="45"/>
        <v>6.9999999999999951E-2</v>
      </c>
      <c r="M33" s="460">
        <f t="shared" si="45"/>
        <v>6.9999999999999951E-2</v>
      </c>
      <c r="N33" s="460">
        <f t="shared" si="45"/>
        <v>6.9999999999999951E-2</v>
      </c>
      <c r="O33" s="460">
        <f t="shared" si="45"/>
        <v>6.9999999999999951E-2</v>
      </c>
      <c r="P33" s="460">
        <f>1-P32-P31</f>
        <v>6.9999999999999951E-2</v>
      </c>
      <c r="Q33" s="460">
        <f t="shared" ref="Q33:Z33" si="46">1-Q32-Q31</f>
        <v>6.9999999999999951E-2</v>
      </c>
      <c r="R33" s="460">
        <f t="shared" si="46"/>
        <v>6.9999999999999951E-2</v>
      </c>
      <c r="S33" s="460">
        <f t="shared" si="46"/>
        <v>6.9999999999999951E-2</v>
      </c>
      <c r="T33" s="460">
        <f t="shared" si="46"/>
        <v>6.9999999999999951E-2</v>
      </c>
      <c r="U33" s="460">
        <f t="shared" si="46"/>
        <v>6.9999999999999951E-2</v>
      </c>
      <c r="V33" s="460">
        <f t="shared" si="46"/>
        <v>6.9999999999999951E-2</v>
      </c>
      <c r="W33" s="460">
        <f t="shared" si="46"/>
        <v>6.9999999999999951E-2</v>
      </c>
      <c r="X33" s="460">
        <f t="shared" si="46"/>
        <v>6.9999999999999951E-2</v>
      </c>
      <c r="Y33" s="460">
        <f t="shared" si="46"/>
        <v>6.9999999999999951E-2</v>
      </c>
      <c r="Z33" s="460">
        <f t="shared" si="46"/>
        <v>6.9999999999999951E-2</v>
      </c>
      <c r="AB33" s="460"/>
    </row>
    <row r="35" spans="1:28">
      <c r="B35" s="493" t="s">
        <v>556</v>
      </c>
      <c r="C35" s="493"/>
      <c r="D35" s="493"/>
      <c r="E35" s="493"/>
      <c r="F35" s="493"/>
      <c r="G35" s="493"/>
      <c r="H35" s="493"/>
      <c r="I35" s="493"/>
      <c r="J35" s="493"/>
      <c r="K35" s="493"/>
      <c r="L35" s="493"/>
      <c r="M35" s="493"/>
      <c r="N35" s="493"/>
      <c r="O35" s="493"/>
      <c r="P35" s="493"/>
      <c r="Q35" s="493"/>
      <c r="R35" s="493"/>
      <c r="S35" s="493"/>
      <c r="T35" s="493"/>
      <c r="U35" s="493"/>
      <c r="V35" s="493"/>
      <c r="W35" s="493"/>
      <c r="X35" s="493"/>
      <c r="Y35" s="493"/>
      <c r="Z35" s="493"/>
    </row>
    <row r="36" spans="1:28">
      <c r="B36" s="465" t="s">
        <v>548</v>
      </c>
      <c r="C36" s="466">
        <f>C39*C28</f>
        <v>7.2</v>
      </c>
      <c r="D36" s="466">
        <f t="shared" ref="D36:O36" si="47">D39*D28</f>
        <v>7.2</v>
      </c>
      <c r="E36" s="466">
        <f t="shared" si="47"/>
        <v>7.2</v>
      </c>
      <c r="F36" s="466">
        <f t="shared" si="47"/>
        <v>6.7200000000000006</v>
      </c>
      <c r="G36" s="466">
        <f t="shared" si="47"/>
        <v>8.6999999999999993</v>
      </c>
      <c r="H36" s="466">
        <f t="shared" si="47"/>
        <v>16.714458599999997</v>
      </c>
      <c r="I36" s="466">
        <f t="shared" si="47"/>
        <v>16.386789734042999</v>
      </c>
      <c r="J36" s="466">
        <f t="shared" si="47"/>
        <v>36</v>
      </c>
      <c r="K36" s="466">
        <f t="shared" si="47"/>
        <v>70.2</v>
      </c>
      <c r="L36" s="466">
        <f t="shared" si="47"/>
        <v>76.95</v>
      </c>
      <c r="M36" s="466">
        <f t="shared" si="47"/>
        <v>65.407499999999985</v>
      </c>
      <c r="N36" s="466">
        <f t="shared" si="47"/>
        <v>58.866750000000003</v>
      </c>
      <c r="O36" s="466">
        <f t="shared" si="47"/>
        <v>50.036737499999994</v>
      </c>
      <c r="P36" s="466">
        <f>P39*P28</f>
        <v>45.033063749999997</v>
      </c>
      <c r="Q36" s="466">
        <f t="shared" ref="Q36:Z36" si="48">Q39*Q28</f>
        <v>40.529757375000003</v>
      </c>
      <c r="R36" s="466">
        <f t="shared" si="48"/>
        <v>36.476781637499997</v>
      </c>
      <c r="S36" s="466">
        <f t="shared" si="48"/>
        <v>32.829103473750003</v>
      </c>
      <c r="T36" s="466">
        <f t="shared" si="48"/>
        <v>29.546193126375002</v>
      </c>
      <c r="U36" s="466">
        <f t="shared" si="48"/>
        <v>26.591573813737501</v>
      </c>
      <c r="V36" s="466">
        <f t="shared" si="48"/>
        <v>23.932416432363748</v>
      </c>
      <c r="W36" s="466">
        <f t="shared" si="48"/>
        <v>21.539174789127372</v>
      </c>
      <c r="X36" s="466">
        <f t="shared" si="48"/>
        <v>19.385257310214637</v>
      </c>
      <c r="Y36" s="466">
        <f t="shared" si="48"/>
        <v>17.446731579193173</v>
      </c>
      <c r="Z36" s="466">
        <f t="shared" si="48"/>
        <v>15.702058421273856</v>
      </c>
    </row>
    <row r="37" spans="1:28">
      <c r="B37" s="465" t="s">
        <v>550</v>
      </c>
      <c r="C37" s="466">
        <f t="shared" ref="C37:O38" si="49">C40*C29</f>
        <v>7.9200000000000008</v>
      </c>
      <c r="D37" s="466">
        <f t="shared" si="49"/>
        <v>7.9200000000000008</v>
      </c>
      <c r="E37" s="466">
        <f t="shared" si="49"/>
        <v>7.9200000000000008</v>
      </c>
      <c r="F37" s="466">
        <f t="shared" si="49"/>
        <v>7.3920000000000003</v>
      </c>
      <c r="G37" s="466">
        <f t="shared" si="49"/>
        <v>6.6000000000000005</v>
      </c>
      <c r="H37" s="466">
        <f t="shared" si="49"/>
        <v>10.506231120000001</v>
      </c>
      <c r="I37" s="466">
        <f t="shared" si="49"/>
        <v>9.9450861834192015</v>
      </c>
      <c r="J37" s="466">
        <f t="shared" si="49"/>
        <v>19.8</v>
      </c>
      <c r="K37" s="466">
        <f t="shared" si="49"/>
        <v>38.61</v>
      </c>
      <c r="L37" s="466">
        <f t="shared" si="49"/>
        <v>42.322500000000005</v>
      </c>
      <c r="M37" s="466">
        <f t="shared" si="49"/>
        <v>35.974125000000001</v>
      </c>
      <c r="N37" s="466">
        <f t="shared" si="49"/>
        <v>32.376712500000004</v>
      </c>
      <c r="O37" s="466">
        <f t="shared" si="49"/>
        <v>27.520205624999999</v>
      </c>
      <c r="P37" s="466">
        <f>P40*P29</f>
        <v>24.768185062500002</v>
      </c>
      <c r="Q37" s="466">
        <f t="shared" ref="Q37:Z37" si="50">Q40*Q29</f>
        <v>22.291366556250001</v>
      </c>
      <c r="R37" s="466">
        <f t="shared" si="50"/>
        <v>20.062229900625002</v>
      </c>
      <c r="S37" s="466">
        <f t="shared" si="50"/>
        <v>18.056006910562502</v>
      </c>
      <c r="T37" s="466">
        <f t="shared" si="50"/>
        <v>16.25040621950625</v>
      </c>
      <c r="U37" s="466">
        <f t="shared" si="50"/>
        <v>14.625365597555627</v>
      </c>
      <c r="V37" s="466">
        <f t="shared" si="50"/>
        <v>13.162829037800064</v>
      </c>
      <c r="W37" s="466">
        <f t="shared" si="50"/>
        <v>11.846546134020057</v>
      </c>
      <c r="X37" s="466">
        <f t="shared" si="50"/>
        <v>10.661891520618051</v>
      </c>
      <c r="Y37" s="466">
        <f t="shared" si="50"/>
        <v>9.5957023685562461</v>
      </c>
      <c r="Z37" s="466">
        <f t="shared" si="50"/>
        <v>8.6361321317006219</v>
      </c>
    </row>
    <row r="38" spans="1:28">
      <c r="B38" s="465" t="s">
        <v>552</v>
      </c>
      <c r="C38" s="466">
        <f t="shared" si="49"/>
        <v>0.83999999999999952</v>
      </c>
      <c r="D38" s="466">
        <f t="shared" si="49"/>
        <v>0.83999999999999952</v>
      </c>
      <c r="E38" s="466">
        <f t="shared" si="49"/>
        <v>0.83999999999999952</v>
      </c>
      <c r="F38" s="466">
        <f t="shared" si="49"/>
        <v>0.78399999999999948</v>
      </c>
      <c r="G38" s="466">
        <f t="shared" si="49"/>
        <v>1.0149999999999992</v>
      </c>
      <c r="H38" s="466">
        <f t="shared" si="49"/>
        <v>1.9500201699999982</v>
      </c>
      <c r="I38" s="466">
        <f t="shared" si="49"/>
        <v>1.9117921356383489</v>
      </c>
      <c r="J38" s="466">
        <f t="shared" si="49"/>
        <v>4.1999999999999975</v>
      </c>
      <c r="K38" s="466">
        <f t="shared" si="49"/>
        <v>8.1899999999999959</v>
      </c>
      <c r="L38" s="466">
        <f t="shared" si="49"/>
        <v>8.9774999999999938</v>
      </c>
      <c r="M38" s="466">
        <f t="shared" si="49"/>
        <v>7.6308749999999934</v>
      </c>
      <c r="N38" s="466">
        <f t="shared" si="49"/>
        <v>6.867787499999995</v>
      </c>
      <c r="O38" s="466">
        <f t="shared" si="49"/>
        <v>5.8376193749999956</v>
      </c>
      <c r="P38" s="466">
        <f>P41*P30</f>
        <v>5.2538574374999962</v>
      </c>
      <c r="Q38" s="466">
        <f t="shared" ref="Q38:Z38" si="51">Q41*Q30</f>
        <v>4.728471693749996</v>
      </c>
      <c r="R38" s="466">
        <f t="shared" si="51"/>
        <v>4.2556245243749968</v>
      </c>
      <c r="S38" s="466">
        <f t="shared" si="51"/>
        <v>3.830062071937498</v>
      </c>
      <c r="T38" s="466">
        <f t="shared" si="51"/>
        <v>3.4470558647437475</v>
      </c>
      <c r="U38" s="466">
        <f t="shared" si="51"/>
        <v>3.1023502782693728</v>
      </c>
      <c r="V38" s="466">
        <f t="shared" si="51"/>
        <v>2.7921152504424356</v>
      </c>
      <c r="W38" s="466">
        <f t="shared" si="51"/>
        <v>2.5129037253981918</v>
      </c>
      <c r="X38" s="466">
        <f t="shared" si="51"/>
        <v>2.2616133528583728</v>
      </c>
      <c r="Y38" s="466">
        <f t="shared" si="51"/>
        <v>2.0354520175725352</v>
      </c>
      <c r="Z38" s="466">
        <f t="shared" si="51"/>
        <v>1.831906815815282</v>
      </c>
    </row>
    <row r="39" spans="1:28" s="458" customFormat="1">
      <c r="A39" s="456"/>
      <c r="B39" s="518" t="s">
        <v>553</v>
      </c>
      <c r="C39" s="492">
        <v>0.4</v>
      </c>
      <c r="D39" s="460">
        <f>C39</f>
        <v>0.4</v>
      </c>
      <c r="E39" s="460">
        <f t="shared" ref="E39:J41" si="52">D39</f>
        <v>0.4</v>
      </c>
      <c r="F39" s="460">
        <f t="shared" si="52"/>
        <v>0.4</v>
      </c>
      <c r="G39" s="492">
        <v>0.57999999999999996</v>
      </c>
      <c r="H39" s="492">
        <v>0.7</v>
      </c>
      <c r="I39" s="492">
        <v>0.72499999999999998</v>
      </c>
      <c r="J39" s="492">
        <v>0.8</v>
      </c>
      <c r="K39" s="492">
        <v>0.9</v>
      </c>
      <c r="L39" s="492">
        <v>0.95</v>
      </c>
      <c r="M39" s="460">
        <f>L39</f>
        <v>0.95</v>
      </c>
      <c r="N39" s="460">
        <f t="shared" ref="N39:P40" si="53">M39</f>
        <v>0.95</v>
      </c>
      <c r="O39" s="460">
        <f t="shared" si="53"/>
        <v>0.95</v>
      </c>
      <c r="P39" s="460">
        <f t="shared" si="53"/>
        <v>0.95</v>
      </c>
      <c r="Q39" s="460">
        <f t="shared" ref="Q39:Z39" si="54">P39</f>
        <v>0.95</v>
      </c>
      <c r="R39" s="460">
        <f t="shared" si="54"/>
        <v>0.95</v>
      </c>
      <c r="S39" s="460">
        <f t="shared" si="54"/>
        <v>0.95</v>
      </c>
      <c r="T39" s="460">
        <f t="shared" si="54"/>
        <v>0.95</v>
      </c>
      <c r="U39" s="460">
        <f t="shared" si="54"/>
        <v>0.95</v>
      </c>
      <c r="V39" s="460">
        <f t="shared" si="54"/>
        <v>0.95</v>
      </c>
      <c r="W39" s="460">
        <f t="shared" si="54"/>
        <v>0.95</v>
      </c>
      <c r="X39" s="460">
        <f t="shared" si="54"/>
        <v>0.95</v>
      </c>
      <c r="Y39" s="460">
        <f t="shared" si="54"/>
        <v>0.95</v>
      </c>
      <c r="Z39" s="460">
        <f t="shared" si="54"/>
        <v>0.95</v>
      </c>
    </row>
    <row r="40" spans="1:28" s="458" customFormat="1">
      <c r="A40" s="456"/>
      <c r="B40" s="518" t="s">
        <v>554</v>
      </c>
      <c r="C40" s="492">
        <v>0.8</v>
      </c>
      <c r="D40" s="460">
        <f>C40</f>
        <v>0.8</v>
      </c>
      <c r="E40" s="460">
        <f t="shared" si="52"/>
        <v>0.8</v>
      </c>
      <c r="F40" s="460">
        <f t="shared" si="52"/>
        <v>0.8</v>
      </c>
      <c r="G40" s="460">
        <f t="shared" si="52"/>
        <v>0.8</v>
      </c>
      <c r="H40" s="460">
        <f t="shared" si="52"/>
        <v>0.8</v>
      </c>
      <c r="I40" s="460">
        <f t="shared" si="52"/>
        <v>0.8</v>
      </c>
      <c r="J40" s="460">
        <f t="shared" si="52"/>
        <v>0.8</v>
      </c>
      <c r="K40" s="460">
        <v>0.9</v>
      </c>
      <c r="L40" s="460">
        <v>0.95</v>
      </c>
      <c r="M40" s="460">
        <f>L40</f>
        <v>0.95</v>
      </c>
      <c r="N40" s="460">
        <f t="shared" si="53"/>
        <v>0.95</v>
      </c>
      <c r="O40" s="460">
        <f t="shared" si="53"/>
        <v>0.95</v>
      </c>
      <c r="P40" s="460">
        <f t="shared" si="53"/>
        <v>0.95</v>
      </c>
      <c r="Q40" s="460">
        <f t="shared" ref="Q40:Z40" si="55">P40</f>
        <v>0.95</v>
      </c>
      <c r="R40" s="460">
        <f t="shared" si="55"/>
        <v>0.95</v>
      </c>
      <c r="S40" s="460">
        <f t="shared" si="55"/>
        <v>0.95</v>
      </c>
      <c r="T40" s="460">
        <f t="shared" si="55"/>
        <v>0.95</v>
      </c>
      <c r="U40" s="460">
        <f t="shared" si="55"/>
        <v>0.95</v>
      </c>
      <c r="V40" s="460">
        <f t="shared" si="55"/>
        <v>0.95</v>
      </c>
      <c r="W40" s="460">
        <f t="shared" si="55"/>
        <v>0.95</v>
      </c>
      <c r="X40" s="460">
        <f t="shared" si="55"/>
        <v>0.95</v>
      </c>
      <c r="Y40" s="460">
        <f t="shared" si="55"/>
        <v>0.95</v>
      </c>
      <c r="Z40" s="460">
        <f t="shared" si="55"/>
        <v>0.95</v>
      </c>
    </row>
    <row r="41" spans="1:28" s="458" customFormat="1">
      <c r="A41" s="456"/>
      <c r="B41" s="518" t="s">
        <v>555</v>
      </c>
      <c r="C41" s="492">
        <v>0.4</v>
      </c>
      <c r="D41" s="460">
        <f>C41</f>
        <v>0.4</v>
      </c>
      <c r="E41" s="460">
        <f t="shared" si="52"/>
        <v>0.4</v>
      </c>
      <c r="F41" s="460">
        <f t="shared" si="52"/>
        <v>0.4</v>
      </c>
      <c r="G41" s="460">
        <f>G39</f>
        <v>0.57999999999999996</v>
      </c>
      <c r="H41" s="460">
        <f t="shared" ref="H41:P41" si="56">H39</f>
        <v>0.7</v>
      </c>
      <c r="I41" s="460">
        <f t="shared" si="56"/>
        <v>0.72499999999999998</v>
      </c>
      <c r="J41" s="460">
        <f t="shared" si="56"/>
        <v>0.8</v>
      </c>
      <c r="K41" s="460">
        <f t="shared" si="56"/>
        <v>0.9</v>
      </c>
      <c r="L41" s="460">
        <f t="shared" si="56"/>
        <v>0.95</v>
      </c>
      <c r="M41" s="460">
        <f t="shared" si="56"/>
        <v>0.95</v>
      </c>
      <c r="N41" s="460">
        <f t="shared" si="56"/>
        <v>0.95</v>
      </c>
      <c r="O41" s="460">
        <f t="shared" si="56"/>
        <v>0.95</v>
      </c>
      <c r="P41" s="460">
        <f t="shared" si="56"/>
        <v>0.95</v>
      </c>
      <c r="Q41" s="460">
        <f t="shared" ref="Q41:Z41" si="57">Q39</f>
        <v>0.95</v>
      </c>
      <c r="R41" s="460">
        <f t="shared" si="57"/>
        <v>0.95</v>
      </c>
      <c r="S41" s="460">
        <f t="shared" si="57"/>
        <v>0.95</v>
      </c>
      <c r="T41" s="460">
        <f t="shared" si="57"/>
        <v>0.95</v>
      </c>
      <c r="U41" s="460">
        <f t="shared" si="57"/>
        <v>0.95</v>
      </c>
      <c r="V41" s="460">
        <f t="shared" si="57"/>
        <v>0.95</v>
      </c>
      <c r="W41" s="460">
        <f t="shared" si="57"/>
        <v>0.95</v>
      </c>
      <c r="X41" s="460">
        <f t="shared" si="57"/>
        <v>0.95</v>
      </c>
      <c r="Y41" s="460">
        <f t="shared" si="57"/>
        <v>0.95</v>
      </c>
      <c r="Z41" s="460">
        <f t="shared" si="57"/>
        <v>0.95</v>
      </c>
    </row>
    <row r="43" spans="1:28">
      <c r="B43" s="494" t="s">
        <v>577</v>
      </c>
      <c r="C43" s="494"/>
      <c r="D43" s="495"/>
      <c r="E43" s="494"/>
      <c r="F43" s="494"/>
      <c r="G43" s="494"/>
      <c r="H43" s="494"/>
      <c r="I43" s="494"/>
      <c r="J43" s="494"/>
      <c r="K43" s="494"/>
      <c r="L43" s="494"/>
      <c r="M43" s="494"/>
      <c r="N43" s="494"/>
      <c r="O43" s="494"/>
      <c r="P43" s="494"/>
      <c r="Q43" s="494"/>
      <c r="R43" s="494"/>
      <c r="S43" s="494"/>
      <c r="T43" s="494"/>
      <c r="U43" s="494"/>
      <c r="V43" s="494"/>
      <c r="W43" s="494"/>
      <c r="X43" s="494"/>
      <c r="Y43" s="494"/>
      <c r="Z43" s="494"/>
    </row>
    <row r="44" spans="1:28" ht="15" customHeight="1" outlineLevel="1">
      <c r="B44" s="474" t="s">
        <v>604</v>
      </c>
      <c r="C44" s="474"/>
      <c r="D44" s="475"/>
      <c r="E44" s="474"/>
      <c r="F44" s="474"/>
      <c r="G44" s="474"/>
      <c r="H44" s="474"/>
      <c r="I44" s="474"/>
      <c r="J44" s="1012" t="s">
        <v>605</v>
      </c>
      <c r="K44" s="1012"/>
      <c r="L44" s="1013" t="s">
        <v>607</v>
      </c>
      <c r="M44" s="1013"/>
      <c r="N44" s="496"/>
      <c r="O44" s="496" t="s">
        <v>606</v>
      </c>
      <c r="P44" s="479"/>
      <c r="Q44" s="479"/>
      <c r="R44" s="479"/>
      <c r="S44" s="479"/>
      <c r="T44" s="479"/>
      <c r="U44" s="479"/>
      <c r="V44" s="479"/>
      <c r="W44" s="479"/>
      <c r="X44" s="479"/>
      <c r="Y44" s="479"/>
      <c r="Z44" s="479"/>
    </row>
    <row r="45" spans="1:28" s="480" customFormat="1" ht="12.75" customHeight="1" outlineLevel="1">
      <c r="A45" s="473"/>
      <c r="B45" s="474" t="s">
        <v>423</v>
      </c>
      <c r="C45" s="474"/>
      <c r="D45" s="475"/>
      <c r="E45" s="474"/>
      <c r="F45" s="474"/>
      <c r="G45" s="474"/>
      <c r="H45" s="474"/>
      <c r="I45" s="474"/>
      <c r="J45" s="497"/>
      <c r="K45" s="498">
        <v>0.85</v>
      </c>
      <c r="L45" s="499">
        <v>0.8</v>
      </c>
      <c r="M45" s="499">
        <v>0.75</v>
      </c>
      <c r="N45" s="499">
        <f>M45</f>
        <v>0.75</v>
      </c>
      <c r="O45" s="499">
        <f>N45</f>
        <v>0.75</v>
      </c>
      <c r="P45" s="499">
        <f>O45</f>
        <v>0.75</v>
      </c>
      <c r="Q45" s="499">
        <f t="shared" ref="Q45:Y45" si="58">P45</f>
        <v>0.75</v>
      </c>
      <c r="R45" s="499">
        <f t="shared" si="58"/>
        <v>0.75</v>
      </c>
      <c r="S45" s="499">
        <f t="shared" si="58"/>
        <v>0.75</v>
      </c>
      <c r="T45" s="499">
        <f t="shared" si="58"/>
        <v>0.75</v>
      </c>
      <c r="U45" s="499">
        <f t="shared" si="58"/>
        <v>0.75</v>
      </c>
      <c r="V45" s="499">
        <f t="shared" si="58"/>
        <v>0.75</v>
      </c>
      <c r="W45" s="499">
        <f t="shared" si="58"/>
        <v>0.75</v>
      </c>
      <c r="X45" s="499">
        <f t="shared" si="58"/>
        <v>0.75</v>
      </c>
      <c r="Y45" s="499">
        <f t="shared" si="58"/>
        <v>0.75</v>
      </c>
      <c r="Z45" s="498">
        <f>Y45*0.1</f>
        <v>7.5000000000000011E-2</v>
      </c>
    </row>
    <row r="46" spans="1:28" s="480" customFormat="1" ht="12.75" customHeight="1" outlineLevel="1">
      <c r="A46" s="473"/>
      <c r="B46" s="474" t="s">
        <v>424</v>
      </c>
      <c r="C46" s="474"/>
      <c r="D46" s="481"/>
      <c r="E46" s="481"/>
      <c r="F46" s="481"/>
      <c r="G46" s="481"/>
      <c r="H46" s="481"/>
      <c r="I46" s="481"/>
      <c r="J46" s="500"/>
      <c r="K46" s="500">
        <v>0.8</v>
      </c>
      <c r="L46" s="500">
        <v>0.8</v>
      </c>
      <c r="M46" s="500">
        <v>0.75</v>
      </c>
      <c r="N46" s="500">
        <v>0.55000000000000004</v>
      </c>
      <c r="O46" s="501">
        <f>N46-5%</f>
        <v>0.5</v>
      </c>
      <c r="P46" s="501">
        <f>O46</f>
        <v>0.5</v>
      </c>
      <c r="Q46" s="501">
        <f t="shared" ref="Q46:Y46" si="59">P46</f>
        <v>0.5</v>
      </c>
      <c r="R46" s="501">
        <f t="shared" si="59"/>
        <v>0.5</v>
      </c>
      <c r="S46" s="501">
        <f t="shared" si="59"/>
        <v>0.5</v>
      </c>
      <c r="T46" s="501">
        <f t="shared" si="59"/>
        <v>0.5</v>
      </c>
      <c r="U46" s="501">
        <f t="shared" si="59"/>
        <v>0.5</v>
      </c>
      <c r="V46" s="501">
        <f t="shared" si="59"/>
        <v>0.5</v>
      </c>
      <c r="W46" s="501">
        <f t="shared" si="59"/>
        <v>0.5</v>
      </c>
      <c r="X46" s="501">
        <f t="shared" si="59"/>
        <v>0.5</v>
      </c>
      <c r="Y46" s="501">
        <f t="shared" si="59"/>
        <v>0.5</v>
      </c>
      <c r="Z46" s="500">
        <f>Y46*0.1</f>
        <v>0.05</v>
      </c>
    </row>
    <row r="47" spans="1:28" s="480" customFormat="1" ht="12.75" customHeight="1" outlineLevel="1">
      <c r="A47" s="473"/>
      <c r="B47" s="474" t="s">
        <v>425</v>
      </c>
      <c r="C47" s="474"/>
      <c r="D47" s="475"/>
      <c r="E47" s="474"/>
      <c r="F47" s="474"/>
      <c r="G47" s="474"/>
      <c r="H47" s="474"/>
      <c r="I47" s="474"/>
      <c r="J47" s="497"/>
      <c r="K47" s="497">
        <f>K46-10%</f>
        <v>0.70000000000000007</v>
      </c>
      <c r="L47" s="502">
        <f>K47-10%</f>
        <v>0.60000000000000009</v>
      </c>
      <c r="M47" s="502">
        <f>L47-5%</f>
        <v>0.55000000000000004</v>
      </c>
      <c r="N47" s="502">
        <f>M47-10%</f>
        <v>0.45000000000000007</v>
      </c>
      <c r="O47" s="502">
        <f>N47</f>
        <v>0.45000000000000007</v>
      </c>
      <c r="P47" s="502">
        <f>O47</f>
        <v>0.45000000000000007</v>
      </c>
      <c r="Q47" s="502">
        <f t="shared" ref="Q47:Y47" si="60">P47</f>
        <v>0.45000000000000007</v>
      </c>
      <c r="R47" s="502">
        <f t="shared" si="60"/>
        <v>0.45000000000000007</v>
      </c>
      <c r="S47" s="502">
        <f t="shared" si="60"/>
        <v>0.45000000000000007</v>
      </c>
      <c r="T47" s="502">
        <f t="shared" si="60"/>
        <v>0.45000000000000007</v>
      </c>
      <c r="U47" s="502">
        <f t="shared" si="60"/>
        <v>0.45000000000000007</v>
      </c>
      <c r="V47" s="502">
        <f t="shared" si="60"/>
        <v>0.45000000000000007</v>
      </c>
      <c r="W47" s="502">
        <f t="shared" si="60"/>
        <v>0.45000000000000007</v>
      </c>
      <c r="X47" s="502">
        <f t="shared" si="60"/>
        <v>0.45000000000000007</v>
      </c>
      <c r="Y47" s="502">
        <f t="shared" si="60"/>
        <v>0.45000000000000007</v>
      </c>
      <c r="Z47" s="502">
        <f>Y47*0.1</f>
        <v>4.5000000000000012E-2</v>
      </c>
    </row>
    <row r="48" spans="1:28">
      <c r="A48" s="484" t="s">
        <v>578</v>
      </c>
      <c r="B48" s="485" t="s">
        <v>541</v>
      </c>
      <c r="C48" s="485"/>
      <c r="D48" s="485"/>
      <c r="E48" s="485"/>
      <c r="F48" s="485"/>
      <c r="G48" s="485"/>
      <c r="H48" s="485"/>
      <c r="I48" s="485"/>
      <c r="J48" s="500">
        <v>0.38</v>
      </c>
      <c r="K48" s="503">
        <f t="shared" ref="K48:Z48" si="61">CHOOSE($E$1,K45,K46,K47)</f>
        <v>0.8</v>
      </c>
      <c r="L48" s="503">
        <f t="shared" si="61"/>
        <v>0.8</v>
      </c>
      <c r="M48" s="503">
        <f t="shared" si="61"/>
        <v>0.75</v>
      </c>
      <c r="N48" s="503">
        <f t="shared" si="61"/>
        <v>0.55000000000000004</v>
      </c>
      <c r="O48" s="503">
        <f t="shared" si="61"/>
        <v>0.5</v>
      </c>
      <c r="P48" s="503">
        <f t="shared" si="61"/>
        <v>0.5</v>
      </c>
      <c r="Q48" s="503">
        <f t="shared" si="61"/>
        <v>0.5</v>
      </c>
      <c r="R48" s="503">
        <f t="shared" si="61"/>
        <v>0.5</v>
      </c>
      <c r="S48" s="503">
        <f t="shared" si="61"/>
        <v>0.5</v>
      </c>
      <c r="T48" s="503">
        <f t="shared" si="61"/>
        <v>0.5</v>
      </c>
      <c r="U48" s="503">
        <f t="shared" si="61"/>
        <v>0.5</v>
      </c>
      <c r="V48" s="503">
        <f t="shared" si="61"/>
        <v>0.5</v>
      </c>
      <c r="W48" s="503">
        <f t="shared" si="61"/>
        <v>0.5</v>
      </c>
      <c r="X48" s="503">
        <f t="shared" si="61"/>
        <v>0.5</v>
      </c>
      <c r="Y48" s="503">
        <f t="shared" si="61"/>
        <v>0.5</v>
      </c>
      <c r="Z48" s="503">
        <f t="shared" si="61"/>
        <v>0.05</v>
      </c>
    </row>
    <row r="49" spans="1:26">
      <c r="B49" s="319" t="s">
        <v>68</v>
      </c>
      <c r="C49" s="470">
        <f>1-C48</f>
        <v>1</v>
      </c>
      <c r="D49" s="470">
        <f t="shared" ref="D49:Z49" si="62">1-D48</f>
        <v>1</v>
      </c>
      <c r="E49" s="470">
        <f t="shared" si="62"/>
        <v>1</v>
      </c>
      <c r="F49" s="470">
        <f t="shared" si="62"/>
        <v>1</v>
      </c>
      <c r="G49" s="470">
        <f t="shared" si="62"/>
        <v>1</v>
      </c>
      <c r="H49" s="470">
        <f t="shared" si="62"/>
        <v>1</v>
      </c>
      <c r="I49" s="470">
        <f t="shared" si="62"/>
        <v>1</v>
      </c>
      <c r="J49" s="470">
        <f t="shared" si="62"/>
        <v>0.62</v>
      </c>
      <c r="K49" s="470">
        <f t="shared" si="62"/>
        <v>0.19999999999999996</v>
      </c>
      <c r="L49" s="470">
        <f t="shared" si="62"/>
        <v>0.19999999999999996</v>
      </c>
      <c r="M49" s="470">
        <f t="shared" si="62"/>
        <v>0.25</v>
      </c>
      <c r="N49" s="470">
        <f t="shared" si="62"/>
        <v>0.44999999999999996</v>
      </c>
      <c r="O49" s="470">
        <f t="shared" si="62"/>
        <v>0.5</v>
      </c>
      <c r="P49" s="470">
        <f t="shared" si="62"/>
        <v>0.5</v>
      </c>
      <c r="Q49" s="470">
        <f t="shared" si="62"/>
        <v>0.5</v>
      </c>
      <c r="R49" s="470">
        <f t="shared" si="62"/>
        <v>0.5</v>
      </c>
      <c r="S49" s="470">
        <f t="shared" si="62"/>
        <v>0.5</v>
      </c>
      <c r="T49" s="470">
        <f t="shared" si="62"/>
        <v>0.5</v>
      </c>
      <c r="U49" s="470">
        <f t="shared" si="62"/>
        <v>0.5</v>
      </c>
      <c r="V49" s="470">
        <f t="shared" si="62"/>
        <v>0.5</v>
      </c>
      <c r="W49" s="470">
        <f t="shared" si="62"/>
        <v>0.5</v>
      </c>
      <c r="X49" s="470">
        <f t="shared" si="62"/>
        <v>0.5</v>
      </c>
      <c r="Y49" s="470">
        <f t="shared" si="62"/>
        <v>0.5</v>
      </c>
      <c r="Z49" s="470">
        <f t="shared" si="62"/>
        <v>0.95</v>
      </c>
    </row>
    <row r="50" spans="1:26">
      <c r="M50" s="466"/>
      <c r="N50" s="466"/>
    </row>
    <row r="52" spans="1:26">
      <c r="B52" s="461" t="s">
        <v>557</v>
      </c>
      <c r="C52" s="461"/>
      <c r="D52" s="462"/>
      <c r="E52" s="461"/>
      <c r="F52" s="461"/>
      <c r="G52" s="461"/>
      <c r="H52" s="461"/>
      <c r="I52" s="461"/>
      <c r="J52" s="461"/>
      <c r="K52" s="461"/>
      <c r="L52" s="461"/>
      <c r="M52" s="461"/>
      <c r="N52" s="461"/>
      <c r="O52" s="461"/>
      <c r="P52" s="461"/>
      <c r="Q52" s="461"/>
      <c r="R52" s="461"/>
      <c r="S52" s="461"/>
      <c r="T52" s="461"/>
      <c r="U52" s="461"/>
      <c r="V52" s="461"/>
      <c r="W52" s="461"/>
      <c r="X52" s="461"/>
      <c r="Y52" s="461"/>
      <c r="Z52" s="461"/>
    </row>
    <row r="53" spans="1:26">
      <c r="B53" s="319" t="s">
        <v>558</v>
      </c>
      <c r="C53" s="455">
        <f>D53-5</f>
        <v>274</v>
      </c>
      <c r="D53" s="455">
        <f>E53-5</f>
        <v>279</v>
      </c>
      <c r="E53" s="455">
        <f>F53-5</f>
        <v>284</v>
      </c>
      <c r="F53" s="468">
        <v>289</v>
      </c>
      <c r="G53" s="466">
        <f>F53+F54-F59</f>
        <v>300.10399999999998</v>
      </c>
      <c r="H53" s="466">
        <f t="shared" ref="H53:O53" si="63">G53+G54-G59</f>
        <v>306.78899999999999</v>
      </c>
      <c r="I53" s="466">
        <f t="shared" si="63"/>
        <v>308.21095011</v>
      </c>
      <c r="J53" s="466">
        <f t="shared" si="63"/>
        <v>311.47384405249943</v>
      </c>
      <c r="K53" s="466">
        <f t="shared" si="63"/>
        <v>314.01489029039948</v>
      </c>
      <c r="L53" s="466">
        <f t="shared" si="63"/>
        <v>317.59444358168747</v>
      </c>
      <c r="M53" s="466">
        <f t="shared" si="63"/>
        <v>308.46472140260312</v>
      </c>
      <c r="N53" s="466">
        <f t="shared" si="63"/>
        <v>298.77898533247298</v>
      </c>
      <c r="O53" s="466">
        <f t="shared" si="63"/>
        <v>296.47326069916113</v>
      </c>
      <c r="P53" s="466">
        <f>O53+O54-O59</f>
        <v>293.45061668168211</v>
      </c>
      <c r="Q53" s="466">
        <f t="shared" ref="Q53:Z53" si="64">P53+P54-P59</f>
        <v>290.06462001464007</v>
      </c>
      <c r="R53" s="466">
        <f t="shared" si="64"/>
        <v>286.36824638927402</v>
      </c>
      <c r="S53" s="466">
        <f t="shared" si="64"/>
        <v>282.40875791704218</v>
      </c>
      <c r="T53" s="466">
        <f t="shared" si="64"/>
        <v>278.22828488786615</v>
      </c>
      <c r="U53" s="466">
        <f t="shared" si="64"/>
        <v>273.8643490925445</v>
      </c>
      <c r="V53" s="466">
        <f t="shared" si="64"/>
        <v>269.3503345594184</v>
      </c>
      <c r="W53" s="466">
        <f t="shared" si="64"/>
        <v>264.71591097020166</v>
      </c>
      <c r="X53" s="466">
        <f t="shared" si="64"/>
        <v>259.98741449323853</v>
      </c>
      <c r="Y53" s="466">
        <f t="shared" si="64"/>
        <v>255.18819029847029</v>
      </c>
      <c r="Z53" s="466">
        <f t="shared" si="64"/>
        <v>243.95919583435318</v>
      </c>
    </row>
    <row r="54" spans="1:26">
      <c r="B54" s="319" t="s">
        <v>559</v>
      </c>
      <c r="C54" s="466">
        <f t="shared" ref="C54:O54" si="65">C25-C36-C37-C38</f>
        <v>14.04</v>
      </c>
      <c r="D54" s="466">
        <f t="shared" si="65"/>
        <v>14.04</v>
      </c>
      <c r="E54" s="466">
        <f t="shared" si="65"/>
        <v>14.04</v>
      </c>
      <c r="F54" s="466">
        <f t="shared" si="65"/>
        <v>13.104000000000003</v>
      </c>
      <c r="G54" s="466">
        <f t="shared" si="65"/>
        <v>8.6850000000000005</v>
      </c>
      <c r="H54" s="466">
        <f t="shared" si="65"/>
        <v>10.625620110000002</v>
      </c>
      <c r="I54" s="466">
        <f t="shared" si="65"/>
        <v>9.4271129446994522</v>
      </c>
      <c r="J54" s="466">
        <f t="shared" si="65"/>
        <v>15.000000000000002</v>
      </c>
      <c r="K54" s="466">
        <f t="shared" si="65"/>
        <v>13.000000000000002</v>
      </c>
      <c r="L54" s="466">
        <f t="shared" si="65"/>
        <v>6.7499999999999982</v>
      </c>
      <c r="M54" s="466">
        <f t="shared" si="65"/>
        <v>5.7375000000000211</v>
      </c>
      <c r="N54" s="466">
        <f t="shared" si="65"/>
        <v>5.1637500000000038</v>
      </c>
      <c r="O54" s="466">
        <f t="shared" si="65"/>
        <v>4.3891875000000091</v>
      </c>
      <c r="P54" s="466">
        <f>P25-P36-P37-P38</f>
        <v>3.9502687500000055</v>
      </c>
      <c r="Q54" s="466">
        <f t="shared" ref="Q54:Z54" si="66">Q25-Q36-Q37-Q38</f>
        <v>3.5552418750000028</v>
      </c>
      <c r="R54" s="466">
        <f t="shared" si="66"/>
        <v>3.199717687500006</v>
      </c>
      <c r="S54" s="466">
        <f t="shared" si="66"/>
        <v>2.8797459187500034</v>
      </c>
      <c r="T54" s="466">
        <f t="shared" si="66"/>
        <v>2.5917713268750067</v>
      </c>
      <c r="U54" s="466">
        <f t="shared" si="66"/>
        <v>2.3325941941875024</v>
      </c>
      <c r="V54" s="466">
        <f t="shared" si="66"/>
        <v>2.0993347747687547</v>
      </c>
      <c r="W54" s="466">
        <f t="shared" si="66"/>
        <v>1.8894012972918821</v>
      </c>
      <c r="X54" s="466">
        <f t="shared" si="66"/>
        <v>1.7004611675626911</v>
      </c>
      <c r="Y54" s="466">
        <f t="shared" si="66"/>
        <v>1.5304150508064214</v>
      </c>
      <c r="Z54" s="466">
        <f t="shared" si="66"/>
        <v>1.3773735457257796</v>
      </c>
    </row>
    <row r="55" spans="1:26" s="480" customFormat="1" ht="12.75" customHeight="1" outlineLevel="1">
      <c r="A55" s="473"/>
      <c r="B55" s="474" t="s">
        <v>423</v>
      </c>
      <c r="C55" s="474"/>
      <c r="D55" s="475"/>
      <c r="E55" s="474"/>
      <c r="F55" s="474"/>
      <c r="G55" s="474"/>
      <c r="H55" s="474"/>
      <c r="I55" s="474"/>
      <c r="J55" s="497"/>
      <c r="K55" s="498">
        <f>K56</f>
        <v>0.03</v>
      </c>
      <c r="L55" s="499">
        <f>L56</f>
        <v>0.05</v>
      </c>
      <c r="M55" s="499">
        <f>L55</f>
        <v>0.05</v>
      </c>
      <c r="N55" s="499">
        <f>M55</f>
        <v>0.05</v>
      </c>
      <c r="O55" s="499">
        <f>N55</f>
        <v>0.05</v>
      </c>
      <c r="P55" s="499">
        <f>O55</f>
        <v>0.05</v>
      </c>
      <c r="Q55" s="499">
        <f t="shared" ref="Q55:Y56" si="67">P55</f>
        <v>0.05</v>
      </c>
      <c r="R55" s="499">
        <f t="shared" si="67"/>
        <v>0.05</v>
      </c>
      <c r="S55" s="499">
        <f t="shared" si="67"/>
        <v>0.05</v>
      </c>
      <c r="T55" s="499">
        <f t="shared" si="67"/>
        <v>0.05</v>
      </c>
      <c r="U55" s="499">
        <f t="shared" si="67"/>
        <v>0.05</v>
      </c>
      <c r="V55" s="499">
        <f t="shared" si="67"/>
        <v>0.05</v>
      </c>
      <c r="W55" s="499">
        <f t="shared" si="67"/>
        <v>0.05</v>
      </c>
      <c r="X55" s="499">
        <f t="shared" si="67"/>
        <v>0.05</v>
      </c>
      <c r="Y55" s="499">
        <f t="shared" si="67"/>
        <v>0.05</v>
      </c>
      <c r="Z55" s="498">
        <f>Y55*0.1</f>
        <v>5.000000000000001E-3</v>
      </c>
    </row>
    <row r="56" spans="1:26" s="480" customFormat="1" ht="12.75" customHeight="1" outlineLevel="1">
      <c r="A56" s="473"/>
      <c r="B56" s="474" t="s">
        <v>424</v>
      </c>
      <c r="C56" s="474"/>
      <c r="D56" s="481"/>
      <c r="E56" s="481"/>
      <c r="F56" s="481"/>
      <c r="G56" s="481"/>
      <c r="H56" s="481"/>
      <c r="I56" s="481"/>
      <c r="J56" s="500"/>
      <c r="K56" s="500">
        <v>0.03</v>
      </c>
      <c r="L56" s="500">
        <v>0.05</v>
      </c>
      <c r="M56" s="500">
        <v>0.05</v>
      </c>
      <c r="N56" s="500">
        <v>2.5000000000000001E-2</v>
      </c>
      <c r="O56" s="500">
        <f>N56</f>
        <v>2.5000000000000001E-2</v>
      </c>
      <c r="P56" s="500">
        <f>O56</f>
        <v>2.5000000000000001E-2</v>
      </c>
      <c r="Q56" s="500">
        <f>P56</f>
        <v>2.5000000000000001E-2</v>
      </c>
      <c r="R56" s="500">
        <f>Q56</f>
        <v>2.5000000000000001E-2</v>
      </c>
      <c r="S56" s="500">
        <f t="shared" si="67"/>
        <v>2.5000000000000001E-2</v>
      </c>
      <c r="T56" s="500">
        <f t="shared" si="67"/>
        <v>2.5000000000000001E-2</v>
      </c>
      <c r="U56" s="500">
        <f t="shared" si="67"/>
        <v>2.5000000000000001E-2</v>
      </c>
      <c r="V56" s="500">
        <f t="shared" si="67"/>
        <v>2.5000000000000001E-2</v>
      </c>
      <c r="W56" s="500">
        <f t="shared" si="67"/>
        <v>2.5000000000000001E-2</v>
      </c>
      <c r="X56" s="500">
        <f t="shared" si="67"/>
        <v>2.5000000000000001E-2</v>
      </c>
      <c r="Y56" s="500">
        <v>0.05</v>
      </c>
      <c r="Z56" s="500">
        <f>Y56*0.1</f>
        <v>5.000000000000001E-3</v>
      </c>
    </row>
    <row r="57" spans="1:26" s="480" customFormat="1" ht="12.75" customHeight="1" outlineLevel="1">
      <c r="A57" s="473"/>
      <c r="B57" s="474" t="s">
        <v>425</v>
      </c>
      <c r="C57" s="474"/>
      <c r="D57" s="475"/>
      <c r="E57" s="474"/>
      <c r="F57" s="474"/>
      <c r="G57" s="474"/>
      <c r="H57" s="474"/>
      <c r="I57" s="474"/>
      <c r="J57" s="497"/>
      <c r="K57" s="497">
        <v>0.06</v>
      </c>
      <c r="L57" s="502">
        <f>K57*0.8</f>
        <v>4.8000000000000001E-2</v>
      </c>
      <c r="M57" s="502">
        <f>L57*0.8</f>
        <v>3.8400000000000004E-2</v>
      </c>
      <c r="N57" s="502">
        <f>M57*0.8</f>
        <v>3.0720000000000004E-2</v>
      </c>
      <c r="O57" s="502">
        <v>0.03</v>
      </c>
      <c r="P57" s="502">
        <v>0.02</v>
      </c>
      <c r="Q57" s="502">
        <v>0.02</v>
      </c>
      <c r="R57" s="502">
        <v>0.02</v>
      </c>
      <c r="S57" s="502">
        <v>0.02</v>
      </c>
      <c r="T57" s="502">
        <v>0.02</v>
      </c>
      <c r="U57" s="502">
        <v>0.02</v>
      </c>
      <c r="V57" s="502">
        <v>0.02</v>
      </c>
      <c r="W57" s="502">
        <v>0.02</v>
      </c>
      <c r="X57" s="502">
        <v>0.02</v>
      </c>
      <c r="Y57" s="502">
        <v>0.02</v>
      </c>
      <c r="Z57" s="502">
        <f>Y57*0.1</f>
        <v>2E-3</v>
      </c>
    </row>
    <row r="58" spans="1:26">
      <c r="A58" s="484" t="s">
        <v>578</v>
      </c>
      <c r="B58" s="485" t="s">
        <v>560</v>
      </c>
      <c r="C58" s="504">
        <f>C59/C53</f>
        <v>7.2992700729927005E-3</v>
      </c>
      <c r="D58" s="504">
        <f>D59/D53</f>
        <v>7.1684587813620072E-3</v>
      </c>
      <c r="E58" s="504">
        <f>E59/E53</f>
        <v>7.0422535211267607E-3</v>
      </c>
      <c r="F58" s="504">
        <f>F59/F53</f>
        <v>6.920415224913495E-3</v>
      </c>
      <c r="G58" s="504">
        <f>G59/G53</f>
        <v>6.6643563564630932E-3</v>
      </c>
      <c r="H58" s="500">
        <v>0.03</v>
      </c>
      <c r="I58" s="500">
        <v>0.02</v>
      </c>
      <c r="J58" s="500">
        <v>0.04</v>
      </c>
      <c r="K58" s="503">
        <f t="shared" ref="K58:Z58" si="68">CHOOSE($E$1,K55,K56,K57)</f>
        <v>0.03</v>
      </c>
      <c r="L58" s="503">
        <f t="shared" si="68"/>
        <v>0.05</v>
      </c>
      <c r="M58" s="503">
        <f t="shared" si="68"/>
        <v>0.05</v>
      </c>
      <c r="N58" s="503">
        <f t="shared" si="68"/>
        <v>2.5000000000000001E-2</v>
      </c>
      <c r="O58" s="503">
        <f t="shared" si="68"/>
        <v>2.5000000000000001E-2</v>
      </c>
      <c r="P58" s="503">
        <f t="shared" si="68"/>
        <v>2.5000000000000001E-2</v>
      </c>
      <c r="Q58" s="503">
        <f t="shared" si="68"/>
        <v>2.5000000000000001E-2</v>
      </c>
      <c r="R58" s="503">
        <f t="shared" si="68"/>
        <v>2.5000000000000001E-2</v>
      </c>
      <c r="S58" s="503">
        <f t="shared" si="68"/>
        <v>2.5000000000000001E-2</v>
      </c>
      <c r="T58" s="503">
        <f t="shared" si="68"/>
        <v>2.5000000000000001E-2</v>
      </c>
      <c r="U58" s="503">
        <f t="shared" si="68"/>
        <v>2.5000000000000001E-2</v>
      </c>
      <c r="V58" s="503">
        <f t="shared" si="68"/>
        <v>2.5000000000000001E-2</v>
      </c>
      <c r="W58" s="503">
        <f t="shared" si="68"/>
        <v>2.5000000000000001E-2</v>
      </c>
      <c r="X58" s="503">
        <f t="shared" si="68"/>
        <v>2.5000000000000001E-2</v>
      </c>
      <c r="Y58" s="503">
        <f t="shared" si="68"/>
        <v>0.05</v>
      </c>
      <c r="Z58" s="503">
        <f t="shared" si="68"/>
        <v>5.000000000000001E-3</v>
      </c>
    </row>
    <row r="59" spans="1:26">
      <c r="B59" s="319" t="s">
        <v>561</v>
      </c>
      <c r="C59" s="505">
        <f>C18-C25</f>
        <v>2</v>
      </c>
      <c r="D59" s="505">
        <f>D18-D25</f>
        <v>2</v>
      </c>
      <c r="E59" s="505">
        <f>E18-E25</f>
        <v>2</v>
      </c>
      <c r="F59" s="505">
        <f>F18-F25</f>
        <v>2</v>
      </c>
      <c r="G59" s="505">
        <f>G18-G25</f>
        <v>2</v>
      </c>
      <c r="H59" s="505">
        <f t="shared" ref="H59:O59" si="69">H58*H53</f>
        <v>9.2036699999999989</v>
      </c>
      <c r="I59" s="505">
        <f t="shared" si="69"/>
        <v>6.1642190022000003</v>
      </c>
      <c r="J59" s="505">
        <f t="shared" si="69"/>
        <v>12.458953762099977</v>
      </c>
      <c r="K59" s="505">
        <f t="shared" si="69"/>
        <v>9.4204467087119834</v>
      </c>
      <c r="L59" s="505">
        <f t="shared" si="69"/>
        <v>15.879722179084375</v>
      </c>
      <c r="M59" s="505">
        <f t="shared" si="69"/>
        <v>15.423236070130157</v>
      </c>
      <c r="N59" s="505">
        <f t="shared" si="69"/>
        <v>7.4694746333118252</v>
      </c>
      <c r="O59" s="505">
        <f t="shared" si="69"/>
        <v>7.4118315174790288</v>
      </c>
      <c r="P59" s="505">
        <f>P58*P53</f>
        <v>7.3362654170420534</v>
      </c>
      <c r="Q59" s="505">
        <f t="shared" ref="Q59:Z59" si="70">Q58*Q53</f>
        <v>7.2516155003660021</v>
      </c>
      <c r="R59" s="505">
        <f t="shared" si="70"/>
        <v>7.159206159731851</v>
      </c>
      <c r="S59" s="505">
        <f t="shared" si="70"/>
        <v>7.0602189479260549</v>
      </c>
      <c r="T59" s="505">
        <f t="shared" si="70"/>
        <v>6.955707122196654</v>
      </c>
      <c r="U59" s="505">
        <f t="shared" si="70"/>
        <v>6.8466087273136127</v>
      </c>
      <c r="V59" s="505">
        <f t="shared" si="70"/>
        <v>6.7337583639854603</v>
      </c>
      <c r="W59" s="505">
        <f t="shared" si="70"/>
        <v>6.6178977742550416</v>
      </c>
      <c r="X59" s="505">
        <f t="shared" si="70"/>
        <v>6.4996853623309638</v>
      </c>
      <c r="Y59" s="505">
        <f t="shared" si="70"/>
        <v>12.759409514923515</v>
      </c>
      <c r="Z59" s="505">
        <f t="shared" si="70"/>
        <v>1.2197959791717661</v>
      </c>
    </row>
    <row r="61" spans="1:26">
      <c r="B61" s="471" t="s">
        <v>583</v>
      </c>
      <c r="C61" s="471"/>
      <c r="D61" s="472"/>
      <c r="E61" s="471"/>
      <c r="F61" s="471"/>
      <c r="G61" s="471"/>
      <c r="H61" s="471"/>
      <c r="I61" s="471"/>
      <c r="J61" s="471"/>
      <c r="K61" s="471"/>
      <c r="L61" s="471"/>
      <c r="M61" s="471"/>
      <c r="N61" s="471"/>
      <c r="O61" s="471"/>
      <c r="P61" s="471"/>
      <c r="Q61" s="471"/>
      <c r="R61" s="471"/>
      <c r="S61" s="471"/>
      <c r="T61" s="471"/>
      <c r="U61" s="471"/>
      <c r="V61" s="471"/>
      <c r="W61" s="471"/>
      <c r="X61" s="471"/>
      <c r="Y61" s="471"/>
      <c r="Z61" s="471"/>
    </row>
    <row r="62" spans="1:26">
      <c r="B62" s="319" t="s">
        <v>562</v>
      </c>
      <c r="C62" s="505">
        <f>C63*C59</f>
        <v>0.4</v>
      </c>
      <c r="D62" s="505">
        <f t="shared" ref="D62:Z62" si="71">D63*D59</f>
        <v>0.4</v>
      </c>
      <c r="E62" s="505">
        <f t="shared" si="71"/>
        <v>0.4</v>
      </c>
      <c r="F62" s="505">
        <f t="shared" si="71"/>
        <v>0.4</v>
      </c>
      <c r="G62" s="505">
        <f t="shared" si="71"/>
        <v>0.8</v>
      </c>
      <c r="H62" s="505">
        <f t="shared" si="71"/>
        <v>5.0620184999999998</v>
      </c>
      <c r="I62" s="505">
        <f t="shared" si="71"/>
        <v>3.3903204512100005</v>
      </c>
      <c r="J62" s="505">
        <f t="shared" si="71"/>
        <v>9.3442153215749819</v>
      </c>
      <c r="K62" s="505">
        <f t="shared" si="71"/>
        <v>8.0073797024051849</v>
      </c>
      <c r="L62" s="505">
        <f t="shared" si="71"/>
        <v>14.291749961175938</v>
      </c>
      <c r="M62" s="505">
        <f t="shared" si="71"/>
        <v>13.880912463117141</v>
      </c>
      <c r="N62" s="505">
        <f t="shared" si="71"/>
        <v>6.7225271699806424</v>
      </c>
      <c r="O62" s="505">
        <f t="shared" si="71"/>
        <v>6.6706483657311262</v>
      </c>
      <c r="P62" s="505">
        <f t="shared" si="71"/>
        <v>6.6026388753378482</v>
      </c>
      <c r="Q62" s="505">
        <f t="shared" si="71"/>
        <v>6.5264539503294019</v>
      </c>
      <c r="R62" s="505">
        <f t="shared" si="71"/>
        <v>6.443285543758666</v>
      </c>
      <c r="S62" s="505">
        <f t="shared" si="71"/>
        <v>6.3541970531334497</v>
      </c>
      <c r="T62" s="505">
        <f t="shared" si="71"/>
        <v>6.2601364099769885</v>
      </c>
      <c r="U62" s="505">
        <f t="shared" si="71"/>
        <v>6.1619478545822517</v>
      </c>
      <c r="V62" s="505">
        <f t="shared" si="71"/>
        <v>6.0603825275869143</v>
      </c>
      <c r="W62" s="505">
        <f t="shared" si="71"/>
        <v>5.9561079968295374</v>
      </c>
      <c r="X62" s="505">
        <f t="shared" si="71"/>
        <v>5.8497168260978674</v>
      </c>
      <c r="Y62" s="505">
        <f t="shared" si="71"/>
        <v>11.483468563431163</v>
      </c>
      <c r="Z62" s="505">
        <f t="shared" si="71"/>
        <v>1.0978163812545896</v>
      </c>
    </row>
    <row r="63" spans="1:26">
      <c r="B63" s="319" t="s">
        <v>563</v>
      </c>
      <c r="C63" s="469">
        <f>D63</f>
        <v>0.2</v>
      </c>
      <c r="D63" s="469">
        <f>E63</f>
        <v>0.2</v>
      </c>
      <c r="E63" s="469">
        <f>F63</f>
        <v>0.2</v>
      </c>
      <c r="F63" s="469">
        <v>0.2</v>
      </c>
      <c r="G63" s="469">
        <v>0.4</v>
      </c>
      <c r="H63" s="469">
        <v>0.55000000000000004</v>
      </c>
      <c r="I63" s="469">
        <f>H63</f>
        <v>0.55000000000000004</v>
      </c>
      <c r="J63" s="469">
        <v>0.75</v>
      </c>
      <c r="K63" s="469">
        <v>0.85</v>
      </c>
      <c r="L63" s="469">
        <v>0.9</v>
      </c>
      <c r="M63" s="469">
        <f>L63</f>
        <v>0.9</v>
      </c>
      <c r="N63" s="469">
        <f>M63</f>
        <v>0.9</v>
      </c>
      <c r="O63" s="469">
        <f>N63</f>
        <v>0.9</v>
      </c>
      <c r="P63" s="469">
        <f>O63</f>
        <v>0.9</v>
      </c>
      <c r="Q63" s="469">
        <f t="shared" ref="Q63:Z63" si="72">P63</f>
        <v>0.9</v>
      </c>
      <c r="R63" s="469">
        <f t="shared" si="72"/>
        <v>0.9</v>
      </c>
      <c r="S63" s="469">
        <f t="shared" si="72"/>
        <v>0.9</v>
      </c>
      <c r="T63" s="469">
        <f t="shared" si="72"/>
        <v>0.9</v>
      </c>
      <c r="U63" s="469">
        <f t="shared" si="72"/>
        <v>0.9</v>
      </c>
      <c r="V63" s="469">
        <f t="shared" si="72"/>
        <v>0.9</v>
      </c>
      <c r="W63" s="469">
        <f t="shared" si="72"/>
        <v>0.9</v>
      </c>
      <c r="X63" s="469">
        <f t="shared" si="72"/>
        <v>0.9</v>
      </c>
      <c r="Y63" s="469">
        <f t="shared" si="72"/>
        <v>0.9</v>
      </c>
      <c r="Z63" s="469">
        <f t="shared" si="72"/>
        <v>0.9</v>
      </c>
    </row>
    <row r="65" spans="1:28">
      <c r="B65" s="319" t="s">
        <v>564</v>
      </c>
      <c r="J65" s="505">
        <f>J25*J48*0.1</f>
        <v>2.85</v>
      </c>
      <c r="K65" s="505">
        <f>K25*K48*0.07</f>
        <v>7.2800000000000011</v>
      </c>
      <c r="L65" s="505">
        <f>L25*L48*0.05</f>
        <v>5.4</v>
      </c>
      <c r="M65" s="505">
        <f>M25*M48*0.05</f>
        <v>4.3031250000000005</v>
      </c>
      <c r="N65" s="505">
        <f>N25*N48*0.05</f>
        <v>2.8400625000000006</v>
      </c>
      <c r="O65" s="505">
        <f>O25*O48*0.05</f>
        <v>2.1945937500000001</v>
      </c>
      <c r="P65" s="505">
        <f>P25*P48*0.05</f>
        <v>1.9751343750000001</v>
      </c>
      <c r="Q65" s="505">
        <f t="shared" ref="Q65:Z65" si="73">Q25*Q48*0.05</f>
        <v>1.7776209375000001</v>
      </c>
      <c r="R65" s="505">
        <f t="shared" si="73"/>
        <v>1.5998588437500001</v>
      </c>
      <c r="S65" s="505">
        <f t="shared" si="73"/>
        <v>1.4398729593750001</v>
      </c>
      <c r="T65" s="505">
        <f t="shared" si="73"/>
        <v>1.2958856634375002</v>
      </c>
      <c r="U65" s="505">
        <f t="shared" si="73"/>
        <v>1.1662970970937501</v>
      </c>
      <c r="V65" s="505">
        <f t="shared" si="73"/>
        <v>1.0496673873843752</v>
      </c>
      <c r="W65" s="505">
        <f t="shared" si="73"/>
        <v>0.94470064864593761</v>
      </c>
      <c r="X65" s="505">
        <f t="shared" si="73"/>
        <v>0.85023058378134386</v>
      </c>
      <c r="Y65" s="505">
        <f t="shared" si="73"/>
        <v>0.76520752540320947</v>
      </c>
      <c r="Z65" s="505">
        <f t="shared" si="73"/>
        <v>6.8868677286288857E-2</v>
      </c>
    </row>
    <row r="66" spans="1:28">
      <c r="B66" s="319" t="s">
        <v>565</v>
      </c>
      <c r="J66" s="466">
        <f t="shared" ref="J66:P66" si="74">J59-J65</f>
        <v>9.6089537620999774</v>
      </c>
      <c r="K66" s="466">
        <f t="shared" si="74"/>
        <v>2.1404467087119823</v>
      </c>
      <c r="L66" s="466">
        <f t="shared" si="74"/>
        <v>10.479722179084375</v>
      </c>
      <c r="M66" s="466">
        <f t="shared" si="74"/>
        <v>11.120111070130157</v>
      </c>
      <c r="N66" s="466">
        <f t="shared" si="74"/>
        <v>4.6294121333118241</v>
      </c>
      <c r="O66" s="466">
        <f t="shared" si="74"/>
        <v>5.2172377674790287</v>
      </c>
      <c r="P66" s="466">
        <f t="shared" si="74"/>
        <v>5.3611310420420537</v>
      </c>
      <c r="Q66" s="466">
        <f t="shared" ref="Q66:Z66" si="75">Q59-Q65</f>
        <v>5.4739945628660021</v>
      </c>
      <c r="R66" s="466">
        <f t="shared" si="75"/>
        <v>5.5593473159818512</v>
      </c>
      <c r="S66" s="466">
        <f t="shared" si="75"/>
        <v>5.6203459885510547</v>
      </c>
      <c r="T66" s="466">
        <f t="shared" si="75"/>
        <v>5.6598214587591542</v>
      </c>
      <c r="U66" s="466">
        <f t="shared" si="75"/>
        <v>5.6803116302198626</v>
      </c>
      <c r="V66" s="466">
        <f t="shared" si="75"/>
        <v>5.6840909766010856</v>
      </c>
      <c r="W66" s="466">
        <f t="shared" si="75"/>
        <v>5.6731971256091036</v>
      </c>
      <c r="X66" s="466">
        <f t="shared" si="75"/>
        <v>5.6494547785496199</v>
      </c>
      <c r="Y66" s="466">
        <f t="shared" si="75"/>
        <v>11.994201989520306</v>
      </c>
      <c r="Z66" s="466">
        <f t="shared" si="75"/>
        <v>1.1509273018854773</v>
      </c>
    </row>
    <row r="67" spans="1:28">
      <c r="C67" s="470"/>
      <c r="D67" s="470"/>
      <c r="E67" s="470"/>
      <c r="F67" s="470"/>
      <c r="G67" s="470"/>
      <c r="H67" s="470"/>
      <c r="I67" s="470"/>
      <c r="J67" s="470"/>
      <c r="K67" s="470"/>
      <c r="L67" s="470"/>
      <c r="M67" s="470"/>
      <c r="N67" s="470"/>
      <c r="O67" s="470"/>
      <c r="P67" s="470"/>
    </row>
    <row r="68" spans="1:28">
      <c r="B68" s="494" t="s">
        <v>587</v>
      </c>
      <c r="C68" s="494"/>
      <c r="D68" s="495"/>
      <c r="E68" s="494"/>
      <c r="F68" s="494"/>
      <c r="G68" s="494"/>
      <c r="H68" s="494"/>
      <c r="I68" s="494"/>
      <c r="J68" s="494"/>
      <c r="K68" s="494"/>
      <c r="L68" s="494"/>
      <c r="M68" s="494"/>
      <c r="N68" s="494"/>
      <c r="O68" s="494"/>
      <c r="P68" s="494"/>
      <c r="Q68" s="494"/>
      <c r="R68" s="494"/>
      <c r="S68" s="494"/>
      <c r="T68" s="494"/>
      <c r="U68" s="494"/>
      <c r="V68" s="494"/>
      <c r="W68" s="494"/>
      <c r="X68" s="494"/>
      <c r="Y68" s="494"/>
      <c r="Z68" s="494"/>
    </row>
    <row r="69" spans="1:28">
      <c r="A69" s="484" t="s">
        <v>578</v>
      </c>
      <c r="B69" s="485" t="s">
        <v>541</v>
      </c>
      <c r="C69" s="504"/>
      <c r="D69" s="504"/>
      <c r="E69" s="504"/>
      <c r="F69" s="504"/>
      <c r="G69" s="504"/>
      <c r="H69" s="500"/>
      <c r="I69" s="500"/>
      <c r="J69" s="506">
        <v>0.35</v>
      </c>
      <c r="K69" s="503">
        <f t="shared" ref="K69:P69" si="76">K48</f>
        <v>0.8</v>
      </c>
      <c r="L69" s="503">
        <f t="shared" si="76"/>
        <v>0.8</v>
      </c>
      <c r="M69" s="503">
        <f t="shared" si="76"/>
        <v>0.75</v>
      </c>
      <c r="N69" s="503">
        <f t="shared" si="76"/>
        <v>0.55000000000000004</v>
      </c>
      <c r="O69" s="503">
        <f t="shared" si="76"/>
        <v>0.5</v>
      </c>
      <c r="P69" s="503">
        <f t="shared" si="76"/>
        <v>0.5</v>
      </c>
      <c r="Q69" s="503">
        <f t="shared" ref="Q69:Z69" si="77">Q48</f>
        <v>0.5</v>
      </c>
      <c r="R69" s="503">
        <f t="shared" si="77"/>
        <v>0.5</v>
      </c>
      <c r="S69" s="503">
        <f t="shared" si="77"/>
        <v>0.5</v>
      </c>
      <c r="T69" s="503">
        <f t="shared" si="77"/>
        <v>0.5</v>
      </c>
      <c r="U69" s="503">
        <f t="shared" si="77"/>
        <v>0.5</v>
      </c>
      <c r="V69" s="503">
        <f t="shared" si="77"/>
        <v>0.5</v>
      </c>
      <c r="W69" s="503">
        <f t="shared" si="77"/>
        <v>0.5</v>
      </c>
      <c r="X69" s="503">
        <f t="shared" si="77"/>
        <v>0.5</v>
      </c>
      <c r="Y69" s="503">
        <f t="shared" si="77"/>
        <v>0.5</v>
      </c>
      <c r="Z69" s="503">
        <f t="shared" si="77"/>
        <v>0.05</v>
      </c>
    </row>
    <row r="70" spans="1:28">
      <c r="B70" s="319" t="s">
        <v>68</v>
      </c>
      <c r="C70" s="470">
        <f>1-C69</f>
        <v>1</v>
      </c>
      <c r="D70" s="470">
        <f t="shared" ref="D70:Z70" si="78">1-D69</f>
        <v>1</v>
      </c>
      <c r="E70" s="470">
        <f t="shared" si="78"/>
        <v>1</v>
      </c>
      <c r="F70" s="470">
        <f t="shared" si="78"/>
        <v>1</v>
      </c>
      <c r="G70" s="470">
        <f t="shared" si="78"/>
        <v>1</v>
      </c>
      <c r="H70" s="470">
        <f t="shared" si="78"/>
        <v>1</v>
      </c>
      <c r="I70" s="470">
        <f t="shared" si="78"/>
        <v>1</v>
      </c>
      <c r="J70" s="470">
        <f t="shared" si="78"/>
        <v>0.65</v>
      </c>
      <c r="K70" s="470">
        <f t="shared" si="78"/>
        <v>0.19999999999999996</v>
      </c>
      <c r="L70" s="470">
        <f t="shared" si="78"/>
        <v>0.19999999999999996</v>
      </c>
      <c r="M70" s="470">
        <f t="shared" si="78"/>
        <v>0.25</v>
      </c>
      <c r="N70" s="470">
        <f t="shared" si="78"/>
        <v>0.44999999999999996</v>
      </c>
      <c r="O70" s="470">
        <f t="shared" si="78"/>
        <v>0.5</v>
      </c>
      <c r="P70" s="470">
        <f>1-P69</f>
        <v>0.5</v>
      </c>
      <c r="Q70" s="470">
        <f t="shared" si="78"/>
        <v>0.5</v>
      </c>
      <c r="R70" s="470">
        <f t="shared" si="78"/>
        <v>0.5</v>
      </c>
      <c r="S70" s="470">
        <f t="shared" si="78"/>
        <v>0.5</v>
      </c>
      <c r="T70" s="470">
        <f t="shared" si="78"/>
        <v>0.5</v>
      </c>
      <c r="U70" s="470">
        <f t="shared" si="78"/>
        <v>0.5</v>
      </c>
      <c r="V70" s="470">
        <f t="shared" si="78"/>
        <v>0.5</v>
      </c>
      <c r="W70" s="470">
        <f t="shared" si="78"/>
        <v>0.5</v>
      </c>
      <c r="X70" s="470">
        <f t="shared" si="78"/>
        <v>0.5</v>
      </c>
      <c r="Y70" s="470">
        <f t="shared" si="78"/>
        <v>0.5</v>
      </c>
      <c r="Z70" s="470">
        <f t="shared" si="78"/>
        <v>0.95</v>
      </c>
    </row>
    <row r="72" spans="1:28">
      <c r="B72" s="507" t="s">
        <v>801</v>
      </c>
      <c r="C72" s="507"/>
      <c r="D72" s="508"/>
      <c r="E72" s="508"/>
      <c r="F72" s="508"/>
      <c r="G72" s="508"/>
      <c r="H72" s="508"/>
      <c r="I72" s="508"/>
      <c r="J72" s="508"/>
      <c r="K72" s="508"/>
      <c r="L72" s="508"/>
      <c r="M72" s="508"/>
      <c r="N72" s="508"/>
      <c r="O72" s="508"/>
      <c r="P72" s="508"/>
      <c r="Q72" s="508"/>
      <c r="R72" s="508"/>
      <c r="S72" s="508"/>
      <c r="T72" s="508"/>
      <c r="U72" s="508"/>
      <c r="V72" s="508"/>
      <c r="W72" s="508"/>
      <c r="X72" s="508"/>
      <c r="Y72" s="508"/>
      <c r="Z72" s="508"/>
    </row>
    <row r="74" spans="1:28" ht="12.75" customHeight="1" outlineLevel="1">
      <c r="B74" s="319" t="s">
        <v>619</v>
      </c>
      <c r="K74" s="509">
        <v>-2.5000000000000001E-2</v>
      </c>
      <c r="L74" s="510">
        <f>K74</f>
        <v>-2.5000000000000001E-2</v>
      </c>
      <c r="M74" s="510">
        <f>L74</f>
        <v>-2.5000000000000001E-2</v>
      </c>
      <c r="N74" s="510">
        <f>M74</f>
        <v>-2.5000000000000001E-2</v>
      </c>
      <c r="O74" s="510">
        <f>N74</f>
        <v>-2.5000000000000001E-2</v>
      </c>
      <c r="P74" s="510">
        <f>O74</f>
        <v>-2.5000000000000001E-2</v>
      </c>
      <c r="Q74" s="510">
        <f t="shared" ref="Q74:Z74" si="79">P74</f>
        <v>-2.5000000000000001E-2</v>
      </c>
      <c r="R74" s="510">
        <f t="shared" si="79"/>
        <v>-2.5000000000000001E-2</v>
      </c>
      <c r="S74" s="510">
        <f t="shared" si="79"/>
        <v>-2.5000000000000001E-2</v>
      </c>
      <c r="T74" s="510">
        <f t="shared" si="79"/>
        <v>-2.5000000000000001E-2</v>
      </c>
      <c r="U74" s="510">
        <f t="shared" si="79"/>
        <v>-2.5000000000000001E-2</v>
      </c>
      <c r="V74" s="510">
        <f t="shared" si="79"/>
        <v>-2.5000000000000001E-2</v>
      </c>
      <c r="W74" s="510">
        <f t="shared" si="79"/>
        <v>-2.5000000000000001E-2</v>
      </c>
      <c r="X74" s="510">
        <f t="shared" si="79"/>
        <v>-2.5000000000000001E-2</v>
      </c>
      <c r="Y74" s="510">
        <f t="shared" si="79"/>
        <v>-2.5000000000000001E-2</v>
      </c>
      <c r="Z74" s="510">
        <f t="shared" si="79"/>
        <v>-2.5000000000000001E-2</v>
      </c>
    </row>
    <row r="75" spans="1:28" ht="12.75" customHeight="1" outlineLevel="1">
      <c r="B75" s="319" t="s">
        <v>611</v>
      </c>
      <c r="K75" s="464">
        <v>19000</v>
      </c>
      <c r="L75" s="455">
        <f>K75*(1+L74)</f>
        <v>18525</v>
      </c>
      <c r="M75" s="455">
        <f>L75*(1+M74)</f>
        <v>18061.875</v>
      </c>
      <c r="N75" s="455">
        <f>M75*(1+N74)</f>
        <v>17610.328125</v>
      </c>
      <c r="O75" s="455">
        <f>N75*(1+O74)</f>
        <v>17170.069921874998</v>
      </c>
      <c r="P75" s="455">
        <f>O75*(1+P74)</f>
        <v>16740.818173828124</v>
      </c>
      <c r="Q75" s="455">
        <f t="shared" ref="Q75:Z75" si="80">P75*(1+Q74)</f>
        <v>16322.29771948242</v>
      </c>
      <c r="R75" s="455">
        <f t="shared" si="80"/>
        <v>15914.240276495359</v>
      </c>
      <c r="S75" s="455">
        <f t="shared" si="80"/>
        <v>15516.384269582974</v>
      </c>
      <c r="T75" s="455">
        <f t="shared" si="80"/>
        <v>15128.474662843399</v>
      </c>
      <c r="U75" s="455">
        <f t="shared" si="80"/>
        <v>14750.262796272313</v>
      </c>
      <c r="V75" s="455">
        <f t="shared" si="80"/>
        <v>14381.506226365505</v>
      </c>
      <c r="W75" s="455">
        <f t="shared" si="80"/>
        <v>14021.968570706367</v>
      </c>
      <c r="X75" s="455">
        <f t="shared" si="80"/>
        <v>13671.419356438708</v>
      </c>
      <c r="Y75" s="455">
        <f t="shared" si="80"/>
        <v>13329.63387252774</v>
      </c>
      <c r="Z75" s="455">
        <f t="shared" si="80"/>
        <v>12996.393025714546</v>
      </c>
    </row>
    <row r="76" spans="1:28" ht="12.75" customHeight="1" outlineLevel="1">
      <c r="B76" s="465" t="s">
        <v>612</v>
      </c>
      <c r="K76" s="455">
        <f t="shared" ref="K76:P76" si="81">K75*2</f>
        <v>38000</v>
      </c>
      <c r="L76" s="455">
        <f t="shared" si="81"/>
        <v>37050</v>
      </c>
      <c r="M76" s="455">
        <f t="shared" si="81"/>
        <v>36123.75</v>
      </c>
      <c r="N76" s="455">
        <f t="shared" si="81"/>
        <v>35220.65625</v>
      </c>
      <c r="O76" s="455">
        <f t="shared" si="81"/>
        <v>34340.139843749996</v>
      </c>
      <c r="P76" s="455">
        <f t="shared" si="81"/>
        <v>33481.636347656247</v>
      </c>
      <c r="Q76" s="455">
        <f t="shared" ref="Q76:Z76" si="82">Q75*2</f>
        <v>32644.59543896484</v>
      </c>
      <c r="R76" s="455">
        <f t="shared" si="82"/>
        <v>31828.480552990717</v>
      </c>
      <c r="S76" s="455">
        <f t="shared" si="82"/>
        <v>31032.768539165947</v>
      </c>
      <c r="T76" s="455">
        <f t="shared" si="82"/>
        <v>30256.949325686797</v>
      </c>
      <c r="U76" s="455">
        <f t="shared" si="82"/>
        <v>29500.525592544625</v>
      </c>
      <c r="V76" s="455">
        <f t="shared" si="82"/>
        <v>28763.012452731011</v>
      </c>
      <c r="W76" s="455">
        <f t="shared" si="82"/>
        <v>28043.937141412734</v>
      </c>
      <c r="X76" s="455">
        <f t="shared" si="82"/>
        <v>27342.838712877416</v>
      </c>
      <c r="Y76" s="455">
        <f t="shared" si="82"/>
        <v>26659.26774505548</v>
      </c>
      <c r="Z76" s="455">
        <f t="shared" si="82"/>
        <v>25992.786051429091</v>
      </c>
    </row>
    <row r="77" spans="1:28" ht="12.75" customHeight="1" outlineLevel="1">
      <c r="B77" s="465" t="s">
        <v>608</v>
      </c>
      <c r="K77" s="455">
        <f t="shared" ref="K77:Z77" si="83">K75*3</f>
        <v>57000</v>
      </c>
      <c r="L77" s="455">
        <f t="shared" si="83"/>
        <v>55575</v>
      </c>
      <c r="M77" s="455">
        <f t="shared" si="83"/>
        <v>54185.625</v>
      </c>
      <c r="N77" s="455">
        <f t="shared" si="83"/>
        <v>52830.984375</v>
      </c>
      <c r="O77" s="455">
        <f t="shared" si="83"/>
        <v>51510.209765624997</v>
      </c>
      <c r="P77" s="455">
        <f t="shared" si="83"/>
        <v>50222.454521484367</v>
      </c>
      <c r="Q77" s="455">
        <f t="shared" si="83"/>
        <v>48966.893158447259</v>
      </c>
      <c r="R77" s="455">
        <f t="shared" si="83"/>
        <v>47742.720829486076</v>
      </c>
      <c r="S77" s="455">
        <f t="shared" si="83"/>
        <v>46549.152808748921</v>
      </c>
      <c r="T77" s="455">
        <f t="shared" si="83"/>
        <v>45385.423988530194</v>
      </c>
      <c r="U77" s="455">
        <f t="shared" si="83"/>
        <v>44250.788388816938</v>
      </c>
      <c r="V77" s="455">
        <f t="shared" si="83"/>
        <v>43144.518679096516</v>
      </c>
      <c r="W77" s="455">
        <f t="shared" si="83"/>
        <v>42065.9057121191</v>
      </c>
      <c r="X77" s="455">
        <f t="shared" si="83"/>
        <v>41014.258069316122</v>
      </c>
      <c r="Y77" s="455">
        <f t="shared" si="83"/>
        <v>39988.901617583222</v>
      </c>
      <c r="Z77" s="455">
        <f t="shared" si="83"/>
        <v>38989.179077143635</v>
      </c>
    </row>
    <row r="78" spans="1:28" ht="12.75" customHeight="1" outlineLevel="1">
      <c r="B78" s="465" t="s">
        <v>610</v>
      </c>
      <c r="K78" s="455">
        <f>K77*2</f>
        <v>114000</v>
      </c>
      <c r="L78" s="455">
        <f t="shared" ref="L78:Z78" si="84">L77*2</f>
        <v>111150</v>
      </c>
      <c r="M78" s="455">
        <f t="shared" si="84"/>
        <v>108371.25</v>
      </c>
      <c r="N78" s="455">
        <f t="shared" si="84"/>
        <v>105661.96875</v>
      </c>
      <c r="O78" s="455">
        <f t="shared" si="84"/>
        <v>103020.41953124999</v>
      </c>
      <c r="P78" s="455">
        <f t="shared" si="84"/>
        <v>100444.90904296873</v>
      </c>
      <c r="Q78" s="455">
        <f t="shared" si="84"/>
        <v>97933.786316894519</v>
      </c>
      <c r="R78" s="455">
        <f t="shared" si="84"/>
        <v>95485.441658972151</v>
      </c>
      <c r="S78" s="455">
        <f t="shared" si="84"/>
        <v>93098.305617497841</v>
      </c>
      <c r="T78" s="455">
        <f t="shared" si="84"/>
        <v>90770.847977060388</v>
      </c>
      <c r="U78" s="455">
        <f t="shared" si="84"/>
        <v>88501.576777633876</v>
      </c>
      <c r="V78" s="455">
        <f t="shared" si="84"/>
        <v>86289.037358193033</v>
      </c>
      <c r="W78" s="455">
        <f t="shared" si="84"/>
        <v>84131.8114242382</v>
      </c>
      <c r="X78" s="455">
        <f t="shared" si="84"/>
        <v>82028.516138632243</v>
      </c>
      <c r="Y78" s="455">
        <f t="shared" si="84"/>
        <v>79977.803235166444</v>
      </c>
      <c r="Z78" s="455">
        <f t="shared" si="84"/>
        <v>77978.358154287271</v>
      </c>
    </row>
    <row r="79" spans="1:28" ht="12.75" customHeight="1" outlineLevel="1">
      <c r="B79" s="465" t="s">
        <v>615</v>
      </c>
      <c r="K79" s="469">
        <v>0.4</v>
      </c>
      <c r="L79" s="469">
        <f>'US HCV'!L81</f>
        <v>0.5</v>
      </c>
      <c r="M79" s="469">
        <f>'US HCV'!M81</f>
        <v>0.55000000000000004</v>
      </c>
      <c r="N79" s="469">
        <f>'US HCV'!N81</f>
        <v>0.6</v>
      </c>
      <c r="O79" s="469">
        <f>'US HCV'!O81</f>
        <v>0.6</v>
      </c>
      <c r="P79" s="469">
        <f>'US HCV'!P81</f>
        <v>0.6</v>
      </c>
      <c r="Q79" s="469">
        <f>'US HCV'!Q81</f>
        <v>0.6</v>
      </c>
      <c r="R79" s="469">
        <f>'US HCV'!R81</f>
        <v>0.6</v>
      </c>
      <c r="S79" s="469">
        <f>'US HCV'!S81</f>
        <v>0.6</v>
      </c>
      <c r="T79" s="469">
        <f>'US HCV'!T81</f>
        <v>0.6</v>
      </c>
      <c r="U79" s="469">
        <f>'US HCV'!U81</f>
        <v>0.6</v>
      </c>
      <c r="V79" s="469">
        <f>'US HCV'!V81</f>
        <v>0.6</v>
      </c>
      <c r="W79" s="469">
        <f>'US HCV'!W81</f>
        <v>0.6</v>
      </c>
      <c r="X79" s="469">
        <f>'US HCV'!X81</f>
        <v>0.6</v>
      </c>
      <c r="Y79" s="469">
        <f>'US HCV'!Y81</f>
        <v>0.6</v>
      </c>
      <c r="Z79" s="469">
        <f>'US HCV'!Z81</f>
        <v>0.6</v>
      </c>
      <c r="AB79" s="319" t="s">
        <v>622</v>
      </c>
    </row>
    <row r="80" spans="1:28" ht="12.75" customHeight="1" outlineLevel="1">
      <c r="B80" s="465" t="s">
        <v>613</v>
      </c>
      <c r="K80" s="469">
        <f>1-K79-K81</f>
        <v>0.54</v>
      </c>
      <c r="L80" s="469">
        <f t="shared" ref="L80:Z80" si="85">1-L79-L81</f>
        <v>0.47499999999999998</v>
      </c>
      <c r="M80" s="469">
        <f t="shared" si="85"/>
        <v>0.42749999999999994</v>
      </c>
      <c r="N80" s="469">
        <f t="shared" si="85"/>
        <v>0.38</v>
      </c>
      <c r="O80" s="469">
        <f t="shared" si="85"/>
        <v>0.38</v>
      </c>
      <c r="P80" s="469">
        <f t="shared" si="85"/>
        <v>0.38</v>
      </c>
      <c r="Q80" s="469">
        <f t="shared" si="85"/>
        <v>0.38</v>
      </c>
      <c r="R80" s="469">
        <f t="shared" si="85"/>
        <v>0.38</v>
      </c>
      <c r="S80" s="469">
        <f t="shared" si="85"/>
        <v>0.38</v>
      </c>
      <c r="T80" s="469">
        <f t="shared" si="85"/>
        <v>0.38</v>
      </c>
      <c r="U80" s="469">
        <f t="shared" si="85"/>
        <v>0.38</v>
      </c>
      <c r="V80" s="469">
        <f t="shared" si="85"/>
        <v>0.38</v>
      </c>
      <c r="W80" s="469">
        <f t="shared" si="85"/>
        <v>0.38</v>
      </c>
      <c r="X80" s="469">
        <f t="shared" si="85"/>
        <v>0.38</v>
      </c>
      <c r="Y80" s="469">
        <f t="shared" si="85"/>
        <v>0.38</v>
      </c>
      <c r="Z80" s="469">
        <f t="shared" si="85"/>
        <v>0.38</v>
      </c>
    </row>
    <row r="81" spans="1:28" ht="12.75" customHeight="1" outlineLevel="1">
      <c r="B81" s="465" t="s">
        <v>614</v>
      </c>
      <c r="K81" s="469">
        <f>(1-K79)*0.1</f>
        <v>0.06</v>
      </c>
      <c r="L81" s="469">
        <f>(1-L79)*0.05</f>
        <v>2.5000000000000001E-2</v>
      </c>
      <c r="M81" s="469">
        <f t="shared" ref="M81:Z81" si="86">(1-M79)*0.05</f>
        <v>2.2499999999999999E-2</v>
      </c>
      <c r="N81" s="469">
        <f t="shared" si="86"/>
        <v>2.0000000000000004E-2</v>
      </c>
      <c r="O81" s="469">
        <f t="shared" si="86"/>
        <v>2.0000000000000004E-2</v>
      </c>
      <c r="P81" s="469">
        <f t="shared" si="86"/>
        <v>2.0000000000000004E-2</v>
      </c>
      <c r="Q81" s="469">
        <f t="shared" si="86"/>
        <v>2.0000000000000004E-2</v>
      </c>
      <c r="R81" s="469">
        <f t="shared" si="86"/>
        <v>2.0000000000000004E-2</v>
      </c>
      <c r="S81" s="469">
        <f t="shared" si="86"/>
        <v>2.0000000000000004E-2</v>
      </c>
      <c r="T81" s="469">
        <f t="shared" si="86"/>
        <v>2.0000000000000004E-2</v>
      </c>
      <c r="U81" s="469">
        <f t="shared" si="86"/>
        <v>2.0000000000000004E-2</v>
      </c>
      <c r="V81" s="469">
        <f t="shared" si="86"/>
        <v>2.0000000000000004E-2</v>
      </c>
      <c r="W81" s="469">
        <f t="shared" si="86"/>
        <v>2.0000000000000004E-2</v>
      </c>
      <c r="X81" s="469">
        <f t="shared" si="86"/>
        <v>2.0000000000000004E-2</v>
      </c>
      <c r="Y81" s="469">
        <f t="shared" si="86"/>
        <v>2.0000000000000004E-2</v>
      </c>
      <c r="Z81" s="469">
        <f t="shared" si="86"/>
        <v>2.0000000000000004E-2</v>
      </c>
    </row>
    <row r="82" spans="1:28" ht="12.75" customHeight="1" outlineLevel="1">
      <c r="B82" s="511" t="s">
        <v>616</v>
      </c>
      <c r="J82" s="455">
        <f>K82</f>
        <v>52820</v>
      </c>
      <c r="K82" s="455">
        <f>K79*K76+K80*K77+K78*K81</f>
        <v>52820</v>
      </c>
      <c r="L82" s="455">
        <f t="shared" ref="L82:Z82" si="87">L79*L76+L80*L77+L78*L81</f>
        <v>47701.875</v>
      </c>
      <c r="M82" s="455">
        <f t="shared" si="87"/>
        <v>45470.770312499997</v>
      </c>
      <c r="N82" s="455">
        <f t="shared" si="87"/>
        <v>43321.407187500001</v>
      </c>
      <c r="O82" s="455">
        <f t="shared" si="87"/>
        <v>42238.372007812504</v>
      </c>
      <c r="P82" s="455">
        <f t="shared" si="87"/>
        <v>41182.412707617179</v>
      </c>
      <c r="Q82" s="455">
        <f t="shared" si="87"/>
        <v>40152.852389926753</v>
      </c>
      <c r="R82" s="455">
        <f t="shared" si="87"/>
        <v>39149.031080178582</v>
      </c>
      <c r="S82" s="455">
        <f t="shared" si="87"/>
        <v>38170.305303174115</v>
      </c>
      <c r="T82" s="455">
        <f t="shared" si="87"/>
        <v>37216.047670594759</v>
      </c>
      <c r="U82" s="455">
        <f t="shared" si="87"/>
        <v>36285.646478829884</v>
      </c>
      <c r="V82" s="455">
        <f t="shared" si="87"/>
        <v>35378.505316859148</v>
      </c>
      <c r="W82" s="455">
        <f t="shared" si="87"/>
        <v>34494.042683937667</v>
      </c>
      <c r="X82" s="455">
        <f t="shared" si="87"/>
        <v>33631.69161683922</v>
      </c>
      <c r="Y82" s="455">
        <f t="shared" si="87"/>
        <v>32790.899326418243</v>
      </c>
      <c r="Z82" s="455">
        <f t="shared" si="87"/>
        <v>31971.126843257782</v>
      </c>
    </row>
    <row r="83" spans="1:28" ht="12.75" customHeight="1" outlineLevel="1">
      <c r="B83" s="511"/>
      <c r="K83" s="466"/>
      <c r="L83" s="466"/>
      <c r="M83" s="466"/>
      <c r="N83" s="466"/>
      <c r="O83" s="466"/>
      <c r="P83" s="466"/>
    </row>
    <row r="84" spans="1:28" ht="12.75" customHeight="1" outlineLevel="1">
      <c r="B84" s="319" t="s">
        <v>609</v>
      </c>
      <c r="J84" s="464">
        <v>17000</v>
      </c>
      <c r="K84" s="455">
        <f t="shared" ref="K84:P84" si="88">J84*(1+K74)</f>
        <v>16575</v>
      </c>
      <c r="L84" s="455">
        <f t="shared" si="88"/>
        <v>16160.625</v>
      </c>
      <c r="M84" s="455">
        <f t="shared" si="88"/>
        <v>15756.609375</v>
      </c>
      <c r="N84" s="455">
        <f t="shared" si="88"/>
        <v>15362.694140624999</v>
      </c>
      <c r="O84" s="455">
        <f t="shared" si="88"/>
        <v>14978.626787109373</v>
      </c>
      <c r="P84" s="455">
        <f t="shared" si="88"/>
        <v>14604.161117431639</v>
      </c>
      <c r="Q84" s="455">
        <f t="shared" ref="Q84:Z84" si="89">P84*(1+Q74)</f>
        <v>14239.057089495847</v>
      </c>
      <c r="R84" s="455">
        <f t="shared" si="89"/>
        <v>13883.080662258451</v>
      </c>
      <c r="S84" s="455">
        <f t="shared" si="89"/>
        <v>13536.003645701991</v>
      </c>
      <c r="T84" s="455">
        <f t="shared" si="89"/>
        <v>13197.60355455944</v>
      </c>
      <c r="U84" s="455">
        <f t="shared" si="89"/>
        <v>12867.663465695454</v>
      </c>
      <c r="V84" s="455">
        <f t="shared" si="89"/>
        <v>12545.971879053068</v>
      </c>
      <c r="W84" s="455">
        <f t="shared" si="89"/>
        <v>12232.32258207674</v>
      </c>
      <c r="X84" s="455">
        <f t="shared" si="89"/>
        <v>11926.514517524822</v>
      </c>
      <c r="Y84" s="455">
        <f t="shared" si="89"/>
        <v>11628.351654586701</v>
      </c>
      <c r="Z84" s="455">
        <f t="shared" si="89"/>
        <v>11337.642863222032</v>
      </c>
    </row>
    <row r="85" spans="1:28" ht="12.75" customHeight="1" outlineLevel="1">
      <c r="B85" s="465" t="s">
        <v>608</v>
      </c>
      <c r="J85" s="455">
        <f t="shared" ref="J85:P85" si="90">J84*3</f>
        <v>51000</v>
      </c>
      <c r="K85" s="455">
        <f t="shared" si="90"/>
        <v>49725</v>
      </c>
      <c r="L85" s="455">
        <f t="shared" si="90"/>
        <v>48481.875</v>
      </c>
      <c r="M85" s="455">
        <f t="shared" si="90"/>
        <v>47269.828125</v>
      </c>
      <c r="N85" s="455">
        <f t="shared" si="90"/>
        <v>46088.082421874999</v>
      </c>
      <c r="O85" s="455">
        <f t="shared" si="90"/>
        <v>44935.88036132812</v>
      </c>
      <c r="P85" s="455">
        <f t="shared" si="90"/>
        <v>43812.483352294919</v>
      </c>
      <c r="Q85" s="455">
        <f t="shared" ref="Q85:Z85" si="91">Q84*3</f>
        <v>42717.171268487538</v>
      </c>
      <c r="R85" s="455">
        <f t="shared" si="91"/>
        <v>41649.241986775356</v>
      </c>
      <c r="S85" s="455">
        <f t="shared" si="91"/>
        <v>40608.010937105973</v>
      </c>
      <c r="T85" s="455">
        <f t="shared" si="91"/>
        <v>39592.81066367832</v>
      </c>
      <c r="U85" s="455">
        <f t="shared" si="91"/>
        <v>38602.99039708636</v>
      </c>
      <c r="V85" s="455">
        <f t="shared" si="91"/>
        <v>37637.915637159203</v>
      </c>
      <c r="W85" s="455">
        <f t="shared" si="91"/>
        <v>36696.967746230221</v>
      </c>
      <c r="X85" s="455">
        <f t="shared" si="91"/>
        <v>35779.543552574469</v>
      </c>
      <c r="Y85" s="455">
        <f t="shared" si="91"/>
        <v>34885.0549637601</v>
      </c>
      <c r="Z85" s="455">
        <f t="shared" si="91"/>
        <v>34012.928589666095</v>
      </c>
    </row>
    <row r="86" spans="1:28" ht="12.75" customHeight="1" outlineLevel="1">
      <c r="B86" s="465" t="s">
        <v>610</v>
      </c>
      <c r="J86" s="455">
        <f t="shared" ref="J86:P86" si="92">J84*6</f>
        <v>102000</v>
      </c>
      <c r="K86" s="455">
        <f t="shared" si="92"/>
        <v>99450</v>
      </c>
      <c r="L86" s="455">
        <f t="shared" si="92"/>
        <v>96963.75</v>
      </c>
      <c r="M86" s="455">
        <f t="shared" si="92"/>
        <v>94539.65625</v>
      </c>
      <c r="N86" s="455">
        <f t="shared" si="92"/>
        <v>92176.164843749997</v>
      </c>
      <c r="O86" s="455">
        <f t="shared" si="92"/>
        <v>89871.76072265624</v>
      </c>
      <c r="P86" s="455">
        <f t="shared" si="92"/>
        <v>87624.966704589839</v>
      </c>
      <c r="Q86" s="455">
        <f t="shared" ref="Q86:Z86" si="93">Q84*6</f>
        <v>85434.342536975077</v>
      </c>
      <c r="R86" s="455">
        <f t="shared" si="93"/>
        <v>83298.483973550712</v>
      </c>
      <c r="S86" s="455">
        <f t="shared" si="93"/>
        <v>81216.021874211947</v>
      </c>
      <c r="T86" s="455">
        <f t="shared" si="93"/>
        <v>79185.621327356639</v>
      </c>
      <c r="U86" s="455">
        <f t="shared" si="93"/>
        <v>77205.980794172719</v>
      </c>
      <c r="V86" s="455">
        <f t="shared" si="93"/>
        <v>75275.831274318407</v>
      </c>
      <c r="W86" s="455">
        <f t="shared" si="93"/>
        <v>73393.935492460441</v>
      </c>
      <c r="X86" s="455">
        <f t="shared" si="93"/>
        <v>71559.087105148938</v>
      </c>
      <c r="Y86" s="455">
        <f t="shared" si="93"/>
        <v>69770.1099275202</v>
      </c>
      <c r="Z86" s="455">
        <f t="shared" si="93"/>
        <v>68025.85717933219</v>
      </c>
    </row>
    <row r="87" spans="1:28" ht="12.75" customHeight="1" outlineLevel="1">
      <c r="B87" s="465" t="s">
        <v>613</v>
      </c>
      <c r="J87" s="519">
        <v>0.8</v>
      </c>
      <c r="K87" s="519">
        <f>J87</f>
        <v>0.8</v>
      </c>
      <c r="L87" s="519">
        <v>0.9</v>
      </c>
      <c r="M87" s="519">
        <v>0.9</v>
      </c>
      <c r="N87" s="469">
        <f>M87</f>
        <v>0.9</v>
      </c>
      <c r="O87" s="469">
        <f>N87</f>
        <v>0.9</v>
      </c>
      <c r="P87" s="469">
        <f>O87</f>
        <v>0.9</v>
      </c>
      <c r="Q87" s="469">
        <f t="shared" ref="Q87:Z87" si="94">P87</f>
        <v>0.9</v>
      </c>
      <c r="R87" s="469">
        <f t="shared" si="94"/>
        <v>0.9</v>
      </c>
      <c r="S87" s="469">
        <f t="shared" si="94"/>
        <v>0.9</v>
      </c>
      <c r="T87" s="469">
        <f t="shared" si="94"/>
        <v>0.9</v>
      </c>
      <c r="U87" s="469">
        <f t="shared" si="94"/>
        <v>0.9</v>
      </c>
      <c r="V87" s="469">
        <f t="shared" si="94"/>
        <v>0.9</v>
      </c>
      <c r="W87" s="469">
        <f t="shared" si="94"/>
        <v>0.9</v>
      </c>
      <c r="X87" s="469">
        <f t="shared" si="94"/>
        <v>0.9</v>
      </c>
      <c r="Y87" s="469">
        <f t="shared" si="94"/>
        <v>0.9</v>
      </c>
      <c r="Z87" s="469">
        <f t="shared" si="94"/>
        <v>0.9</v>
      </c>
    </row>
    <row r="88" spans="1:28" ht="12.75" customHeight="1" outlineLevel="1">
      <c r="B88" s="465" t="s">
        <v>614</v>
      </c>
      <c r="J88" s="469">
        <f t="shared" ref="J88:P88" si="95">1-J87</f>
        <v>0.19999999999999996</v>
      </c>
      <c r="K88" s="469">
        <f t="shared" si="95"/>
        <v>0.19999999999999996</v>
      </c>
      <c r="L88" s="469">
        <f t="shared" si="95"/>
        <v>9.9999999999999978E-2</v>
      </c>
      <c r="M88" s="469">
        <f t="shared" si="95"/>
        <v>9.9999999999999978E-2</v>
      </c>
      <c r="N88" s="469">
        <f t="shared" si="95"/>
        <v>9.9999999999999978E-2</v>
      </c>
      <c r="O88" s="469">
        <f t="shared" si="95"/>
        <v>9.9999999999999978E-2</v>
      </c>
      <c r="P88" s="469">
        <f t="shared" si="95"/>
        <v>9.9999999999999978E-2</v>
      </c>
      <c r="Q88" s="469">
        <f t="shared" ref="Q88:Z88" si="96">1-Q87</f>
        <v>9.9999999999999978E-2</v>
      </c>
      <c r="R88" s="469">
        <f t="shared" si="96"/>
        <v>9.9999999999999978E-2</v>
      </c>
      <c r="S88" s="469">
        <f t="shared" si="96"/>
        <v>9.9999999999999978E-2</v>
      </c>
      <c r="T88" s="469">
        <f t="shared" si="96"/>
        <v>9.9999999999999978E-2</v>
      </c>
      <c r="U88" s="469">
        <f t="shared" si="96"/>
        <v>9.9999999999999978E-2</v>
      </c>
      <c r="V88" s="469">
        <f t="shared" si="96"/>
        <v>9.9999999999999978E-2</v>
      </c>
      <c r="W88" s="469">
        <f t="shared" si="96"/>
        <v>9.9999999999999978E-2</v>
      </c>
      <c r="X88" s="469">
        <f t="shared" si="96"/>
        <v>9.9999999999999978E-2</v>
      </c>
      <c r="Y88" s="469">
        <f t="shared" si="96"/>
        <v>9.9999999999999978E-2</v>
      </c>
      <c r="Z88" s="469">
        <f t="shared" si="96"/>
        <v>9.9999999999999978E-2</v>
      </c>
    </row>
    <row r="89" spans="1:28" ht="12.75" customHeight="1" outlineLevel="1">
      <c r="B89" s="319" t="s">
        <v>617</v>
      </c>
      <c r="J89" s="455">
        <f>J85*J87+J86*J88</f>
        <v>61200</v>
      </c>
      <c r="K89" s="455">
        <f t="shared" ref="K89:Z89" si="97">K85*K87+K86*K88</f>
        <v>59670</v>
      </c>
      <c r="L89" s="455">
        <f t="shared" si="97"/>
        <v>53330.0625</v>
      </c>
      <c r="M89" s="455">
        <f t="shared" si="97"/>
        <v>51996.810937499999</v>
      </c>
      <c r="N89" s="455">
        <f t="shared" si="97"/>
        <v>50696.890664062492</v>
      </c>
      <c r="O89" s="455">
        <f t="shared" si="97"/>
        <v>49429.468397460936</v>
      </c>
      <c r="P89" s="455">
        <f t="shared" si="97"/>
        <v>48193.731687524414</v>
      </c>
      <c r="Q89" s="455">
        <f t="shared" si="97"/>
        <v>46988.888395336297</v>
      </c>
      <c r="R89" s="455">
        <f t="shared" si="97"/>
        <v>45814.166185452887</v>
      </c>
      <c r="S89" s="455">
        <f t="shared" si="97"/>
        <v>44668.812030816574</v>
      </c>
      <c r="T89" s="455">
        <f t="shared" si="97"/>
        <v>43552.091730046151</v>
      </c>
      <c r="U89" s="455">
        <f t="shared" si="97"/>
        <v>42463.289436794999</v>
      </c>
      <c r="V89" s="455">
        <f t="shared" si="97"/>
        <v>41401.707200875127</v>
      </c>
      <c r="W89" s="455">
        <f t="shared" si="97"/>
        <v>40366.664520853243</v>
      </c>
      <c r="X89" s="455">
        <f t="shared" si="97"/>
        <v>39357.497907831916</v>
      </c>
      <c r="Y89" s="455">
        <f t="shared" si="97"/>
        <v>38373.560460136112</v>
      </c>
      <c r="Z89" s="455">
        <f t="shared" si="97"/>
        <v>37414.221448632707</v>
      </c>
    </row>
    <row r="90" spans="1:28" ht="12.75" customHeight="1" outlineLevel="1"/>
    <row r="91" spans="1:28" ht="12.75" customHeight="1" outlineLevel="1">
      <c r="B91" s="319" t="s">
        <v>620</v>
      </c>
      <c r="J91" s="469">
        <v>6.5000000000000002E-2</v>
      </c>
      <c r="K91" s="469">
        <v>0.6</v>
      </c>
      <c r="L91" s="469">
        <v>0.7</v>
      </c>
      <c r="M91" s="469">
        <f>L91</f>
        <v>0.7</v>
      </c>
      <c r="N91" s="469">
        <f>M91</f>
        <v>0.7</v>
      </c>
      <c r="O91" s="469">
        <f>N91</f>
        <v>0.7</v>
      </c>
      <c r="P91" s="469">
        <f>O91</f>
        <v>0.7</v>
      </c>
      <c r="Q91" s="469">
        <f t="shared" ref="Q91:Z92" si="98">P91</f>
        <v>0.7</v>
      </c>
      <c r="R91" s="469">
        <f t="shared" si="98"/>
        <v>0.7</v>
      </c>
      <c r="S91" s="469">
        <f t="shared" si="98"/>
        <v>0.7</v>
      </c>
      <c r="T91" s="469">
        <f t="shared" si="98"/>
        <v>0.7</v>
      </c>
      <c r="U91" s="469">
        <f t="shared" si="98"/>
        <v>0.7</v>
      </c>
      <c r="V91" s="469">
        <f t="shared" si="98"/>
        <v>0.7</v>
      </c>
      <c r="W91" s="469">
        <f t="shared" si="98"/>
        <v>0.7</v>
      </c>
      <c r="X91" s="469">
        <f t="shared" si="98"/>
        <v>0.7</v>
      </c>
      <c r="Y91" s="469">
        <f t="shared" si="98"/>
        <v>0.7</v>
      </c>
      <c r="Z91" s="469">
        <f t="shared" si="98"/>
        <v>0.7</v>
      </c>
      <c r="AB91" s="319" t="s">
        <v>621</v>
      </c>
    </row>
    <row r="92" spans="1:28" ht="12.75" customHeight="1" outlineLevel="1">
      <c r="B92" s="319" t="s">
        <v>494</v>
      </c>
      <c r="J92" s="469">
        <v>0.95</v>
      </c>
      <c r="K92" s="469">
        <f>J92</f>
        <v>0.95</v>
      </c>
      <c r="L92" s="469">
        <f>K92-2%</f>
        <v>0.92999999999999994</v>
      </c>
      <c r="M92" s="469">
        <f>L92*0.99</f>
        <v>0.92069999999999996</v>
      </c>
      <c r="N92" s="469">
        <f>M92*0.99</f>
        <v>0.911493</v>
      </c>
      <c r="O92" s="469">
        <f>N92*0.99</f>
        <v>0.90237807000000003</v>
      </c>
      <c r="P92" s="469">
        <f>O92</f>
        <v>0.90237807000000003</v>
      </c>
      <c r="Q92" s="469">
        <f t="shared" si="98"/>
        <v>0.90237807000000003</v>
      </c>
      <c r="R92" s="469">
        <f t="shared" si="98"/>
        <v>0.90237807000000003</v>
      </c>
      <c r="S92" s="469">
        <f t="shared" si="98"/>
        <v>0.90237807000000003</v>
      </c>
      <c r="T92" s="469">
        <f t="shared" si="98"/>
        <v>0.90237807000000003</v>
      </c>
      <c r="U92" s="469">
        <f t="shared" si="98"/>
        <v>0.90237807000000003</v>
      </c>
      <c r="V92" s="469">
        <f t="shared" si="98"/>
        <v>0.90237807000000003</v>
      </c>
      <c r="W92" s="469">
        <f t="shared" si="98"/>
        <v>0.90237807000000003</v>
      </c>
      <c r="X92" s="469">
        <f t="shared" si="98"/>
        <v>0.90237807000000003</v>
      </c>
      <c r="Y92" s="469">
        <f t="shared" si="98"/>
        <v>0.90237807000000003</v>
      </c>
      <c r="Z92" s="469">
        <f t="shared" si="98"/>
        <v>0.90237807000000003</v>
      </c>
    </row>
    <row r="93" spans="1:28" ht="12.75" customHeight="1" outlineLevel="1">
      <c r="B93" s="319" t="s">
        <v>618</v>
      </c>
      <c r="J93" s="469">
        <v>0.9</v>
      </c>
      <c r="K93" s="469">
        <f t="shared" ref="K93:P93" si="99">J93</f>
        <v>0.9</v>
      </c>
      <c r="L93" s="469">
        <f t="shared" si="99"/>
        <v>0.9</v>
      </c>
      <c r="M93" s="469">
        <f t="shared" si="99"/>
        <v>0.9</v>
      </c>
      <c r="N93" s="469">
        <f t="shared" si="99"/>
        <v>0.9</v>
      </c>
      <c r="O93" s="469">
        <f t="shared" si="99"/>
        <v>0.9</v>
      </c>
      <c r="P93" s="469">
        <f t="shared" si="99"/>
        <v>0.9</v>
      </c>
      <c r="Q93" s="469">
        <f t="shared" ref="Q93:Z93" si="100">P93</f>
        <v>0.9</v>
      </c>
      <c r="R93" s="469">
        <f t="shared" si="100"/>
        <v>0.9</v>
      </c>
      <c r="S93" s="469">
        <f t="shared" si="100"/>
        <v>0.9</v>
      </c>
      <c r="T93" s="469">
        <f t="shared" si="100"/>
        <v>0.9</v>
      </c>
      <c r="U93" s="469">
        <f t="shared" si="100"/>
        <v>0.9</v>
      </c>
      <c r="V93" s="469">
        <f t="shared" si="100"/>
        <v>0.9</v>
      </c>
      <c r="W93" s="469">
        <f t="shared" si="100"/>
        <v>0.9</v>
      </c>
      <c r="X93" s="469">
        <f t="shared" si="100"/>
        <v>0.9</v>
      </c>
      <c r="Y93" s="469">
        <f t="shared" si="100"/>
        <v>0.9</v>
      </c>
      <c r="Z93" s="469">
        <f t="shared" si="100"/>
        <v>0.9</v>
      </c>
    </row>
    <row r="94" spans="1:28" ht="12.75" customHeight="1" outlineLevel="1"/>
    <row r="95" spans="1:28" ht="12.75" customHeight="1" outlineLevel="1">
      <c r="B95" s="465" t="s">
        <v>566</v>
      </c>
      <c r="J95" s="512">
        <f t="shared" ref="J95:P95" si="101">J91*J92*J93*J82+(1-J91)*J92*J93*J89</f>
        <v>51860.281500000005</v>
      </c>
      <c r="K95" s="512">
        <f t="shared" si="101"/>
        <v>47503.8</v>
      </c>
      <c r="L95" s="512">
        <f t="shared" si="101"/>
        <v>41339.707256250003</v>
      </c>
      <c r="M95" s="512">
        <f t="shared" si="101"/>
        <v>39300.746316974997</v>
      </c>
      <c r="N95" s="512">
        <f t="shared" si="101"/>
        <v>37353.572882735985</v>
      </c>
      <c r="O95" s="512">
        <f t="shared" si="101"/>
        <v>36055.536225060918</v>
      </c>
      <c r="P95" s="512">
        <f t="shared" si="101"/>
        <v>35154.14781943438</v>
      </c>
      <c r="Q95" s="512">
        <f t="shared" ref="Q95:Z95" si="102">Q91*Q92*Q93*Q82+(1-Q91)*Q92*Q93*Q89</f>
        <v>34275.29412394853</v>
      </c>
      <c r="R95" s="512">
        <f t="shared" si="102"/>
        <v>33418.411770849809</v>
      </c>
      <c r="S95" s="512">
        <f t="shared" si="102"/>
        <v>32582.951476578564</v>
      </c>
      <c r="T95" s="512">
        <f t="shared" si="102"/>
        <v>31768.377689664099</v>
      </c>
      <c r="U95" s="512">
        <f t="shared" si="102"/>
        <v>30974.168247422494</v>
      </c>
      <c r="V95" s="512">
        <f t="shared" si="102"/>
        <v>30199.814041236939</v>
      </c>
      <c r="W95" s="512">
        <f t="shared" si="102"/>
        <v>29444.818690206012</v>
      </c>
      <c r="X95" s="512">
        <f t="shared" si="102"/>
        <v>28708.698222950858</v>
      </c>
      <c r="Y95" s="512">
        <f t="shared" si="102"/>
        <v>27990.980767377088</v>
      </c>
      <c r="Z95" s="512">
        <f t="shared" si="102"/>
        <v>27291.206248192659</v>
      </c>
    </row>
    <row r="96" spans="1:28" s="480" customFormat="1" ht="12.75" customHeight="1" outlineLevel="2">
      <c r="A96" s="473"/>
      <c r="B96" s="474" t="s">
        <v>423</v>
      </c>
      <c r="C96" s="474"/>
      <c r="D96" s="475"/>
      <c r="E96" s="474"/>
      <c r="F96" s="474"/>
      <c r="G96" s="474"/>
      <c r="H96" s="474"/>
      <c r="I96" s="474"/>
      <c r="J96" s="497">
        <f>J97</f>
        <v>1</v>
      </c>
      <c r="K96" s="499">
        <f t="shared" ref="K96:O96" si="103">J96</f>
        <v>1</v>
      </c>
      <c r="L96" s="499">
        <f>L97</f>
        <v>-0.41</v>
      </c>
      <c r="M96" s="499">
        <f t="shared" si="103"/>
        <v>-0.41</v>
      </c>
      <c r="N96" s="499">
        <f>M97</f>
        <v>-0.5</v>
      </c>
      <c r="O96" s="499">
        <f t="shared" si="103"/>
        <v>-0.5</v>
      </c>
      <c r="P96" s="499">
        <f>O97</f>
        <v>-0.5</v>
      </c>
      <c r="Q96" s="499">
        <f t="shared" ref="Q96:Z96" si="104">P96</f>
        <v>-0.5</v>
      </c>
      <c r="R96" s="499">
        <f t="shared" si="104"/>
        <v>-0.5</v>
      </c>
      <c r="S96" s="499">
        <f t="shared" si="104"/>
        <v>-0.5</v>
      </c>
      <c r="T96" s="499">
        <f t="shared" si="104"/>
        <v>-0.5</v>
      </c>
      <c r="U96" s="499">
        <f t="shared" si="104"/>
        <v>-0.5</v>
      </c>
      <c r="V96" s="499">
        <f t="shared" si="104"/>
        <v>-0.5</v>
      </c>
      <c r="W96" s="499">
        <f t="shared" si="104"/>
        <v>-0.5</v>
      </c>
      <c r="X96" s="499">
        <f t="shared" si="104"/>
        <v>-0.5</v>
      </c>
      <c r="Y96" s="499">
        <f t="shared" si="104"/>
        <v>-0.5</v>
      </c>
      <c r="Z96" s="499">
        <f t="shared" si="104"/>
        <v>-0.5</v>
      </c>
    </row>
    <row r="97" spans="1:28" s="480" customFormat="1" ht="12.75" customHeight="1" outlineLevel="2">
      <c r="A97" s="473"/>
      <c r="B97" s="474" t="s">
        <v>424</v>
      </c>
      <c r="C97" s="474"/>
      <c r="D97" s="481"/>
      <c r="E97" s="481"/>
      <c r="F97" s="481"/>
      <c r="G97" s="481"/>
      <c r="H97" s="481"/>
      <c r="I97" s="481"/>
      <c r="J97" s="500">
        <v>1</v>
      </c>
      <c r="K97" s="500">
        <v>-0.24</v>
      </c>
      <c r="L97" s="500">
        <v>-0.41</v>
      </c>
      <c r="M97" s="500">
        <v>-0.5</v>
      </c>
      <c r="N97" s="500">
        <f>M97</f>
        <v>-0.5</v>
      </c>
      <c r="O97" s="500">
        <f t="shared" ref="O97:Q98" si="105">N97</f>
        <v>-0.5</v>
      </c>
      <c r="P97" s="500">
        <f t="shared" si="105"/>
        <v>-0.5</v>
      </c>
      <c r="Q97" s="500">
        <f t="shared" si="105"/>
        <v>-0.5</v>
      </c>
      <c r="R97" s="500">
        <f t="shared" ref="R97:Z98" si="106">Q97</f>
        <v>-0.5</v>
      </c>
      <c r="S97" s="500">
        <f t="shared" si="106"/>
        <v>-0.5</v>
      </c>
      <c r="T97" s="500">
        <f t="shared" si="106"/>
        <v>-0.5</v>
      </c>
      <c r="U97" s="500">
        <f t="shared" si="106"/>
        <v>-0.5</v>
      </c>
      <c r="V97" s="500">
        <f t="shared" si="106"/>
        <v>-0.5</v>
      </c>
      <c r="W97" s="500">
        <f t="shared" si="106"/>
        <v>-0.5</v>
      </c>
      <c r="X97" s="500">
        <f t="shared" si="106"/>
        <v>-0.5</v>
      </c>
      <c r="Y97" s="500">
        <f t="shared" si="106"/>
        <v>-0.5</v>
      </c>
      <c r="Z97" s="500">
        <f t="shared" si="106"/>
        <v>-0.5</v>
      </c>
    </row>
    <row r="98" spans="1:28" s="480" customFormat="1" ht="12.75" customHeight="1" outlineLevel="2">
      <c r="A98" s="473"/>
      <c r="B98" s="474" t="s">
        <v>425</v>
      </c>
      <c r="C98" s="474"/>
      <c r="D98" s="475"/>
      <c r="E98" s="474"/>
      <c r="F98" s="474"/>
      <c r="G98" s="474"/>
      <c r="H98" s="474"/>
      <c r="I98" s="474"/>
      <c r="J98" s="497">
        <f>J97</f>
        <v>1</v>
      </c>
      <c r="K98" s="497">
        <v>-0.2</v>
      </c>
      <c r="L98" s="502">
        <v>-0.35</v>
      </c>
      <c r="M98" s="669">
        <f>L98</f>
        <v>-0.35</v>
      </c>
      <c r="N98" s="502">
        <v>-0.4</v>
      </c>
      <c r="O98" s="669">
        <f t="shared" si="105"/>
        <v>-0.4</v>
      </c>
      <c r="P98" s="669">
        <f t="shared" si="105"/>
        <v>-0.4</v>
      </c>
      <c r="Q98" s="669">
        <f t="shared" si="105"/>
        <v>-0.4</v>
      </c>
      <c r="R98" s="669">
        <f t="shared" si="106"/>
        <v>-0.4</v>
      </c>
      <c r="S98" s="669">
        <f t="shared" si="106"/>
        <v>-0.4</v>
      </c>
      <c r="T98" s="669">
        <f t="shared" si="106"/>
        <v>-0.4</v>
      </c>
      <c r="U98" s="669">
        <f t="shared" si="106"/>
        <v>-0.4</v>
      </c>
      <c r="V98" s="669">
        <f t="shared" si="106"/>
        <v>-0.4</v>
      </c>
      <c r="W98" s="669">
        <f t="shared" si="106"/>
        <v>-0.4</v>
      </c>
      <c r="X98" s="669">
        <f t="shared" si="106"/>
        <v>-0.4</v>
      </c>
      <c r="Y98" s="669">
        <f t="shared" si="106"/>
        <v>-0.4</v>
      </c>
      <c r="Z98" s="669">
        <f t="shared" si="106"/>
        <v>-0.4</v>
      </c>
    </row>
    <row r="99" spans="1:28" ht="12.75" customHeight="1" outlineLevel="1">
      <c r="A99" s="484" t="s">
        <v>578</v>
      </c>
      <c r="B99" s="485" t="s">
        <v>623</v>
      </c>
      <c r="C99" s="485"/>
      <c r="D99" s="485"/>
      <c r="E99" s="485"/>
      <c r="F99" s="485"/>
      <c r="G99" s="485"/>
      <c r="H99" s="485"/>
      <c r="I99" s="485"/>
      <c r="J99" s="503">
        <f>CHOOSE($E$1,J96,J97,J98)</f>
        <v>1</v>
      </c>
      <c r="K99" s="503">
        <f t="shared" ref="K99:Z99" si="107">CHOOSE($E$1,K96,K97,K98)</f>
        <v>-0.24</v>
      </c>
      <c r="L99" s="503">
        <f t="shared" si="107"/>
        <v>-0.41</v>
      </c>
      <c r="M99" s="503">
        <f>CHOOSE($E$1,M96,M97,M98)</f>
        <v>-0.5</v>
      </c>
      <c r="N99" s="503">
        <f t="shared" si="107"/>
        <v>-0.5</v>
      </c>
      <c r="O99" s="503">
        <f t="shared" si="107"/>
        <v>-0.5</v>
      </c>
      <c r="P99" s="503">
        <f t="shared" si="107"/>
        <v>-0.5</v>
      </c>
      <c r="Q99" s="503">
        <f t="shared" si="107"/>
        <v>-0.5</v>
      </c>
      <c r="R99" s="503">
        <f t="shared" si="107"/>
        <v>-0.5</v>
      </c>
      <c r="S99" s="503">
        <f t="shared" si="107"/>
        <v>-0.5</v>
      </c>
      <c r="T99" s="503">
        <f t="shared" si="107"/>
        <v>-0.5</v>
      </c>
      <c r="U99" s="503">
        <f t="shared" si="107"/>
        <v>-0.5</v>
      </c>
      <c r="V99" s="503">
        <f t="shared" si="107"/>
        <v>-0.5</v>
      </c>
      <c r="W99" s="503">
        <f t="shared" si="107"/>
        <v>-0.5</v>
      </c>
      <c r="X99" s="503">
        <f t="shared" si="107"/>
        <v>-0.5</v>
      </c>
      <c r="Y99" s="503">
        <f t="shared" si="107"/>
        <v>-0.5</v>
      </c>
      <c r="Z99" s="503">
        <f t="shared" si="107"/>
        <v>-0.5</v>
      </c>
    </row>
    <row r="100" spans="1:28" ht="12.75" customHeight="1" outlineLevel="1"/>
    <row r="101" spans="1:28">
      <c r="A101" s="484" t="s">
        <v>578</v>
      </c>
      <c r="B101" s="513" t="s">
        <v>566</v>
      </c>
      <c r="C101" s="485"/>
      <c r="D101" s="485"/>
      <c r="E101" s="485"/>
      <c r="F101" s="485"/>
      <c r="G101" s="485"/>
      <c r="H101" s="485"/>
      <c r="I101" s="485"/>
      <c r="J101" s="514">
        <f t="shared" ref="J101:O101" si="108">IF(J99&lt;1,J95*(1-ABS(J99)),J99*J95)</f>
        <v>51860.281500000005</v>
      </c>
      <c r="K101" s="514">
        <f>IF(K99&lt;1,K95*(1-ABS(K99)),K99*K95)</f>
        <v>36102.887999999999</v>
      </c>
      <c r="L101" s="514">
        <f t="shared" si="108"/>
        <v>24390.427281187505</v>
      </c>
      <c r="M101" s="514">
        <f t="shared" si="108"/>
        <v>19650.373158487499</v>
      </c>
      <c r="N101" s="514">
        <f t="shared" si="108"/>
        <v>18676.786441367993</v>
      </c>
      <c r="O101" s="514">
        <f t="shared" si="108"/>
        <v>18027.768112530459</v>
      </c>
      <c r="P101" s="514">
        <f>IF(P99&lt;1,P95*(1-ABS(P99)),P99*P95)</f>
        <v>17577.07390971719</v>
      </c>
      <c r="Q101" s="514">
        <f t="shared" ref="Q101:Z101" si="109">IF(Q99&lt;1,Q95*(1-ABS(Q99)),Q99*Q95)</f>
        <v>17137.647061974265</v>
      </c>
      <c r="R101" s="514">
        <f t="shared" si="109"/>
        <v>16709.205885424904</v>
      </c>
      <c r="S101" s="514">
        <f t="shared" si="109"/>
        <v>16291.475738289282</v>
      </c>
      <c r="T101" s="514">
        <f t="shared" si="109"/>
        <v>15884.18884483205</v>
      </c>
      <c r="U101" s="514">
        <f t="shared" si="109"/>
        <v>15487.084123711247</v>
      </c>
      <c r="V101" s="514">
        <f t="shared" si="109"/>
        <v>15099.90702061847</v>
      </c>
      <c r="W101" s="514">
        <f t="shared" si="109"/>
        <v>14722.409345103006</v>
      </c>
      <c r="X101" s="514">
        <f t="shared" si="109"/>
        <v>14354.349111475429</v>
      </c>
      <c r="Y101" s="514">
        <f t="shared" si="109"/>
        <v>13995.490383688544</v>
      </c>
      <c r="Z101" s="514">
        <f t="shared" si="109"/>
        <v>13645.603124096329</v>
      </c>
      <c r="AB101" s="319" t="s">
        <v>624</v>
      </c>
    </row>
    <row r="102" spans="1:28">
      <c r="B102" s="465" t="s">
        <v>567</v>
      </c>
      <c r="J102" s="505">
        <f t="shared" ref="J102:O102" si="110">J69*J66+J48*J25</f>
        <v>31.863133816734994</v>
      </c>
      <c r="K102" s="505">
        <f>K69*K66+K48*K25</f>
        <v>105.71235736696958</v>
      </c>
      <c r="L102" s="505">
        <f t="shared" si="110"/>
        <v>116.3837777432675</v>
      </c>
      <c r="M102" s="505">
        <f t="shared" si="110"/>
        <v>94.40258330259762</v>
      </c>
      <c r="N102" s="505">
        <f t="shared" si="110"/>
        <v>59.347426673321515</v>
      </c>
      <c r="O102" s="505">
        <f t="shared" si="110"/>
        <v>46.500493883739516</v>
      </c>
      <c r="P102" s="505">
        <f>P69*P66+P48*P25</f>
        <v>42.183253021021031</v>
      </c>
      <c r="Q102" s="505">
        <f t="shared" ref="Q102:Z102" si="111">Q69*Q66+Q48*Q25</f>
        <v>38.289416031432999</v>
      </c>
      <c r="R102" s="505">
        <f t="shared" si="111"/>
        <v>34.776850532990927</v>
      </c>
      <c r="S102" s="505">
        <f t="shared" si="111"/>
        <v>31.607632181775529</v>
      </c>
      <c r="T102" s="505">
        <f t="shared" si="111"/>
        <v>28.74762399812958</v>
      </c>
      <c r="U102" s="505">
        <f t="shared" si="111"/>
        <v>26.166097756984932</v>
      </c>
      <c r="V102" s="505">
        <f t="shared" si="111"/>
        <v>23.835393235988043</v>
      </c>
      <c r="W102" s="505">
        <f t="shared" si="111"/>
        <v>21.730611535723305</v>
      </c>
      <c r="X102" s="505">
        <f t="shared" si="111"/>
        <v>19.829339064901685</v>
      </c>
      <c r="Y102" s="505">
        <f t="shared" si="111"/>
        <v>21.301251502824343</v>
      </c>
      <c r="Z102" s="505">
        <f t="shared" si="111"/>
        <v>1.4349199108200508</v>
      </c>
    </row>
    <row r="103" spans="1:28">
      <c r="J103" s="505"/>
      <c r="K103" s="505"/>
      <c r="L103" s="505"/>
      <c r="M103" s="505"/>
      <c r="N103" s="505"/>
      <c r="O103" s="505"/>
      <c r="P103" s="505"/>
    </row>
    <row r="104" spans="1:28">
      <c r="B104" s="515" t="s">
        <v>593</v>
      </c>
      <c r="J104" s="516">
        <f t="shared" ref="J104:P104" si="112">J102*J101/1000</f>
        <v>1652.4310892080464</v>
      </c>
      <c r="K104" s="516">
        <f t="shared" si="112"/>
        <v>3816.5213982356777</v>
      </c>
      <c r="L104" s="516">
        <f t="shared" si="112"/>
        <v>2838.6500677570548</v>
      </c>
      <c r="M104" s="516">
        <f t="shared" si="112"/>
        <v>1855.0459890212444</v>
      </c>
      <c r="N104" s="516">
        <f t="shared" si="112"/>
        <v>1108.4192138223725</v>
      </c>
      <c r="O104" s="516">
        <f t="shared" si="112"/>
        <v>838.30012085419685</v>
      </c>
      <c r="P104" s="516">
        <f t="shared" si="112"/>
        <v>741.4581561027876</v>
      </c>
      <c r="Q104" s="516">
        <f t="shared" ref="Q104:Z104" si="113">Q102*Q101/1000</f>
        <v>656.19049815579808</v>
      </c>
      <c r="R104" s="516">
        <f t="shared" si="113"/>
        <v>581.0935556023943</v>
      </c>
      <c r="S104" s="516">
        <f t="shared" si="113"/>
        <v>514.93497283416752</v>
      </c>
      <c r="T104" s="516">
        <f t="shared" si="113"/>
        <v>456.63268842651604</v>
      </c>
      <c r="U104" s="516">
        <f t="shared" si="113"/>
        <v>405.23655715167786</v>
      </c>
      <c r="V104" s="516">
        <f t="shared" si="113"/>
        <v>359.91222166329783</v>
      </c>
      <c r="W104" s="516">
        <f t="shared" si="113"/>
        <v>319.92695834833597</v>
      </c>
      <c r="X104" s="516">
        <f t="shared" si="113"/>
        <v>284.63725558741652</v>
      </c>
      <c r="Y104" s="516">
        <f t="shared" si="113"/>
        <v>298.12146056830926</v>
      </c>
      <c r="Z104" s="516">
        <f t="shared" si="113"/>
        <v>19.580347617914111</v>
      </c>
    </row>
    <row r="105" spans="1:28" s="670" customFormat="1">
      <c r="A105" s="672"/>
      <c r="B105" s="671" t="s">
        <v>824</v>
      </c>
      <c r="J105" s="673">
        <f>J108+J110</f>
        <v>1649.769</v>
      </c>
      <c r="K105" s="673">
        <f>K108+K110</f>
        <v>3820</v>
      </c>
      <c r="L105" s="673">
        <f>L108+L110+L112</f>
        <v>2842</v>
      </c>
      <c r="M105" s="673"/>
      <c r="N105" s="673"/>
      <c r="O105" s="673"/>
      <c r="P105" s="673"/>
      <c r="Q105" s="673"/>
      <c r="R105" s="673"/>
      <c r="S105" s="673"/>
      <c r="T105" s="673"/>
      <c r="U105" s="673"/>
      <c r="V105" s="673"/>
      <c r="W105" s="673"/>
      <c r="X105" s="673"/>
      <c r="Y105" s="673"/>
      <c r="Z105" s="673"/>
    </row>
    <row r="107" spans="1:28" outlineLevel="1">
      <c r="B107" s="515" t="s">
        <v>813</v>
      </c>
      <c r="J107" s="455">
        <f>J91*J92*J93*J82*J99*J102/1000</f>
        <v>93.533321219711794</v>
      </c>
      <c r="K107" s="455">
        <f>K91*K92*K93*K82*K99*K102/1000</f>
        <v>-687.46843328910472</v>
      </c>
      <c r="L107" s="455">
        <f>L104*L115</f>
        <v>1807.8665104293698</v>
      </c>
      <c r="M107" s="455">
        <f t="shared" ref="M107:Z107" si="114">M104*M115</f>
        <v>834.77069505956001</v>
      </c>
      <c r="N107" s="455">
        <f t="shared" si="114"/>
        <v>387.94672483783035</v>
      </c>
      <c r="O107" s="455">
        <f t="shared" si="114"/>
        <v>293.40504229896885</v>
      </c>
      <c r="P107" s="455">
        <f t="shared" si="114"/>
        <v>259.51035463597566</v>
      </c>
      <c r="Q107" s="455">
        <f t="shared" si="114"/>
        <v>229.66667435452931</v>
      </c>
      <c r="R107" s="455">
        <f t="shared" si="114"/>
        <v>203.38274446083798</v>
      </c>
      <c r="S107" s="455">
        <f t="shared" si="114"/>
        <v>180.22724049195861</v>
      </c>
      <c r="T107" s="455">
        <f t="shared" si="114"/>
        <v>159.8214409492806</v>
      </c>
      <c r="U107" s="455">
        <f t="shared" si="114"/>
        <v>141.83279500308723</v>
      </c>
      <c r="V107" s="455">
        <f t="shared" si="114"/>
        <v>125.96927758215423</v>
      </c>
      <c r="W107" s="455">
        <f t="shared" si="114"/>
        <v>111.97443542191758</v>
      </c>
      <c r="X107" s="455">
        <f t="shared" si="114"/>
        <v>99.623039455595773</v>
      </c>
      <c r="Y107" s="455">
        <f t="shared" si="114"/>
        <v>104.34251119890824</v>
      </c>
      <c r="Z107" s="455">
        <f t="shared" si="114"/>
        <v>6.8531216662699386</v>
      </c>
    </row>
    <row r="108" spans="1:28" s="670" customFormat="1">
      <c r="A108" s="672"/>
      <c r="B108" s="671" t="s">
        <v>824</v>
      </c>
      <c r="J108" s="673">
        <f>REVS!BP50</f>
        <v>103.405</v>
      </c>
      <c r="K108" s="673">
        <f>REVS!BU50</f>
        <v>2219</v>
      </c>
      <c r="L108" s="673">
        <f>REVS!BZ50</f>
        <v>1810</v>
      </c>
      <c r="M108" s="673"/>
      <c r="N108" s="673"/>
      <c r="O108" s="673"/>
      <c r="P108" s="673"/>
      <c r="Q108" s="673"/>
      <c r="R108" s="673"/>
      <c r="S108" s="673"/>
      <c r="T108" s="673"/>
      <c r="U108" s="673"/>
      <c r="V108" s="673"/>
      <c r="W108" s="673"/>
      <c r="X108" s="673"/>
      <c r="Y108" s="673"/>
      <c r="Z108" s="673"/>
    </row>
    <row r="109" spans="1:28" outlineLevel="1">
      <c r="B109" s="515" t="s">
        <v>814</v>
      </c>
      <c r="C109" s="455"/>
      <c r="J109" s="455">
        <f>(1-J91)*J92*J93*J89*J99*J102/1000</f>
        <v>1558.8977679883346</v>
      </c>
      <c r="K109" s="455">
        <f>(1-K91)*K92*K93*K89*K99*K102/1000</f>
        <v>-517.74885036426724</v>
      </c>
      <c r="L109" s="455">
        <f>L104*L116</f>
        <v>889.94975734396053</v>
      </c>
      <c r="M109" s="455">
        <f t="shared" ref="M109:Z109" si="115">M104*M116</f>
        <v>185.50459890212446</v>
      </c>
      <c r="N109" s="455">
        <f t="shared" si="115"/>
        <v>55.42096069111863</v>
      </c>
      <c r="O109" s="455">
        <f t="shared" si="115"/>
        <v>41.915006042709848</v>
      </c>
      <c r="P109" s="455">
        <f t="shared" si="115"/>
        <v>37.07290780513938</v>
      </c>
      <c r="Q109" s="455">
        <f t="shared" si="115"/>
        <v>32.809524907789907</v>
      </c>
      <c r="R109" s="455">
        <f t="shared" si="115"/>
        <v>29.054677780119718</v>
      </c>
      <c r="S109" s="455">
        <f t="shared" si="115"/>
        <v>25.746748641708379</v>
      </c>
      <c r="T109" s="455">
        <f t="shared" si="115"/>
        <v>22.831634421325802</v>
      </c>
      <c r="U109" s="455">
        <f t="shared" si="115"/>
        <v>20.261827857583896</v>
      </c>
      <c r="V109" s="455">
        <f t="shared" si="115"/>
        <v>17.995611083164892</v>
      </c>
      <c r="W109" s="455">
        <f t="shared" si="115"/>
        <v>15.996347917416799</v>
      </c>
      <c r="X109" s="455">
        <f t="shared" si="115"/>
        <v>14.231862779370827</v>
      </c>
      <c r="Y109" s="455">
        <f t="shared" si="115"/>
        <v>14.906073028415463</v>
      </c>
      <c r="Z109" s="455">
        <f t="shared" si="115"/>
        <v>0.97901738089570556</v>
      </c>
    </row>
    <row r="110" spans="1:28" s="670" customFormat="1">
      <c r="A110" s="672"/>
      <c r="B110" s="671" t="s">
        <v>824</v>
      </c>
      <c r="J110" s="673">
        <f>REVS!BP60</f>
        <v>1546.364</v>
      </c>
      <c r="K110" s="673">
        <f>REVS!BU60</f>
        <v>1601</v>
      </c>
      <c r="L110" s="673">
        <f>REVS!BZ60</f>
        <v>891</v>
      </c>
      <c r="M110" s="673"/>
      <c r="N110" s="673"/>
      <c r="O110" s="673"/>
      <c r="P110" s="673"/>
      <c r="Q110" s="673"/>
      <c r="R110" s="673"/>
      <c r="S110" s="673"/>
      <c r="T110" s="673"/>
      <c r="U110" s="673"/>
      <c r="V110" s="673"/>
      <c r="W110" s="673"/>
      <c r="X110" s="673"/>
      <c r="Y110" s="673"/>
      <c r="Z110" s="673"/>
    </row>
    <row r="111" spans="1:28">
      <c r="B111" s="515" t="str">
        <f>'US HCV'!B130</f>
        <v>Epclusa EU revenue ($M)</v>
      </c>
      <c r="C111" s="463"/>
      <c r="L111" s="455">
        <f>L117*L104</f>
        <v>140.83379998372428</v>
      </c>
      <c r="M111" s="455">
        <f>M117*M104+100</f>
        <v>842.01839560849783</v>
      </c>
      <c r="N111" s="455">
        <f t="shared" ref="N111:Z111" si="116">N117*N104</f>
        <v>554.20960691118626</v>
      </c>
      <c r="O111" s="455">
        <f t="shared" si="116"/>
        <v>419.15006042709842</v>
      </c>
      <c r="P111" s="455">
        <f t="shared" si="116"/>
        <v>370.7290780513938</v>
      </c>
      <c r="Q111" s="455">
        <f t="shared" si="116"/>
        <v>328.09524907789904</v>
      </c>
      <c r="R111" s="455">
        <f t="shared" si="116"/>
        <v>290.54677780119715</v>
      </c>
      <c r="S111" s="455">
        <f t="shared" si="116"/>
        <v>257.46748641708376</v>
      </c>
      <c r="T111" s="455">
        <f t="shared" si="116"/>
        <v>228.31634421325802</v>
      </c>
      <c r="U111" s="455">
        <f t="shared" si="116"/>
        <v>202.61827857583893</v>
      </c>
      <c r="V111" s="455">
        <f t="shared" si="116"/>
        <v>179.95611083164891</v>
      </c>
      <c r="W111" s="455">
        <f t="shared" si="116"/>
        <v>159.96347917416799</v>
      </c>
      <c r="X111" s="455">
        <f t="shared" si="116"/>
        <v>142.31862779370826</v>
      </c>
      <c r="Y111" s="455">
        <f t="shared" si="116"/>
        <v>149.06073028415463</v>
      </c>
      <c r="Z111" s="455">
        <f t="shared" si="116"/>
        <v>9.7901738089570554</v>
      </c>
    </row>
    <row r="112" spans="1:28">
      <c r="B112" s="671" t="s">
        <v>824</v>
      </c>
      <c r="L112" s="455">
        <f>REVS!BZ55</f>
        <v>141</v>
      </c>
    </row>
    <row r="113" spans="2:26">
      <c r="B113" s="515" t="str">
        <f>'US HCV'!B131</f>
        <v>Vosevi EU revenue ($M)</v>
      </c>
      <c r="L113" s="455">
        <f>L104*L118</f>
        <v>0</v>
      </c>
      <c r="M113" s="455">
        <f t="shared" ref="M113:Z113" si="117">M104*M118</f>
        <v>92.752299451062228</v>
      </c>
      <c r="N113" s="455">
        <f t="shared" si="117"/>
        <v>110.84192138223729</v>
      </c>
      <c r="O113" s="455">
        <f t="shared" si="117"/>
        <v>83.83001208541971</v>
      </c>
      <c r="P113" s="455">
        <f t="shared" si="117"/>
        <v>74.145815610278788</v>
      </c>
      <c r="Q113" s="455">
        <f t="shared" si="117"/>
        <v>65.619049815579828</v>
      </c>
      <c r="R113" s="455">
        <f t="shared" si="117"/>
        <v>58.10935556023945</v>
      </c>
      <c r="S113" s="455">
        <f t="shared" si="117"/>
        <v>51.493497283416772</v>
      </c>
      <c r="T113" s="455">
        <f t="shared" si="117"/>
        <v>45.663268842651618</v>
      </c>
      <c r="U113" s="455">
        <f t="shared" si="117"/>
        <v>40.523655715167799</v>
      </c>
      <c r="V113" s="455">
        <f t="shared" si="117"/>
        <v>35.991222166329791</v>
      </c>
      <c r="W113" s="455">
        <f t="shared" si="117"/>
        <v>31.992695834833608</v>
      </c>
      <c r="X113" s="455">
        <f t="shared" si="117"/>
        <v>28.463725558741661</v>
      </c>
      <c r="Y113" s="455">
        <f t="shared" si="117"/>
        <v>29.812146056830937</v>
      </c>
      <c r="Z113" s="455">
        <f t="shared" si="117"/>
        <v>1.9580347617914118</v>
      </c>
    </row>
    <row r="114" spans="2:26">
      <c r="B114" s="671" t="s">
        <v>824</v>
      </c>
      <c r="L114" s="455"/>
    </row>
    <row r="115" spans="2:26">
      <c r="B115" s="319" t="s">
        <v>916</v>
      </c>
      <c r="J115" s="470">
        <f>J108/J105</f>
        <v>6.2678471955770781E-2</v>
      </c>
      <c r="K115" s="470">
        <f>K108/K105</f>
        <v>0.58089005235602098</v>
      </c>
      <c r="L115" s="470">
        <f>L108/L105</f>
        <v>0.63687543983110484</v>
      </c>
      <c r="M115" s="469">
        <f>1-M116-M117-M118</f>
        <v>0.45</v>
      </c>
      <c r="N115" s="469">
        <v>0.35</v>
      </c>
      <c r="O115" s="469">
        <v>0.35</v>
      </c>
      <c r="P115" s="469">
        <f t="shared" ref="P115:Z115" si="118">O115</f>
        <v>0.35</v>
      </c>
      <c r="Q115" s="469">
        <f t="shared" si="118"/>
        <v>0.35</v>
      </c>
      <c r="R115" s="469">
        <f t="shared" si="118"/>
        <v>0.35</v>
      </c>
      <c r="S115" s="469">
        <f t="shared" si="118"/>
        <v>0.35</v>
      </c>
      <c r="T115" s="469">
        <f t="shared" si="118"/>
        <v>0.35</v>
      </c>
      <c r="U115" s="469">
        <f t="shared" si="118"/>
        <v>0.35</v>
      </c>
      <c r="V115" s="469">
        <f t="shared" si="118"/>
        <v>0.35</v>
      </c>
      <c r="W115" s="469">
        <f t="shared" si="118"/>
        <v>0.35</v>
      </c>
      <c r="X115" s="469">
        <f t="shared" si="118"/>
        <v>0.35</v>
      </c>
      <c r="Y115" s="469">
        <f t="shared" si="118"/>
        <v>0.35</v>
      </c>
      <c r="Z115" s="469">
        <f t="shared" si="118"/>
        <v>0.35</v>
      </c>
    </row>
    <row r="116" spans="2:26">
      <c r="B116" s="319" t="s">
        <v>917</v>
      </c>
      <c r="J116" s="470">
        <f>J110/J105</f>
        <v>0.93732152804422919</v>
      </c>
      <c r="K116" s="470">
        <f>K110/K105</f>
        <v>0.41910994764397907</v>
      </c>
      <c r="L116" s="470">
        <f>L110/L105</f>
        <v>0.31351161154116819</v>
      </c>
      <c r="M116" s="469">
        <v>0.1</v>
      </c>
      <c r="N116" s="469">
        <v>0.05</v>
      </c>
      <c r="O116" s="469">
        <f>N116</f>
        <v>0.05</v>
      </c>
      <c r="P116" s="469">
        <f t="shared" ref="P116:Z117" si="119">O116</f>
        <v>0.05</v>
      </c>
      <c r="Q116" s="469">
        <f t="shared" si="119"/>
        <v>0.05</v>
      </c>
      <c r="R116" s="469">
        <f t="shared" si="119"/>
        <v>0.05</v>
      </c>
      <c r="S116" s="469">
        <f t="shared" si="119"/>
        <v>0.05</v>
      </c>
      <c r="T116" s="469">
        <f t="shared" si="119"/>
        <v>0.05</v>
      </c>
      <c r="U116" s="469">
        <f t="shared" si="119"/>
        <v>0.05</v>
      </c>
      <c r="V116" s="469">
        <f t="shared" si="119"/>
        <v>0.05</v>
      </c>
      <c r="W116" s="469">
        <f t="shared" si="119"/>
        <v>0.05</v>
      </c>
      <c r="X116" s="469">
        <f t="shared" si="119"/>
        <v>0.05</v>
      </c>
      <c r="Y116" s="469">
        <f t="shared" si="119"/>
        <v>0.05</v>
      </c>
      <c r="Z116" s="469">
        <f t="shared" si="119"/>
        <v>0.05</v>
      </c>
    </row>
    <row r="117" spans="2:26">
      <c r="B117" s="319" t="s">
        <v>681</v>
      </c>
      <c r="J117" s="470">
        <v>0</v>
      </c>
      <c r="K117" s="470">
        <v>0</v>
      </c>
      <c r="L117" s="469">
        <v>4.9612948627726916E-2</v>
      </c>
      <c r="M117" s="469">
        <v>0.4</v>
      </c>
      <c r="N117" s="469">
        <v>0.5</v>
      </c>
      <c r="O117" s="469">
        <v>0.5</v>
      </c>
      <c r="P117" s="469">
        <f>O117</f>
        <v>0.5</v>
      </c>
      <c r="Q117" s="469">
        <f t="shared" si="119"/>
        <v>0.5</v>
      </c>
      <c r="R117" s="469">
        <f t="shared" si="119"/>
        <v>0.5</v>
      </c>
      <c r="S117" s="469">
        <f t="shared" si="119"/>
        <v>0.5</v>
      </c>
      <c r="T117" s="469">
        <f t="shared" si="119"/>
        <v>0.5</v>
      </c>
      <c r="U117" s="469">
        <f t="shared" si="119"/>
        <v>0.5</v>
      </c>
      <c r="V117" s="469">
        <f t="shared" si="119"/>
        <v>0.5</v>
      </c>
      <c r="W117" s="469">
        <f t="shared" si="119"/>
        <v>0.5</v>
      </c>
      <c r="X117" s="469">
        <f t="shared" si="119"/>
        <v>0.5</v>
      </c>
      <c r="Y117" s="469">
        <f t="shared" si="119"/>
        <v>0.5</v>
      </c>
      <c r="Z117" s="469">
        <f t="shared" si="119"/>
        <v>0.5</v>
      </c>
    </row>
    <row r="118" spans="2:26">
      <c r="B118" s="319" t="s">
        <v>1030</v>
      </c>
      <c r="J118" s="469">
        <f>1-J117-J116-J115</f>
        <v>0</v>
      </c>
      <c r="K118" s="469">
        <f t="shared" ref="K118:Z118" si="120">1-K117-K116-K115</f>
        <v>0</v>
      </c>
      <c r="L118" s="469">
        <f t="shared" si="120"/>
        <v>0</v>
      </c>
      <c r="M118" s="469">
        <v>0.05</v>
      </c>
      <c r="N118" s="469">
        <f t="shared" si="120"/>
        <v>0.10000000000000003</v>
      </c>
      <c r="O118" s="469">
        <f t="shared" si="120"/>
        <v>0.10000000000000003</v>
      </c>
      <c r="P118" s="469">
        <f t="shared" si="120"/>
        <v>0.10000000000000003</v>
      </c>
      <c r="Q118" s="469">
        <f t="shared" si="120"/>
        <v>0.10000000000000003</v>
      </c>
      <c r="R118" s="469">
        <f t="shared" si="120"/>
        <v>0.10000000000000003</v>
      </c>
      <c r="S118" s="469">
        <f t="shared" si="120"/>
        <v>0.10000000000000003</v>
      </c>
      <c r="T118" s="469">
        <f t="shared" si="120"/>
        <v>0.10000000000000003</v>
      </c>
      <c r="U118" s="469">
        <f t="shared" si="120"/>
        <v>0.10000000000000003</v>
      </c>
      <c r="V118" s="469">
        <f t="shared" si="120"/>
        <v>0.10000000000000003</v>
      </c>
      <c r="W118" s="469">
        <f t="shared" si="120"/>
        <v>0.10000000000000003</v>
      </c>
      <c r="X118" s="469">
        <f t="shared" si="120"/>
        <v>0.10000000000000003</v>
      </c>
      <c r="Y118" s="469">
        <f t="shared" si="120"/>
        <v>0.10000000000000003</v>
      </c>
      <c r="Z118" s="469">
        <f t="shared" si="120"/>
        <v>0.10000000000000003</v>
      </c>
    </row>
  </sheetData>
  <mergeCells count="4">
    <mergeCell ref="E1:F1"/>
    <mergeCell ref="H1:J1"/>
    <mergeCell ref="J44:K44"/>
    <mergeCell ref="L44:M44"/>
  </mergeCells>
  <phoneticPr fontId="21" type="noConversion"/>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S130"/>
  <sheetViews>
    <sheetView zoomScaleNormal="100" workbookViewId="0">
      <pane xSplit="2" ySplit="3" topLeftCell="H73" activePane="bottomRight" state="frozen"/>
      <selection pane="topRight" activeCell="C1" sqref="C1"/>
      <selection pane="bottomLeft" activeCell="A4" sqref="A4"/>
      <selection pane="bottomRight" activeCell="N105" sqref="N105:N108"/>
    </sheetView>
  </sheetViews>
  <sheetFormatPr defaultRowHeight="12.75" outlineLevelRow="2"/>
  <cols>
    <col min="1" max="1" width="2.42578125" style="454" customWidth="1"/>
    <col min="2" max="2" width="27.5703125" style="319" bestFit="1" customWidth="1"/>
    <col min="3" max="12" width="9.140625" style="319"/>
    <col min="13" max="13" width="9.28515625" style="319" bestFit="1" customWidth="1"/>
    <col min="14" max="15" width="9.7109375" style="319" bestFit="1" customWidth="1"/>
    <col min="16" max="26" width="9.28515625" style="319" bestFit="1" customWidth="1"/>
    <col min="27" max="16384" width="9.140625" style="319"/>
  </cols>
  <sheetData>
    <row r="1" spans="1:45">
      <c r="A1" s="214"/>
      <c r="B1" s="215" t="s">
        <v>602</v>
      </c>
      <c r="C1" s="213"/>
      <c r="D1" s="213"/>
      <c r="E1" s="1011">
        <f>DCF!C25</f>
        <v>2</v>
      </c>
      <c r="F1" s="1011"/>
      <c r="G1" s="213"/>
      <c r="H1" s="1010" t="s">
        <v>603</v>
      </c>
      <c r="I1" s="1010"/>
      <c r="J1" s="1010"/>
      <c r="K1" s="213"/>
      <c r="L1" s="213"/>
      <c r="M1" s="213"/>
      <c r="N1" s="213"/>
      <c r="O1" s="213"/>
      <c r="P1" s="213"/>
      <c r="Q1" s="213"/>
      <c r="R1" s="213"/>
      <c r="S1" s="213"/>
      <c r="T1" s="213"/>
      <c r="U1" s="213"/>
      <c r="V1" s="213"/>
      <c r="W1" s="213"/>
      <c r="X1" s="213"/>
      <c r="Y1" s="213"/>
      <c r="Z1" s="213"/>
      <c r="AA1" s="213"/>
      <c r="AB1" s="213"/>
      <c r="AC1" s="213"/>
      <c r="AD1" s="213"/>
      <c r="AE1" s="213"/>
      <c r="AF1" s="213"/>
      <c r="AG1" s="213"/>
      <c r="AH1" s="213"/>
      <c r="AI1" s="213"/>
      <c r="AJ1" s="213"/>
      <c r="AK1" s="213"/>
      <c r="AL1" s="213"/>
      <c r="AM1" s="213"/>
      <c r="AN1" s="213"/>
      <c r="AO1" s="213"/>
      <c r="AP1" s="213"/>
      <c r="AQ1" s="213"/>
    </row>
    <row r="2" spans="1:45">
      <c r="A2" s="451">
        <v>1</v>
      </c>
    </row>
    <row r="3" spans="1:45" ht="13.5" thickBot="1">
      <c r="A3" s="451">
        <v>2</v>
      </c>
      <c r="B3" s="452"/>
      <c r="C3" s="452">
        <v>2007</v>
      </c>
      <c r="D3" s="452">
        <f t="shared" ref="D3:P3" si="0">C3+1</f>
        <v>2008</v>
      </c>
      <c r="E3" s="452">
        <f t="shared" si="0"/>
        <v>2009</v>
      </c>
      <c r="F3" s="452">
        <f t="shared" si="0"/>
        <v>2010</v>
      </c>
      <c r="G3" s="452">
        <f t="shared" si="0"/>
        <v>2011</v>
      </c>
      <c r="H3" s="452">
        <f t="shared" si="0"/>
        <v>2012</v>
      </c>
      <c r="I3" s="452">
        <f t="shared" si="0"/>
        <v>2013</v>
      </c>
      <c r="J3" s="452">
        <f t="shared" si="0"/>
        <v>2014</v>
      </c>
      <c r="K3" s="452">
        <f t="shared" si="0"/>
        <v>2015</v>
      </c>
      <c r="L3" s="452">
        <f t="shared" si="0"/>
        <v>2016</v>
      </c>
      <c r="M3" s="452">
        <f t="shared" si="0"/>
        <v>2017</v>
      </c>
      <c r="N3" s="452">
        <f t="shared" si="0"/>
        <v>2018</v>
      </c>
      <c r="O3" s="452">
        <f t="shared" si="0"/>
        <v>2019</v>
      </c>
      <c r="P3" s="452">
        <f t="shared" si="0"/>
        <v>2020</v>
      </c>
      <c r="Q3" s="452">
        <f t="shared" ref="Q3:Z3" si="1">P3+1</f>
        <v>2021</v>
      </c>
      <c r="R3" s="452">
        <f t="shared" si="1"/>
        <v>2022</v>
      </c>
      <c r="S3" s="452">
        <f t="shared" si="1"/>
        <v>2023</v>
      </c>
      <c r="T3" s="452">
        <f t="shared" si="1"/>
        <v>2024</v>
      </c>
      <c r="U3" s="452">
        <f t="shared" si="1"/>
        <v>2025</v>
      </c>
      <c r="V3" s="452">
        <f t="shared" si="1"/>
        <v>2026</v>
      </c>
      <c r="W3" s="452">
        <f t="shared" si="1"/>
        <v>2027</v>
      </c>
      <c r="X3" s="452">
        <f t="shared" si="1"/>
        <v>2028</v>
      </c>
      <c r="Y3" s="452">
        <f t="shared" si="1"/>
        <v>2029</v>
      </c>
      <c r="Z3" s="452">
        <f t="shared" si="1"/>
        <v>2030</v>
      </c>
    </row>
    <row r="4" spans="1:45">
      <c r="A4" s="451">
        <v>3</v>
      </c>
      <c r="B4" s="453" t="s">
        <v>596</v>
      </c>
      <c r="C4" s="453"/>
      <c r="D4" s="453"/>
      <c r="E4" s="453"/>
      <c r="F4" s="453"/>
      <c r="G4" s="453"/>
      <c r="H4" s="453"/>
      <c r="I4" s="453"/>
      <c r="J4" s="453"/>
      <c r="K4" s="453"/>
      <c r="L4" s="453"/>
      <c r="M4" s="453"/>
      <c r="N4" s="453"/>
      <c r="O4" s="453"/>
      <c r="P4" s="453"/>
      <c r="Q4" s="453"/>
      <c r="R4" s="453"/>
      <c r="S4" s="453"/>
      <c r="T4" s="453"/>
      <c r="U4" s="453"/>
      <c r="V4" s="453"/>
      <c r="W4" s="453"/>
      <c r="X4" s="453"/>
      <c r="Y4" s="453"/>
      <c r="Z4" s="453"/>
    </row>
    <row r="5" spans="1:45">
      <c r="B5" s="319" t="s">
        <v>597</v>
      </c>
      <c r="C5" s="455">
        <v>127800</v>
      </c>
      <c r="D5" s="455">
        <f t="shared" ref="D5:O5" si="2">C5*(1+D6)</f>
        <v>128055.6</v>
      </c>
      <c r="E5" s="455">
        <f t="shared" si="2"/>
        <v>128311.71120000001</v>
      </c>
      <c r="F5" s="455">
        <f t="shared" si="2"/>
        <v>128568.33462240001</v>
      </c>
      <c r="G5" s="455">
        <f t="shared" si="2"/>
        <v>127925.49294928802</v>
      </c>
      <c r="H5" s="455">
        <f t="shared" si="2"/>
        <v>126646.23801979514</v>
      </c>
      <c r="I5" s="455">
        <f t="shared" si="2"/>
        <v>125379.7756395972</v>
      </c>
      <c r="J5" s="455">
        <f t="shared" si="2"/>
        <v>124125.97788320122</v>
      </c>
      <c r="K5" s="455">
        <f t="shared" si="2"/>
        <v>122884.71810436921</v>
      </c>
      <c r="L5" s="455">
        <f t="shared" si="2"/>
        <v>121655.87092332552</v>
      </c>
      <c r="M5" s="455">
        <f t="shared" si="2"/>
        <v>120439.31221409226</v>
      </c>
      <c r="N5" s="455">
        <f t="shared" si="2"/>
        <v>119234.91909195133</v>
      </c>
      <c r="O5" s="455">
        <f t="shared" si="2"/>
        <v>118042.56990103182</v>
      </c>
      <c r="P5" s="455">
        <f>O5*(1+P6)</f>
        <v>116862.1442020215</v>
      </c>
      <c r="Q5" s="455">
        <f t="shared" ref="Q5:Z5" si="3">P5*(1+Q6)</f>
        <v>115693.52276000129</v>
      </c>
      <c r="R5" s="455">
        <f t="shared" si="3"/>
        <v>114536.58753240127</v>
      </c>
      <c r="S5" s="455">
        <f t="shared" si="3"/>
        <v>113391.22165707726</v>
      </c>
      <c r="T5" s="455">
        <f t="shared" si="3"/>
        <v>112257.30944050649</v>
      </c>
      <c r="U5" s="455">
        <f t="shared" si="3"/>
        <v>111134.73634610143</v>
      </c>
      <c r="V5" s="455">
        <f t="shared" si="3"/>
        <v>110023.38898264042</v>
      </c>
      <c r="W5" s="455">
        <f t="shared" si="3"/>
        <v>108923.15509281402</v>
      </c>
      <c r="X5" s="455">
        <f t="shared" si="3"/>
        <v>107833.92354188587</v>
      </c>
      <c r="Y5" s="455">
        <f t="shared" si="3"/>
        <v>106755.58430646702</v>
      </c>
      <c r="Z5" s="455">
        <f t="shared" si="3"/>
        <v>105688.02846340234</v>
      </c>
    </row>
    <row r="6" spans="1:45" s="458" customFormat="1">
      <c r="A6" s="456"/>
      <c r="B6" s="457" t="s">
        <v>531</v>
      </c>
      <c r="C6" s="459"/>
      <c r="D6" s="459">
        <v>2E-3</v>
      </c>
      <c r="E6" s="460">
        <f t="shared" ref="E6:P6" si="4">D6</f>
        <v>2E-3</v>
      </c>
      <c r="F6" s="460">
        <f t="shared" si="4"/>
        <v>2E-3</v>
      </c>
      <c r="G6" s="492">
        <v>-5.0000000000000001E-3</v>
      </c>
      <c r="H6" s="492">
        <v>-0.01</v>
      </c>
      <c r="I6" s="460">
        <f t="shared" si="4"/>
        <v>-0.01</v>
      </c>
      <c r="J6" s="460">
        <f t="shared" si="4"/>
        <v>-0.01</v>
      </c>
      <c r="K6" s="460">
        <f t="shared" si="4"/>
        <v>-0.01</v>
      </c>
      <c r="L6" s="460">
        <f t="shared" si="4"/>
        <v>-0.01</v>
      </c>
      <c r="M6" s="460">
        <f t="shared" si="4"/>
        <v>-0.01</v>
      </c>
      <c r="N6" s="460">
        <f t="shared" si="4"/>
        <v>-0.01</v>
      </c>
      <c r="O6" s="460">
        <f t="shared" si="4"/>
        <v>-0.01</v>
      </c>
      <c r="P6" s="460">
        <f t="shared" si="4"/>
        <v>-0.01</v>
      </c>
      <c r="Q6" s="460">
        <f t="shared" ref="Q6:Z6" si="5">P6</f>
        <v>-0.01</v>
      </c>
      <c r="R6" s="460">
        <f t="shared" si="5"/>
        <v>-0.01</v>
      </c>
      <c r="S6" s="460">
        <f t="shared" si="5"/>
        <v>-0.01</v>
      </c>
      <c r="T6" s="460">
        <f t="shared" si="5"/>
        <v>-0.01</v>
      </c>
      <c r="U6" s="460">
        <f t="shared" si="5"/>
        <v>-0.01</v>
      </c>
      <c r="V6" s="460">
        <f t="shared" si="5"/>
        <v>-0.01</v>
      </c>
      <c r="W6" s="460">
        <f t="shared" si="5"/>
        <v>-0.01</v>
      </c>
      <c r="X6" s="460">
        <f t="shared" si="5"/>
        <v>-0.01</v>
      </c>
      <c r="Y6" s="460">
        <f t="shared" si="5"/>
        <v>-0.01</v>
      </c>
      <c r="Z6" s="460">
        <f t="shared" si="5"/>
        <v>-0.01</v>
      </c>
    </row>
    <row r="8" spans="1:45">
      <c r="B8" s="461" t="s">
        <v>575</v>
      </c>
      <c r="C8" s="461"/>
      <c r="D8" s="462"/>
      <c r="E8" s="461"/>
      <c r="F8" s="461"/>
      <c r="G8" s="461"/>
      <c r="H8" s="461"/>
      <c r="I8" s="461"/>
      <c r="J8" s="461"/>
      <c r="K8" s="461"/>
      <c r="L8" s="461"/>
      <c r="M8" s="461"/>
      <c r="N8" s="461"/>
      <c r="O8" s="461"/>
      <c r="P8" s="461"/>
      <c r="Q8" s="461"/>
      <c r="R8" s="461"/>
      <c r="S8" s="461"/>
      <c r="T8" s="461"/>
      <c r="U8" s="461"/>
      <c r="V8" s="461"/>
      <c r="W8" s="461"/>
      <c r="X8" s="461"/>
      <c r="Y8" s="461"/>
      <c r="Z8" s="461"/>
      <c r="AA8" s="211"/>
      <c r="AB8" s="211"/>
      <c r="AC8" s="211"/>
      <c r="AD8" s="211"/>
      <c r="AE8" s="211"/>
      <c r="AF8" s="211"/>
      <c r="AG8" s="211"/>
      <c r="AH8" s="211"/>
      <c r="AI8" s="211"/>
      <c r="AJ8" s="211"/>
      <c r="AK8" s="211"/>
      <c r="AL8" s="211"/>
      <c r="AM8" s="211"/>
      <c r="AN8" s="211"/>
      <c r="AO8" s="211"/>
      <c r="AP8" s="211"/>
      <c r="AQ8" s="211"/>
      <c r="AR8" s="211"/>
      <c r="AS8" s="211"/>
    </row>
    <row r="9" spans="1:45">
      <c r="B9" s="319" t="s">
        <v>532</v>
      </c>
      <c r="C9" s="463">
        <f t="shared" ref="C9:O9" si="6">C10/C5</f>
        <v>9.1786385246285847E-3</v>
      </c>
      <c r="D9" s="463">
        <f t="shared" si="6"/>
        <v>9.0570345890316362E-3</v>
      </c>
      <c r="E9" s="463">
        <f t="shared" si="6"/>
        <v>8.9330413350391016E-3</v>
      </c>
      <c r="F9" s="463">
        <f t="shared" si="6"/>
        <v>8.8094223452892771E-3</v>
      </c>
      <c r="G9" s="463">
        <f t="shared" si="6"/>
        <v>8.7430427180706163E-3</v>
      </c>
      <c r="H9" s="463">
        <f t="shared" si="6"/>
        <v>8.6856113312111741E-3</v>
      </c>
      <c r="I9" s="463">
        <f t="shared" si="6"/>
        <v>8.6100405270350608E-3</v>
      </c>
      <c r="J9" s="463">
        <f t="shared" si="6"/>
        <v>8.5309724148407463E-3</v>
      </c>
      <c r="K9" s="463">
        <f t="shared" si="6"/>
        <v>8.3716810145943281E-3</v>
      </c>
      <c r="L9" s="463">
        <f t="shared" si="6"/>
        <v>7.983372081765687E-3</v>
      </c>
      <c r="M9" s="463">
        <f t="shared" si="6"/>
        <v>7.3466683212318517E-3</v>
      </c>
      <c r="N9" s="463">
        <f t="shared" si="6"/>
        <v>7.1830503302235246E-3</v>
      </c>
      <c r="O9" s="463">
        <f t="shared" si="6"/>
        <v>7.0881911897537281E-3</v>
      </c>
      <c r="P9" s="463">
        <f>P10/P5</f>
        <v>7.0071428914337663E-3</v>
      </c>
      <c r="Q9" s="463">
        <f t="shared" ref="Q9:Z9" si="7">Q10/Q5</f>
        <v>6.9387070385182915E-3</v>
      </c>
      <c r="R9" s="463">
        <f t="shared" si="7"/>
        <v>6.8744214345851243E-3</v>
      </c>
      <c r="S9" s="463">
        <f t="shared" si="7"/>
        <v>6.8141007808652449E-3</v>
      </c>
      <c r="T9" s="463">
        <f t="shared" si="7"/>
        <v>6.7575656120106081E-3</v>
      </c>
      <c r="U9" s="463">
        <f t="shared" si="7"/>
        <v>6.704642039256305E-3</v>
      </c>
      <c r="V9" s="463">
        <f t="shared" si="7"/>
        <v>6.6551615028880452E-3</v>
      </c>
      <c r="W9" s="463">
        <f t="shared" si="7"/>
        <v>6.6089605336340949E-3</v>
      </c>
      <c r="X9" s="463">
        <f t="shared" si="7"/>
        <v>6.5658805226155945E-3</v>
      </c>
      <c r="Y9" s="463">
        <f t="shared" si="7"/>
        <v>6.525767499503299E-3</v>
      </c>
      <c r="Z9" s="463">
        <f t="shared" si="7"/>
        <v>6.4947464868455552E-3</v>
      </c>
    </row>
    <row r="10" spans="1:45">
      <c r="B10" s="319" t="s">
        <v>533</v>
      </c>
      <c r="C10" s="455">
        <f>D10-C11+C12+C13</f>
        <v>1173.0300034475331</v>
      </c>
      <c r="D10" s="455">
        <f>E10-D11+D12+D13</f>
        <v>1159.8039985191997</v>
      </c>
      <c r="E10" s="455">
        <f>F10-E11+E12+E13</f>
        <v>1146.2138199191998</v>
      </c>
      <c r="F10" s="455">
        <f>G10-F11+F12+F13</f>
        <v>1132.6127599191998</v>
      </c>
      <c r="G10" s="455">
        <f>H10-G11+G12+G13</f>
        <v>1118.4580495858665</v>
      </c>
      <c r="H10" s="464">
        <v>1100</v>
      </c>
      <c r="I10" s="455">
        <f>H10+H11-H12-H13</f>
        <v>1079.5249495274952</v>
      </c>
      <c r="J10" s="455">
        <f t="shared" ref="J10:P10" si="8">I10+I11-I12-I13</f>
        <v>1058.9152932867223</v>
      </c>
      <c r="K10" s="455">
        <f t="shared" si="8"/>
        <v>1028.7516615381237</v>
      </c>
      <c r="L10" s="455">
        <f t="shared" si="8"/>
        <v>971.224083512167</v>
      </c>
      <c r="M10" s="455">
        <f t="shared" si="8"/>
        <v>884.8276796742241</v>
      </c>
      <c r="N10" s="455">
        <f t="shared" si="8"/>
        <v>856.47042495761627</v>
      </c>
      <c r="O10" s="455">
        <f t="shared" si="8"/>
        <v>836.70830398838234</v>
      </c>
      <c r="P10" s="455">
        <f t="shared" si="8"/>
        <v>818.86974302290275</v>
      </c>
      <c r="Q10" s="455">
        <f t="shared" ref="Q10:Z10" si="9">P10+P11-P12-P13</f>
        <v>802.7634606857971</v>
      </c>
      <c r="R10" s="455">
        <f t="shared" si="9"/>
        <v>787.37277237697458</v>
      </c>
      <c r="S10" s="455">
        <f t="shared" si="9"/>
        <v>772.65921203675418</v>
      </c>
      <c r="T10" s="455">
        <f t="shared" si="9"/>
        <v>758.58613397200043</v>
      </c>
      <c r="U10" s="455">
        <f t="shared" si="9"/>
        <v>745.11862532773728</v>
      </c>
      <c r="V10" s="455">
        <f t="shared" si="9"/>
        <v>732.22342277454516</v>
      </c>
      <c r="W10" s="455">
        <f t="shared" si="9"/>
        <v>719.8688332073134</v>
      </c>
      <c r="X10" s="455">
        <f t="shared" si="9"/>
        <v>708.02465826088769</v>
      </c>
      <c r="Y10" s="455">
        <f t="shared" si="9"/>
        <v>696.66212245762688</v>
      </c>
      <c r="Z10" s="455">
        <f t="shared" si="9"/>
        <v>686.41695156431535</v>
      </c>
      <c r="AB10" s="319" t="s">
        <v>534</v>
      </c>
    </row>
    <row r="11" spans="1:45">
      <c r="B11" s="465" t="s">
        <v>535</v>
      </c>
      <c r="C11" s="466">
        <f>D11*1.01</f>
        <v>7.0067336673333322</v>
      </c>
      <c r="D11" s="466">
        <f>E11*1.01</f>
        <v>6.9373600666666659</v>
      </c>
      <c r="E11" s="466">
        <f>F11*1.01</f>
        <v>6.8686733333333327</v>
      </c>
      <c r="F11" s="466">
        <f>G11*1.01</f>
        <v>6.8006666666666664</v>
      </c>
      <c r="G11" s="466">
        <f>H11*1.01</f>
        <v>6.7333333333333334</v>
      </c>
      <c r="H11" s="467">
        <f>20/3</f>
        <v>6.666666666666667</v>
      </c>
      <c r="I11" s="466">
        <f>H11*0.99</f>
        <v>6.6000000000000005</v>
      </c>
      <c r="J11" s="466">
        <f t="shared" ref="J11:P11" si="10">I11*0.99</f>
        <v>6.5340000000000007</v>
      </c>
      <c r="K11" s="466">
        <f t="shared" si="10"/>
        <v>6.4686600000000007</v>
      </c>
      <c r="L11" s="466">
        <f t="shared" si="10"/>
        <v>6.4039734000000008</v>
      </c>
      <c r="M11" s="466">
        <f t="shared" si="10"/>
        <v>6.3399336660000012</v>
      </c>
      <c r="N11" s="466">
        <f t="shared" si="10"/>
        <v>6.2765343293400013</v>
      </c>
      <c r="O11" s="466">
        <f t="shared" si="10"/>
        <v>6.2137689860466017</v>
      </c>
      <c r="P11" s="466">
        <f t="shared" si="10"/>
        <v>6.1516312961861352</v>
      </c>
      <c r="Q11" s="466">
        <f t="shared" ref="Q11:Z11" si="11">P11*0.99</f>
        <v>6.0901149832242742</v>
      </c>
      <c r="R11" s="466">
        <f t="shared" si="11"/>
        <v>6.0292138333920313</v>
      </c>
      <c r="S11" s="466">
        <f t="shared" si="11"/>
        <v>5.9689216950581105</v>
      </c>
      <c r="T11" s="466">
        <f t="shared" si="11"/>
        <v>5.9092324781075298</v>
      </c>
      <c r="U11" s="466">
        <f t="shared" si="11"/>
        <v>5.8501401533264543</v>
      </c>
      <c r="V11" s="466">
        <f t="shared" si="11"/>
        <v>5.7916387517931893</v>
      </c>
      <c r="W11" s="466">
        <f t="shared" si="11"/>
        <v>5.7337223642752573</v>
      </c>
      <c r="X11" s="466">
        <f t="shared" si="11"/>
        <v>5.6763851406325045</v>
      </c>
      <c r="Y11" s="466">
        <f t="shared" si="11"/>
        <v>5.6196212892261794</v>
      </c>
      <c r="Z11" s="466">
        <f t="shared" si="11"/>
        <v>5.5634250763339175</v>
      </c>
      <c r="AB11" s="319" t="s">
        <v>536</v>
      </c>
    </row>
    <row r="12" spans="1:45">
      <c r="B12" s="465" t="s">
        <v>537</v>
      </c>
      <c r="C12" s="468">
        <f>12/3</f>
        <v>4</v>
      </c>
      <c r="D12" s="466">
        <f t="shared" ref="D12:P12" si="12">C12*1.01</f>
        <v>4.04</v>
      </c>
      <c r="E12" s="466">
        <f t="shared" si="12"/>
        <v>4.0804</v>
      </c>
      <c r="F12" s="466">
        <f t="shared" si="12"/>
        <v>4.1212039999999996</v>
      </c>
      <c r="G12" s="466">
        <f t="shared" si="12"/>
        <v>4.1624160400000001</v>
      </c>
      <c r="H12" s="466">
        <f t="shared" si="12"/>
        <v>4.2040402003999997</v>
      </c>
      <c r="I12" s="466">
        <f t="shared" si="12"/>
        <v>4.2460806024039996</v>
      </c>
      <c r="J12" s="466">
        <f t="shared" si="12"/>
        <v>4.2885414084280393</v>
      </c>
      <c r="K12" s="466">
        <f t="shared" si="12"/>
        <v>4.33142682251232</v>
      </c>
      <c r="L12" s="466">
        <f t="shared" si="12"/>
        <v>4.3747410907374435</v>
      </c>
      <c r="M12" s="466">
        <f t="shared" si="12"/>
        <v>4.4184885016448181</v>
      </c>
      <c r="N12" s="466">
        <f t="shared" si="12"/>
        <v>4.4626733866612662</v>
      </c>
      <c r="O12" s="466">
        <f t="shared" si="12"/>
        <v>4.5073001205278791</v>
      </c>
      <c r="P12" s="466">
        <f t="shared" si="12"/>
        <v>4.552373121733158</v>
      </c>
      <c r="Q12" s="466">
        <f t="shared" ref="Q12:Z12" si="13">P12*1.01</f>
        <v>4.5978968529504893</v>
      </c>
      <c r="R12" s="466">
        <f t="shared" si="13"/>
        <v>4.6438758214799947</v>
      </c>
      <c r="S12" s="466">
        <f t="shared" si="13"/>
        <v>4.6903145796947943</v>
      </c>
      <c r="T12" s="466">
        <f t="shared" si="13"/>
        <v>4.7372177254917425</v>
      </c>
      <c r="U12" s="466">
        <f t="shared" si="13"/>
        <v>4.7845899027466601</v>
      </c>
      <c r="V12" s="466">
        <f t="shared" si="13"/>
        <v>4.8324358017741265</v>
      </c>
      <c r="W12" s="466">
        <f t="shared" si="13"/>
        <v>4.8807601597918682</v>
      </c>
      <c r="X12" s="466">
        <f t="shared" si="13"/>
        <v>4.9295677613897873</v>
      </c>
      <c r="Y12" s="466">
        <f t="shared" si="13"/>
        <v>4.9788634390036854</v>
      </c>
      <c r="Z12" s="466">
        <f t="shared" si="13"/>
        <v>5.0286520733937223</v>
      </c>
      <c r="AB12" s="319" t="s">
        <v>536</v>
      </c>
    </row>
    <row r="13" spans="1:45">
      <c r="B13" s="465" t="s">
        <v>538</v>
      </c>
      <c r="C13" s="210">
        <f>C36+C37+C38</f>
        <v>16.232738595666667</v>
      </c>
      <c r="D13" s="210">
        <f t="shared" ref="D13:O13" si="14">D36+D37+D38+D62</f>
        <v>16.487538666666666</v>
      </c>
      <c r="E13" s="210">
        <f t="shared" si="14"/>
        <v>16.389333333333333</v>
      </c>
      <c r="F13" s="210">
        <f t="shared" si="14"/>
        <v>16.834173</v>
      </c>
      <c r="G13" s="210">
        <f t="shared" si="14"/>
        <v>21.028966879199999</v>
      </c>
      <c r="H13" s="210">
        <f t="shared" si="14"/>
        <v>22.937676938771546</v>
      </c>
      <c r="I13" s="210">
        <f t="shared" si="14"/>
        <v>22.963575638368859</v>
      </c>
      <c r="J13" s="210">
        <f t="shared" si="14"/>
        <v>32.409090340170664</v>
      </c>
      <c r="K13" s="210">
        <f t="shared" si="14"/>
        <v>59.664811203444287</v>
      </c>
      <c r="L13" s="210">
        <f t="shared" si="14"/>
        <v>88.425636147205466</v>
      </c>
      <c r="M13" s="210">
        <f t="shared" si="14"/>
        <v>30.278699880963003</v>
      </c>
      <c r="N13" s="210">
        <f t="shared" si="14"/>
        <v>21.575981911912621</v>
      </c>
      <c r="O13" s="210">
        <f t="shared" si="14"/>
        <v>19.545029830998221</v>
      </c>
      <c r="P13" s="210">
        <f>P36+P37+P38+P62</f>
        <v>17.705540511558645</v>
      </c>
      <c r="Q13" s="210">
        <f t="shared" ref="Q13:Z13" si="15">Q36+Q37+Q38+Q62</f>
        <v>16.882906439096299</v>
      </c>
      <c r="R13" s="210">
        <f t="shared" si="15"/>
        <v>16.098898352132444</v>
      </c>
      <c r="S13" s="210">
        <f t="shared" si="15"/>
        <v>15.351685180117146</v>
      </c>
      <c r="T13" s="210">
        <f t="shared" si="15"/>
        <v>14.63952339687896</v>
      </c>
      <c r="U13" s="210">
        <f t="shared" si="15"/>
        <v>13.960752803771978</v>
      </c>
      <c r="V13" s="210">
        <f t="shared" si="15"/>
        <v>13.313792517250864</v>
      </c>
      <c r="W13" s="210">
        <f t="shared" si="15"/>
        <v>12.697137150909107</v>
      </c>
      <c r="X13" s="210">
        <f t="shared" si="15"/>
        <v>12.109353182503606</v>
      </c>
      <c r="Y13" s="210">
        <f t="shared" si="15"/>
        <v>10.885928743533997</v>
      </c>
      <c r="Z13" s="210">
        <f t="shared" si="15"/>
        <v>8.6459040021957279</v>
      </c>
    </row>
    <row r="15" spans="1:45">
      <c r="B15" s="319" t="s">
        <v>540</v>
      </c>
      <c r="C15" s="455">
        <f>C16*C10</f>
        <v>794.4612296076474</v>
      </c>
      <c r="D15" s="455">
        <f>D16*D10</f>
        <v>785.50361717891246</v>
      </c>
      <c r="E15" s="455">
        <f>E16*E10</f>
        <v>776.29935985436703</v>
      </c>
      <c r="F15" s="455">
        <f>F16*F10</f>
        <v>767.08773285436712</v>
      </c>
      <c r="G15" s="455">
        <f>G16*G10</f>
        <v>757.50113358315502</v>
      </c>
      <c r="H15" s="464">
        <v>745</v>
      </c>
      <c r="I15" s="455">
        <f t="shared" ref="I15:O15" si="16">I16*I10</f>
        <v>731.13280672543988</v>
      </c>
      <c r="J15" s="455">
        <f t="shared" si="16"/>
        <v>717.17444863509832</v>
      </c>
      <c r="K15" s="455">
        <f t="shared" si="16"/>
        <v>696.74544349627467</v>
      </c>
      <c r="L15" s="455">
        <f t="shared" si="16"/>
        <v>657.7835838332403</v>
      </c>
      <c r="M15" s="455">
        <f t="shared" si="16"/>
        <v>599.26965577936085</v>
      </c>
      <c r="N15" s="455">
        <f t="shared" si="16"/>
        <v>580.06406053947649</v>
      </c>
      <c r="O15" s="455">
        <f t="shared" si="16"/>
        <v>566.67971497394979</v>
      </c>
      <c r="P15" s="455">
        <f>P16*P10</f>
        <v>554.59814413823869</v>
      </c>
      <c r="Q15" s="455">
        <f t="shared" ref="Q15:Z15" si="17">Q16*Q10</f>
        <v>543.68979837356255</v>
      </c>
      <c r="R15" s="455">
        <f t="shared" si="17"/>
        <v>533.26610492804184</v>
      </c>
      <c r="S15" s="455">
        <f t="shared" si="17"/>
        <v>523.30101178852897</v>
      </c>
      <c r="T15" s="455">
        <f t="shared" si="17"/>
        <v>513.76969982649121</v>
      </c>
      <c r="U15" s="455">
        <f t="shared" si="17"/>
        <v>504.64852351742206</v>
      </c>
      <c r="V15" s="455">
        <f t="shared" si="17"/>
        <v>495.91495451548741</v>
      </c>
      <c r="W15" s="455">
        <f t="shared" si="17"/>
        <v>487.54752794495317</v>
      </c>
      <c r="X15" s="455">
        <f t="shared" si="17"/>
        <v>479.52579127669208</v>
      </c>
      <c r="Y15" s="455">
        <f t="shared" si="17"/>
        <v>471.83025566448362</v>
      </c>
      <c r="Z15" s="455">
        <f t="shared" si="17"/>
        <v>464.89148083219538</v>
      </c>
      <c r="AB15" s="319" t="s">
        <v>541</v>
      </c>
    </row>
    <row r="16" spans="1:45">
      <c r="B16" s="319" t="s">
        <v>539</v>
      </c>
      <c r="C16" s="469">
        <f>D16</f>
        <v>0.67727272727272725</v>
      </c>
      <c r="D16" s="469">
        <f>E16</f>
        <v>0.67727272727272725</v>
      </c>
      <c r="E16" s="469">
        <f>F16</f>
        <v>0.67727272727272725</v>
      </c>
      <c r="F16" s="469">
        <f>G16</f>
        <v>0.67727272727272725</v>
      </c>
      <c r="G16" s="469">
        <f>H16</f>
        <v>0.67727272727272725</v>
      </c>
      <c r="H16" s="470">
        <f>H15/H10</f>
        <v>0.67727272727272725</v>
      </c>
      <c r="I16" s="469">
        <f>H16</f>
        <v>0.67727272727272725</v>
      </c>
      <c r="J16" s="469">
        <f t="shared" ref="J16:O16" si="18">I16</f>
        <v>0.67727272727272725</v>
      </c>
      <c r="K16" s="469">
        <f t="shared" si="18"/>
        <v>0.67727272727272725</v>
      </c>
      <c r="L16" s="469">
        <f t="shared" si="18"/>
        <v>0.67727272727272725</v>
      </c>
      <c r="M16" s="469">
        <f t="shared" si="18"/>
        <v>0.67727272727272725</v>
      </c>
      <c r="N16" s="469">
        <f t="shared" si="18"/>
        <v>0.67727272727272725</v>
      </c>
      <c r="O16" s="469">
        <f t="shared" si="18"/>
        <v>0.67727272727272725</v>
      </c>
      <c r="P16" s="469">
        <f>O16</f>
        <v>0.67727272727272725</v>
      </c>
      <c r="Q16" s="469">
        <f t="shared" ref="Q16:Z16" si="19">P16</f>
        <v>0.67727272727272725</v>
      </c>
      <c r="R16" s="469">
        <f t="shared" si="19"/>
        <v>0.67727272727272725</v>
      </c>
      <c r="S16" s="469">
        <f t="shared" si="19"/>
        <v>0.67727272727272725</v>
      </c>
      <c r="T16" s="469">
        <f t="shared" si="19"/>
        <v>0.67727272727272725</v>
      </c>
      <c r="U16" s="469">
        <f t="shared" si="19"/>
        <v>0.67727272727272725</v>
      </c>
      <c r="V16" s="469">
        <f t="shared" si="19"/>
        <v>0.67727272727272725</v>
      </c>
      <c r="W16" s="469">
        <f t="shared" si="19"/>
        <v>0.67727272727272725</v>
      </c>
      <c r="X16" s="469">
        <f t="shared" si="19"/>
        <v>0.67727272727272725</v>
      </c>
      <c r="Y16" s="469">
        <f t="shared" si="19"/>
        <v>0.67727272727272725</v>
      </c>
      <c r="Z16" s="469">
        <f t="shared" si="19"/>
        <v>0.67727272727272725</v>
      </c>
    </row>
    <row r="18" spans="1:28">
      <c r="B18" s="319" t="s">
        <v>543</v>
      </c>
      <c r="C18" s="455">
        <f>C19*C15</f>
        <v>32.572910413913547</v>
      </c>
      <c r="D18" s="455">
        <f>D19*D15</f>
        <v>32.205648304335412</v>
      </c>
      <c r="E18" s="455">
        <f>E19*E15</f>
        <v>31.828273754029048</v>
      </c>
      <c r="F18" s="455">
        <f>F19*F15</f>
        <v>31.450597047029053</v>
      </c>
      <c r="G18" s="455">
        <f>G19*G15</f>
        <v>30.045850332056684</v>
      </c>
      <c r="H18" s="468">
        <v>37</v>
      </c>
      <c r="I18" s="455">
        <f>I19*I15</f>
        <v>30.707577882468478</v>
      </c>
      <c r="J18" s="455">
        <f>J19*J15</f>
        <v>37.293071329025111</v>
      </c>
      <c r="K18" s="455">
        <f t="shared" ref="K18:P18" si="20">K25+K59</f>
        <v>65.360901337160328</v>
      </c>
      <c r="L18" s="455">
        <f t="shared" si="20"/>
        <v>93.895151274672742</v>
      </c>
      <c r="M18" s="455">
        <f t="shared" si="20"/>
        <v>32.336333201070005</v>
      </c>
      <c r="N18" s="455">
        <f t="shared" si="20"/>
        <v>23.058646568791804</v>
      </c>
      <c r="O18" s="455">
        <f t="shared" si="20"/>
        <v>20.847766478886911</v>
      </c>
      <c r="P18" s="455">
        <f t="shared" si="20"/>
        <v>18.847336123954051</v>
      </c>
      <c r="Q18" s="455">
        <f t="shared" ref="Q18:Z18" si="21">Q25+Q59</f>
        <v>17.974572598995888</v>
      </c>
      <c r="R18" s="455">
        <f t="shared" si="21"/>
        <v>17.142663119036051</v>
      </c>
      <c r="S18" s="455">
        <f t="shared" si="21"/>
        <v>16.34967634707461</v>
      </c>
      <c r="T18" s="455">
        <f t="shared" si="21"/>
        <v>15.593773058351625</v>
      </c>
      <c r="U18" s="455">
        <f t="shared" si="21"/>
        <v>14.87320171291956</v>
      </c>
      <c r="V18" s="455">
        <f t="shared" si="21"/>
        <v>14.186294242459676</v>
      </c>
      <c r="W18" s="455">
        <f t="shared" si="21"/>
        <v>13.531462040915343</v>
      </c>
      <c r="X18" s="455">
        <f t="shared" si="21"/>
        <v>12.907192149025082</v>
      </c>
      <c r="Y18" s="455">
        <f t="shared" si="21"/>
        <v>11.575213897302241</v>
      </c>
      <c r="Z18" s="455">
        <f t="shared" si="21"/>
        <v>9.1123106422576061</v>
      </c>
      <c r="AB18" s="319" t="s">
        <v>541</v>
      </c>
    </row>
    <row r="19" spans="1:28">
      <c r="B19" s="319" t="s">
        <v>542</v>
      </c>
      <c r="C19" s="209">
        <v>4.1000000000000002E-2</v>
      </c>
      <c r="D19" s="209">
        <v>4.1000000000000002E-2</v>
      </c>
      <c r="E19" s="209">
        <v>4.1000000000000002E-2</v>
      </c>
      <c r="F19" s="209">
        <v>4.1000000000000002E-2</v>
      </c>
      <c r="G19" s="209">
        <f>H19-0.01</f>
        <v>3.9664429530201342E-2</v>
      </c>
      <c r="H19" s="209">
        <f>H18/H15</f>
        <v>4.9664429530201344E-2</v>
      </c>
      <c r="I19" s="209">
        <v>4.2000000000000003E-2</v>
      </c>
      <c r="J19" s="209">
        <v>5.1999999999999998E-2</v>
      </c>
      <c r="K19" s="209">
        <f t="shared" ref="K19:P19" si="22">K18/K15</f>
        <v>9.3808867998014828E-2</v>
      </c>
      <c r="L19" s="209">
        <f t="shared" si="22"/>
        <v>0.14274474702986326</v>
      </c>
      <c r="M19" s="209">
        <f t="shared" si="22"/>
        <v>5.3959570435809949E-2</v>
      </c>
      <c r="N19" s="209">
        <f t="shared" si="22"/>
        <v>3.9751896622153407E-2</v>
      </c>
      <c r="O19" s="209">
        <f t="shared" si="22"/>
        <v>3.6789329012500968E-2</v>
      </c>
      <c r="P19" s="209">
        <f t="shared" si="22"/>
        <v>3.3983770633131037E-2</v>
      </c>
      <c r="Q19" s="209">
        <f t="shared" ref="Q19:Z19" si="23">Q18/Q15</f>
        <v>3.3060345536676375E-2</v>
      </c>
      <c r="R19" s="209">
        <f t="shared" si="23"/>
        <v>3.2146545525051244E-2</v>
      </c>
      <c r="S19" s="209">
        <f t="shared" si="23"/>
        <v>3.1243349389283567E-2</v>
      </c>
      <c r="T19" s="209">
        <f t="shared" si="23"/>
        <v>3.0351679095941057E-2</v>
      </c>
      <c r="U19" s="209">
        <f t="shared" si="23"/>
        <v>2.9472397163183398E-2</v>
      </c>
      <c r="V19" s="209">
        <f t="shared" si="23"/>
        <v>2.8606304595754306E-2</v>
      </c>
      <c r="W19" s="209">
        <f t="shared" si="23"/>
        <v>2.7754139371706794E-2</v>
      </c>
      <c r="X19" s="209">
        <f t="shared" si="23"/>
        <v>2.6916575466485137E-2</v>
      </c>
      <c r="Y19" s="209">
        <f t="shared" si="23"/>
        <v>2.4532580855801081E-2</v>
      </c>
      <c r="Z19" s="209">
        <f t="shared" si="23"/>
        <v>1.9600941333546902E-2</v>
      </c>
    </row>
    <row r="21" spans="1:28">
      <c r="B21" s="471" t="s">
        <v>544</v>
      </c>
      <c r="C21" s="471"/>
      <c r="D21" s="472"/>
      <c r="E21" s="471"/>
      <c r="F21" s="471"/>
      <c r="G21" s="471"/>
      <c r="H21" s="471"/>
      <c r="I21" s="471"/>
      <c r="J21" s="471"/>
      <c r="K21" s="471"/>
      <c r="L21" s="471"/>
      <c r="M21" s="471"/>
      <c r="N21" s="471"/>
      <c r="O21" s="471"/>
      <c r="P21" s="471"/>
      <c r="Q21" s="471"/>
      <c r="R21" s="471"/>
      <c r="S21" s="471"/>
      <c r="T21" s="471"/>
      <c r="U21" s="471"/>
      <c r="V21" s="471"/>
      <c r="W21" s="471"/>
      <c r="X21" s="471"/>
      <c r="Y21" s="471"/>
      <c r="Z21" s="471"/>
    </row>
    <row r="22" spans="1:28" s="480" customFormat="1" ht="12.75" customHeight="1" outlineLevel="1">
      <c r="A22" s="473"/>
      <c r="B22" s="474" t="s">
        <v>601</v>
      </c>
      <c r="C22" s="474"/>
      <c r="D22" s="475"/>
      <c r="E22" s="474"/>
      <c r="F22" s="474"/>
      <c r="G22" s="474"/>
      <c r="H22" s="474"/>
      <c r="I22" s="474"/>
      <c r="J22" s="476"/>
      <c r="K22" s="477">
        <v>1.2</v>
      </c>
      <c r="L22" s="477">
        <v>1.3</v>
      </c>
      <c r="M22" s="478">
        <v>0.5</v>
      </c>
      <c r="N22" s="479">
        <v>0.95</v>
      </c>
      <c r="O22" s="479">
        <f>N22</f>
        <v>0.95</v>
      </c>
      <c r="P22" s="479">
        <f>O22</f>
        <v>0.95</v>
      </c>
      <c r="Q22" s="479">
        <f t="shared" ref="Q22:Z22" si="24">P22</f>
        <v>0.95</v>
      </c>
      <c r="R22" s="479">
        <f t="shared" si="24"/>
        <v>0.95</v>
      </c>
      <c r="S22" s="479">
        <f t="shared" si="24"/>
        <v>0.95</v>
      </c>
      <c r="T22" s="479">
        <f t="shared" si="24"/>
        <v>0.95</v>
      </c>
      <c r="U22" s="479">
        <f t="shared" si="24"/>
        <v>0.95</v>
      </c>
      <c r="V22" s="479">
        <f t="shared" si="24"/>
        <v>0.95</v>
      </c>
      <c r="W22" s="479">
        <f t="shared" si="24"/>
        <v>0.95</v>
      </c>
      <c r="X22" s="479">
        <f t="shared" si="24"/>
        <v>0.95</v>
      </c>
      <c r="Y22" s="479">
        <f t="shared" si="24"/>
        <v>0.95</v>
      </c>
      <c r="Z22" s="479">
        <f t="shared" si="24"/>
        <v>0.95</v>
      </c>
    </row>
    <row r="23" spans="1:28" s="480" customFormat="1" ht="12.75" customHeight="1" outlineLevel="1">
      <c r="A23" s="473"/>
      <c r="B23" s="474" t="s">
        <v>599</v>
      </c>
      <c r="C23" s="474"/>
      <c r="D23" s="481">
        <f t="shared" ref="D23:I23" si="25">D25/C25</f>
        <v>0.9898052776887869</v>
      </c>
      <c r="E23" s="481">
        <f t="shared" si="25"/>
        <v>0.99006776745516989</v>
      </c>
      <c r="F23" s="481">
        <f t="shared" si="25"/>
        <v>0.98996812857532002</v>
      </c>
      <c r="G23" s="481">
        <f t="shared" si="25"/>
        <v>0.9902414109069656</v>
      </c>
      <c r="H23" s="481">
        <f t="shared" si="25"/>
        <v>0.88692500046672995</v>
      </c>
      <c r="I23" s="481">
        <f t="shared" si="25"/>
        <v>1.0092075452317009</v>
      </c>
      <c r="J23" s="482"/>
      <c r="K23" s="482">
        <v>1.6</v>
      </c>
      <c r="L23" s="482">
        <v>1.4</v>
      </c>
      <c r="M23" s="482">
        <v>0.3</v>
      </c>
      <c r="N23" s="482">
        <v>0.7</v>
      </c>
      <c r="O23" s="482">
        <v>0.95</v>
      </c>
      <c r="P23" s="482">
        <v>0.95</v>
      </c>
      <c r="Q23" s="483">
        <v>0.95</v>
      </c>
      <c r="R23" s="483">
        <f t="shared" ref="Q23:Z24" si="26">Q23</f>
        <v>0.95</v>
      </c>
      <c r="S23" s="483">
        <f t="shared" si="26"/>
        <v>0.95</v>
      </c>
      <c r="T23" s="483">
        <f t="shared" si="26"/>
        <v>0.95</v>
      </c>
      <c r="U23" s="483">
        <f t="shared" si="26"/>
        <v>0.95</v>
      </c>
      <c r="V23" s="483">
        <f t="shared" si="26"/>
        <v>0.95</v>
      </c>
      <c r="W23" s="483">
        <f t="shared" si="26"/>
        <v>0.95</v>
      </c>
      <c r="X23" s="483">
        <f t="shared" si="26"/>
        <v>0.95</v>
      </c>
      <c r="Y23" s="483">
        <f t="shared" si="26"/>
        <v>0.95</v>
      </c>
      <c r="Z23" s="483">
        <f t="shared" si="26"/>
        <v>0.95</v>
      </c>
    </row>
    <row r="24" spans="1:28" s="480" customFormat="1" ht="12.75" customHeight="1" outlineLevel="1">
      <c r="A24" s="473"/>
      <c r="B24" s="474" t="s">
        <v>600</v>
      </c>
      <c r="C24" s="474"/>
      <c r="D24" s="475"/>
      <c r="E24" s="474"/>
      <c r="F24" s="474"/>
      <c r="G24" s="474"/>
      <c r="H24" s="474"/>
      <c r="I24" s="474"/>
      <c r="J24" s="478"/>
      <c r="K24" s="478">
        <v>1.1000000000000001</v>
      </c>
      <c r="L24" s="478">
        <f>K24</f>
        <v>1.1000000000000001</v>
      </c>
      <c r="M24" s="478">
        <v>0.2</v>
      </c>
      <c r="N24" s="479">
        <v>0.9</v>
      </c>
      <c r="O24" s="479">
        <f>N24</f>
        <v>0.9</v>
      </c>
      <c r="P24" s="479">
        <f>O24</f>
        <v>0.9</v>
      </c>
      <c r="Q24" s="479">
        <f t="shared" si="26"/>
        <v>0.9</v>
      </c>
      <c r="R24" s="479">
        <f t="shared" si="26"/>
        <v>0.9</v>
      </c>
      <c r="S24" s="479">
        <f t="shared" si="26"/>
        <v>0.9</v>
      </c>
      <c r="T24" s="479">
        <f t="shared" si="26"/>
        <v>0.9</v>
      </c>
      <c r="U24" s="479">
        <f t="shared" si="26"/>
        <v>0.9</v>
      </c>
      <c r="V24" s="479">
        <f t="shared" si="26"/>
        <v>0.9</v>
      </c>
      <c r="W24" s="479">
        <f t="shared" si="26"/>
        <v>0.9</v>
      </c>
      <c r="X24" s="479">
        <f t="shared" si="26"/>
        <v>0.9</v>
      </c>
      <c r="Y24" s="479">
        <f t="shared" si="26"/>
        <v>0.9</v>
      </c>
      <c r="Z24" s="479">
        <f t="shared" si="26"/>
        <v>0.9</v>
      </c>
    </row>
    <row r="25" spans="1:28">
      <c r="A25" s="484" t="s">
        <v>578</v>
      </c>
      <c r="B25" s="485" t="s">
        <v>547</v>
      </c>
      <c r="C25" s="491">
        <f t="shared" ref="C25:H25" si="27">33-C59</f>
        <v>31.216804991666667</v>
      </c>
      <c r="D25" s="491">
        <f t="shared" si="27"/>
        <v>30.898558333333334</v>
      </c>
      <c r="E25" s="491">
        <f t="shared" si="27"/>
        <v>30.591666666666669</v>
      </c>
      <c r="F25" s="491">
        <f t="shared" si="27"/>
        <v>30.284775</v>
      </c>
      <c r="G25" s="491">
        <f t="shared" si="27"/>
        <v>29.989238324999999</v>
      </c>
      <c r="H25" s="491">
        <f t="shared" si="27"/>
        <v>26.598205215397499</v>
      </c>
      <c r="I25" s="486">
        <f>I18-I59</f>
        <v>26.843109393000333</v>
      </c>
      <c r="J25" s="674">
        <v>35</v>
      </c>
      <c r="K25" s="487">
        <f t="shared" ref="K25:P25" si="28">CHOOSE($E$1,K22*J25,J25*K23,J25*K24)</f>
        <v>56</v>
      </c>
      <c r="L25" s="487">
        <f t="shared" si="28"/>
        <v>78.399999999999991</v>
      </c>
      <c r="M25" s="487">
        <f t="shared" si="28"/>
        <v>23.519999999999996</v>
      </c>
      <c r="N25" s="487">
        <f t="shared" si="28"/>
        <v>16.463999999999995</v>
      </c>
      <c r="O25" s="487">
        <f t="shared" si="28"/>
        <v>15.640799999999995</v>
      </c>
      <c r="P25" s="487">
        <f t="shared" si="28"/>
        <v>14.858759999999995</v>
      </c>
      <c r="Q25" s="487">
        <f t="shared" ref="Q25:Z25" si="29">CHOOSE($E$1,Q22*P25,P25*Q23,P25*Q24)</f>
        <v>14.115821999999994</v>
      </c>
      <c r="R25" s="487">
        <f t="shared" si="29"/>
        <v>13.410030899999994</v>
      </c>
      <c r="S25" s="487">
        <f t="shared" si="29"/>
        <v>12.739529354999993</v>
      </c>
      <c r="T25" s="487">
        <f t="shared" si="29"/>
        <v>12.102552887249994</v>
      </c>
      <c r="U25" s="487">
        <f t="shared" si="29"/>
        <v>11.497425242887493</v>
      </c>
      <c r="V25" s="487">
        <f t="shared" si="29"/>
        <v>10.922553980743118</v>
      </c>
      <c r="W25" s="487">
        <f t="shared" si="29"/>
        <v>10.376426281705962</v>
      </c>
      <c r="X25" s="487">
        <f t="shared" si="29"/>
        <v>9.857604967620663</v>
      </c>
      <c r="Y25" s="487">
        <f t="shared" si="29"/>
        <v>9.3647247192396286</v>
      </c>
      <c r="Z25" s="487">
        <f t="shared" si="29"/>
        <v>8.896488483277647</v>
      </c>
      <c r="AA25" s="466"/>
    </row>
    <row r="26" spans="1:28" s="458" customFormat="1">
      <c r="A26" s="456"/>
      <c r="B26" s="457" t="s">
        <v>545</v>
      </c>
      <c r="C26" s="488">
        <f t="shared" ref="C26:Z26" si="30">C25/C10</f>
        <v>2.6612111284383632E-2</v>
      </c>
      <c r="D26" s="488">
        <f t="shared" si="30"/>
        <v>2.6641189694796376E-2</v>
      </c>
      <c r="E26" s="488">
        <f t="shared" si="30"/>
        <v>2.6689319335569669E-2</v>
      </c>
      <c r="F26" s="488">
        <f t="shared" si="30"/>
        <v>2.6738860863761156E-2</v>
      </c>
      <c r="G26" s="488">
        <f t="shared" si="30"/>
        <v>2.6813020243454073E-2</v>
      </c>
      <c r="H26" s="488">
        <f t="shared" si="30"/>
        <v>2.4180186559452272E-2</v>
      </c>
      <c r="I26" s="488">
        <f t="shared" si="30"/>
        <v>2.4865668370841712E-2</v>
      </c>
      <c r="J26" s="488">
        <f t="shared" si="30"/>
        <v>3.3052691014939434E-2</v>
      </c>
      <c r="K26" s="488">
        <f t="shared" si="30"/>
        <v>5.4434906006637578E-2</v>
      </c>
      <c r="L26" s="488">
        <f t="shared" si="30"/>
        <v>8.0722874701055367E-2</v>
      </c>
      <c r="M26" s="488">
        <f t="shared" si="30"/>
        <v>2.6581446919313814E-2</v>
      </c>
      <c r="N26" s="488">
        <f t="shared" si="30"/>
        <v>1.9223080587767803E-2</v>
      </c>
      <c r="O26" s="488">
        <f t="shared" si="30"/>
        <v>1.8693252983679205E-2</v>
      </c>
      <c r="P26" s="488">
        <f t="shared" si="30"/>
        <v>1.8145450026213039E-2</v>
      </c>
      <c r="Q26" s="488">
        <f t="shared" si="30"/>
        <v>1.7584036508015589E-2</v>
      </c>
      <c r="R26" s="488">
        <f t="shared" si="30"/>
        <v>1.7031362234582837E-2</v>
      </c>
      <c r="S26" s="488">
        <f t="shared" si="30"/>
        <v>1.648790198387487E-2</v>
      </c>
      <c r="T26" s="488">
        <f t="shared" si="30"/>
        <v>1.5954091889183807E-2</v>
      </c>
      <c r="U26" s="488">
        <f t="shared" si="30"/>
        <v>1.5430328610871053E-2</v>
      </c>
      <c r="V26" s="488">
        <f t="shared" si="30"/>
        <v>1.4916968839040021E-2</v>
      </c>
      <c r="W26" s="488">
        <f t="shared" si="30"/>
        <v>1.4414329115312149E-2</v>
      </c>
      <c r="X26" s="488">
        <f t="shared" si="30"/>
        <v>1.3922685958189334E-2</v>
      </c>
      <c r="Y26" s="488">
        <f t="shared" si="30"/>
        <v>1.3442276273329643E-2</v>
      </c>
      <c r="Z26" s="488">
        <f t="shared" si="30"/>
        <v>1.2960764536777426E-2</v>
      </c>
    </row>
    <row r="27" spans="1:28" s="458" customFormat="1">
      <c r="A27" s="456"/>
      <c r="B27" s="457" t="s">
        <v>546</v>
      </c>
      <c r="C27" s="488">
        <f t="shared" ref="C27:P27" si="31">C25/C15</f>
        <v>3.9293050218553012E-2</v>
      </c>
      <c r="D27" s="488">
        <f t="shared" si="31"/>
        <v>3.933598478426311E-2</v>
      </c>
      <c r="E27" s="488">
        <f t="shared" si="31"/>
        <v>3.9407048683391462E-2</v>
      </c>
      <c r="F27" s="488">
        <f t="shared" si="31"/>
        <v>3.9480197248506405E-2</v>
      </c>
      <c r="G27" s="488">
        <f t="shared" si="31"/>
        <v>3.9589694319193937E-2</v>
      </c>
      <c r="H27" s="488">
        <f t="shared" si="31"/>
        <v>3.5702288879728185E-2</v>
      </c>
      <c r="I27" s="488">
        <f t="shared" si="31"/>
        <v>3.6714409675068303E-2</v>
      </c>
      <c r="J27" s="488">
        <f t="shared" si="31"/>
        <v>4.8802631028769632E-2</v>
      </c>
      <c r="K27" s="488">
        <f t="shared" si="31"/>
        <v>8.0373686721209855E-2</v>
      </c>
      <c r="L27" s="488">
        <f t="shared" si="31"/>
        <v>0.11918813714249787</v>
      </c>
      <c r="M27" s="488">
        <f t="shared" si="31"/>
        <v>3.9247773974825768E-2</v>
      </c>
      <c r="N27" s="488">
        <f t="shared" si="31"/>
        <v>2.8383072008784677E-2</v>
      </c>
      <c r="O27" s="488">
        <f t="shared" si="31"/>
        <v>2.7600776217512925E-2</v>
      </c>
      <c r="P27" s="488">
        <f t="shared" si="31"/>
        <v>2.6791939636019252E-2</v>
      </c>
      <c r="Q27" s="488">
        <f t="shared" ref="Q27:Z27" si="32">Q25/Q15</f>
        <v>2.5963006924586779E-2</v>
      </c>
      <c r="R27" s="488">
        <f t="shared" si="32"/>
        <v>2.5146977796028352E-2</v>
      </c>
      <c r="S27" s="488">
        <f t="shared" si="32"/>
        <v>2.4344553264781688E-2</v>
      </c>
      <c r="T27" s="488">
        <f t="shared" si="32"/>
        <v>2.3556377286043206E-2</v>
      </c>
      <c r="U27" s="488">
        <f t="shared" si="32"/>
        <v>2.2783035532829742E-2</v>
      </c>
      <c r="V27" s="488">
        <f t="shared" si="32"/>
        <v>2.2025054661669829E-2</v>
      </c>
      <c r="W27" s="488">
        <f t="shared" si="32"/>
        <v>2.128290204945418E-2</v>
      </c>
      <c r="X27" s="488">
        <f t="shared" si="32"/>
        <v>2.055698597853459E-2</v>
      </c>
      <c r="Y27" s="488">
        <f t="shared" si="32"/>
        <v>1.9847656242500147E-2</v>
      </c>
      <c r="Z27" s="488">
        <f t="shared" si="32"/>
        <v>1.9136699316047209E-2</v>
      </c>
    </row>
    <row r="28" spans="1:28">
      <c r="B28" s="319" t="s">
        <v>548</v>
      </c>
      <c r="C28" s="489">
        <f t="shared" ref="C28:H30" si="33">C$25*C31</f>
        <v>20.915259344416668</v>
      </c>
      <c r="D28" s="489">
        <f t="shared" si="33"/>
        <v>20.702034083333334</v>
      </c>
      <c r="E28" s="489">
        <f t="shared" si="33"/>
        <v>20.496416666666669</v>
      </c>
      <c r="F28" s="489">
        <f t="shared" si="33"/>
        <v>20.290799250000003</v>
      </c>
      <c r="G28" s="489">
        <f t="shared" si="33"/>
        <v>20.092789677750002</v>
      </c>
      <c r="H28" s="489">
        <f t="shared" si="33"/>
        <v>17.820797494316324</v>
      </c>
      <c r="I28" s="455">
        <f t="shared" ref="I28:P28" si="34">I25*I31</f>
        <v>17.984883293310226</v>
      </c>
      <c r="J28" s="455">
        <f t="shared" si="34"/>
        <v>23.450000000000003</v>
      </c>
      <c r="K28" s="455">
        <f t="shared" si="34"/>
        <v>37.520000000000003</v>
      </c>
      <c r="L28" s="455">
        <f t="shared" si="34"/>
        <v>52.527999999999999</v>
      </c>
      <c r="M28" s="455">
        <f t="shared" si="34"/>
        <v>15.758399999999998</v>
      </c>
      <c r="N28" s="455">
        <f t="shared" si="34"/>
        <v>11.030879999999998</v>
      </c>
      <c r="O28" s="455">
        <f t="shared" si="34"/>
        <v>10.479335999999998</v>
      </c>
      <c r="P28" s="455">
        <f t="shared" si="34"/>
        <v>9.955369199999998</v>
      </c>
      <c r="Q28" s="455">
        <f t="shared" ref="Q28:Z28" si="35">Q25*Q31</f>
        <v>9.4576007399999966</v>
      </c>
      <c r="R28" s="455">
        <f t="shared" si="35"/>
        <v>8.9847207029999954</v>
      </c>
      <c r="S28" s="455">
        <f t="shared" si="35"/>
        <v>8.535484667849996</v>
      </c>
      <c r="T28" s="455">
        <f t="shared" si="35"/>
        <v>8.1087104344574961</v>
      </c>
      <c r="U28" s="455">
        <f t="shared" si="35"/>
        <v>7.7032749127346207</v>
      </c>
      <c r="V28" s="455">
        <f t="shared" si="35"/>
        <v>7.3181111670978893</v>
      </c>
      <c r="W28" s="455">
        <f t="shared" si="35"/>
        <v>6.9522056087429949</v>
      </c>
      <c r="X28" s="455">
        <f t="shared" si="35"/>
        <v>6.6045953283058445</v>
      </c>
      <c r="Y28" s="455">
        <f t="shared" si="35"/>
        <v>6.2743655618905514</v>
      </c>
      <c r="Z28" s="455">
        <f t="shared" si="35"/>
        <v>5.9606472837960238</v>
      </c>
    </row>
    <row r="29" spans="1:28">
      <c r="B29" s="319" t="s">
        <v>550</v>
      </c>
      <c r="C29" s="466">
        <f t="shared" si="33"/>
        <v>9.3650414975</v>
      </c>
      <c r="D29" s="466">
        <f t="shared" si="33"/>
        <v>9.2695674999999991</v>
      </c>
      <c r="E29" s="466">
        <f t="shared" si="33"/>
        <v>9.1775000000000002</v>
      </c>
      <c r="F29" s="466">
        <f t="shared" si="33"/>
        <v>9.0854324999999996</v>
      </c>
      <c r="G29" s="466">
        <f t="shared" si="33"/>
        <v>8.9967714974999993</v>
      </c>
      <c r="H29" s="466">
        <f t="shared" si="33"/>
        <v>7.9794615646192497</v>
      </c>
      <c r="I29" s="466">
        <f t="shared" ref="I29:P30" si="36">I$25*I32</f>
        <v>8.0529328179000998</v>
      </c>
      <c r="J29" s="466">
        <f t="shared" si="36"/>
        <v>10.5</v>
      </c>
      <c r="K29" s="466">
        <f t="shared" si="36"/>
        <v>16.8</v>
      </c>
      <c r="L29" s="466">
        <f t="shared" si="36"/>
        <v>23.519999999999996</v>
      </c>
      <c r="M29" s="466">
        <f t="shared" si="36"/>
        <v>7.0559999999999983</v>
      </c>
      <c r="N29" s="466">
        <f t="shared" si="36"/>
        <v>4.9391999999999987</v>
      </c>
      <c r="O29" s="466">
        <f t="shared" si="36"/>
        <v>4.6922399999999982</v>
      </c>
      <c r="P29" s="466">
        <f t="shared" si="36"/>
        <v>4.4576279999999979</v>
      </c>
      <c r="Q29" s="466">
        <f t="shared" ref="Q29:Z29" si="37">Q$25*Q32</f>
        <v>4.2347465999999985</v>
      </c>
      <c r="R29" s="466">
        <f t="shared" si="37"/>
        <v>4.0230092699999975</v>
      </c>
      <c r="S29" s="466">
        <f t="shared" si="37"/>
        <v>3.8218588064999977</v>
      </c>
      <c r="T29" s="466">
        <f t="shared" si="37"/>
        <v>3.6307658661749977</v>
      </c>
      <c r="U29" s="466">
        <f t="shared" si="37"/>
        <v>3.4492275728662478</v>
      </c>
      <c r="V29" s="466">
        <f t="shared" si="37"/>
        <v>3.2767661942229354</v>
      </c>
      <c r="W29" s="466">
        <f t="shared" si="37"/>
        <v>3.1129278845117887</v>
      </c>
      <c r="X29" s="466">
        <f t="shared" si="37"/>
        <v>2.9572814902861988</v>
      </c>
      <c r="Y29" s="466">
        <f t="shared" si="37"/>
        <v>2.8094174157718883</v>
      </c>
      <c r="Z29" s="466">
        <f t="shared" si="37"/>
        <v>2.6689465449832941</v>
      </c>
    </row>
    <row r="30" spans="1:28">
      <c r="B30" s="319" t="s">
        <v>552</v>
      </c>
      <c r="C30" s="466">
        <f t="shared" si="33"/>
        <v>0.93650414974999741</v>
      </c>
      <c r="D30" s="466">
        <f t="shared" si="33"/>
        <v>0.92695674999999744</v>
      </c>
      <c r="E30" s="466">
        <f t="shared" si="33"/>
        <v>0.91774999999999751</v>
      </c>
      <c r="F30" s="466">
        <f t="shared" si="33"/>
        <v>0.90854324999999747</v>
      </c>
      <c r="G30" s="466">
        <f t="shared" si="33"/>
        <v>0.89967714974999746</v>
      </c>
      <c r="H30" s="466">
        <f t="shared" si="33"/>
        <v>0.79794615646192268</v>
      </c>
      <c r="I30" s="466">
        <f t="shared" si="36"/>
        <v>0.8052932817900077</v>
      </c>
      <c r="J30" s="466">
        <f t="shared" si="36"/>
        <v>1.0499999999999972</v>
      </c>
      <c r="K30" s="466">
        <f t="shared" si="36"/>
        <v>1.6799999999999953</v>
      </c>
      <c r="L30" s="466">
        <f t="shared" si="36"/>
        <v>2.3519999999999932</v>
      </c>
      <c r="M30" s="466">
        <f t="shared" si="36"/>
        <v>0.7055999999999979</v>
      </c>
      <c r="N30" s="466">
        <f t="shared" si="36"/>
        <v>0.49391999999999847</v>
      </c>
      <c r="O30" s="466">
        <f t="shared" si="36"/>
        <v>0.46922399999999853</v>
      </c>
      <c r="P30" s="466">
        <f t="shared" si="36"/>
        <v>0.44576279999999857</v>
      </c>
      <c r="Q30" s="466">
        <f t="shared" ref="Q30:Z30" si="38">Q$25*Q33</f>
        <v>0.42347465999999861</v>
      </c>
      <c r="R30" s="466">
        <f t="shared" si="38"/>
        <v>0.4023009269999987</v>
      </c>
      <c r="S30" s="466">
        <f t="shared" si="38"/>
        <v>0.3821858806499987</v>
      </c>
      <c r="T30" s="466">
        <f t="shared" si="38"/>
        <v>0.36307658661749881</v>
      </c>
      <c r="U30" s="466">
        <f t="shared" si="38"/>
        <v>0.3449227572866238</v>
      </c>
      <c r="V30" s="466">
        <f t="shared" si="38"/>
        <v>0.32767661942229259</v>
      </c>
      <c r="W30" s="466">
        <f t="shared" si="38"/>
        <v>0.31129278845117797</v>
      </c>
      <c r="X30" s="466">
        <f t="shared" si="38"/>
        <v>0.29572814902861905</v>
      </c>
      <c r="Y30" s="466">
        <f t="shared" si="38"/>
        <v>0.28094174157718804</v>
      </c>
      <c r="Z30" s="466">
        <f t="shared" si="38"/>
        <v>0.26689465449832867</v>
      </c>
    </row>
    <row r="31" spans="1:28" s="458" customFormat="1">
      <c r="A31" s="456"/>
      <c r="B31" s="457" t="s">
        <v>553</v>
      </c>
      <c r="C31" s="492">
        <v>0.67</v>
      </c>
      <c r="D31" s="212">
        <f>C31</f>
        <v>0.67</v>
      </c>
      <c r="E31" s="212">
        <f t="shared" ref="E31:P32" si="39">D31</f>
        <v>0.67</v>
      </c>
      <c r="F31" s="212">
        <f t="shared" si="39"/>
        <v>0.67</v>
      </c>
      <c r="G31" s="212">
        <f t="shared" si="39"/>
        <v>0.67</v>
      </c>
      <c r="H31" s="212">
        <f t="shared" si="39"/>
        <v>0.67</v>
      </c>
      <c r="I31" s="212">
        <f t="shared" si="39"/>
        <v>0.67</v>
      </c>
      <c r="J31" s="212">
        <f t="shared" si="39"/>
        <v>0.67</v>
      </c>
      <c r="K31" s="212">
        <f t="shared" si="39"/>
        <v>0.67</v>
      </c>
      <c r="L31" s="212">
        <f t="shared" si="39"/>
        <v>0.67</v>
      </c>
      <c r="M31" s="212">
        <f t="shared" si="39"/>
        <v>0.67</v>
      </c>
      <c r="N31" s="212">
        <f t="shared" si="39"/>
        <v>0.67</v>
      </c>
      <c r="O31" s="212">
        <f t="shared" si="39"/>
        <v>0.67</v>
      </c>
      <c r="P31" s="212">
        <f t="shared" si="39"/>
        <v>0.67</v>
      </c>
      <c r="Q31" s="212">
        <f t="shared" ref="Q31:Z31" si="40">P31</f>
        <v>0.67</v>
      </c>
      <c r="R31" s="212">
        <f t="shared" si="40"/>
        <v>0.67</v>
      </c>
      <c r="S31" s="212">
        <f t="shared" si="40"/>
        <v>0.67</v>
      </c>
      <c r="T31" s="212">
        <f t="shared" si="40"/>
        <v>0.67</v>
      </c>
      <c r="U31" s="212">
        <f t="shared" si="40"/>
        <v>0.67</v>
      </c>
      <c r="V31" s="212">
        <f t="shared" si="40"/>
        <v>0.67</v>
      </c>
      <c r="W31" s="212">
        <f t="shared" si="40"/>
        <v>0.67</v>
      </c>
      <c r="X31" s="212">
        <f t="shared" si="40"/>
        <v>0.67</v>
      </c>
      <c r="Y31" s="212">
        <f t="shared" si="40"/>
        <v>0.67</v>
      </c>
      <c r="Z31" s="212">
        <f t="shared" si="40"/>
        <v>0.67</v>
      </c>
    </row>
    <row r="32" spans="1:28" s="458" customFormat="1">
      <c r="A32" s="456"/>
      <c r="B32" s="457" t="s">
        <v>554</v>
      </c>
      <c r="C32" s="492">
        <v>0.3</v>
      </c>
      <c r="D32" s="212">
        <f>C32</f>
        <v>0.3</v>
      </c>
      <c r="E32" s="212">
        <f t="shared" si="39"/>
        <v>0.3</v>
      </c>
      <c r="F32" s="212">
        <f t="shared" si="39"/>
        <v>0.3</v>
      </c>
      <c r="G32" s="212">
        <f t="shared" si="39"/>
        <v>0.3</v>
      </c>
      <c r="H32" s="212">
        <f t="shared" si="39"/>
        <v>0.3</v>
      </c>
      <c r="I32" s="212">
        <f t="shared" si="39"/>
        <v>0.3</v>
      </c>
      <c r="J32" s="212">
        <f t="shared" si="39"/>
        <v>0.3</v>
      </c>
      <c r="K32" s="212">
        <f t="shared" si="39"/>
        <v>0.3</v>
      </c>
      <c r="L32" s="212">
        <f t="shared" si="39"/>
        <v>0.3</v>
      </c>
      <c r="M32" s="212">
        <f t="shared" si="39"/>
        <v>0.3</v>
      </c>
      <c r="N32" s="212">
        <f t="shared" si="39"/>
        <v>0.3</v>
      </c>
      <c r="O32" s="212">
        <f t="shared" si="39"/>
        <v>0.3</v>
      </c>
      <c r="P32" s="212">
        <f t="shared" si="39"/>
        <v>0.3</v>
      </c>
      <c r="Q32" s="212">
        <f t="shared" ref="Q32:Z32" si="41">P32</f>
        <v>0.3</v>
      </c>
      <c r="R32" s="212">
        <f t="shared" si="41"/>
        <v>0.3</v>
      </c>
      <c r="S32" s="212">
        <f t="shared" si="41"/>
        <v>0.3</v>
      </c>
      <c r="T32" s="212">
        <f t="shared" si="41"/>
        <v>0.3</v>
      </c>
      <c r="U32" s="212">
        <f t="shared" si="41"/>
        <v>0.3</v>
      </c>
      <c r="V32" s="212">
        <f t="shared" si="41"/>
        <v>0.3</v>
      </c>
      <c r="W32" s="212">
        <f t="shared" si="41"/>
        <v>0.3</v>
      </c>
      <c r="X32" s="212">
        <f t="shared" si="41"/>
        <v>0.3</v>
      </c>
      <c r="Y32" s="212">
        <f t="shared" si="41"/>
        <v>0.3</v>
      </c>
      <c r="Z32" s="212">
        <f t="shared" si="41"/>
        <v>0.3</v>
      </c>
    </row>
    <row r="33" spans="1:26" s="458" customFormat="1">
      <c r="A33" s="456"/>
      <c r="B33" s="457" t="s">
        <v>555</v>
      </c>
      <c r="C33" s="460">
        <f t="shared" ref="C33:O33" si="42">1-C32-C31</f>
        <v>2.9999999999999916E-2</v>
      </c>
      <c r="D33" s="460">
        <f t="shared" si="42"/>
        <v>2.9999999999999916E-2</v>
      </c>
      <c r="E33" s="460">
        <f t="shared" si="42"/>
        <v>2.9999999999999916E-2</v>
      </c>
      <c r="F33" s="460">
        <f t="shared" si="42"/>
        <v>2.9999999999999916E-2</v>
      </c>
      <c r="G33" s="460">
        <f t="shared" si="42"/>
        <v>2.9999999999999916E-2</v>
      </c>
      <c r="H33" s="460">
        <f t="shared" si="42"/>
        <v>2.9999999999999916E-2</v>
      </c>
      <c r="I33" s="460">
        <f t="shared" si="42"/>
        <v>2.9999999999999916E-2</v>
      </c>
      <c r="J33" s="460">
        <f t="shared" si="42"/>
        <v>2.9999999999999916E-2</v>
      </c>
      <c r="K33" s="460">
        <f t="shared" si="42"/>
        <v>2.9999999999999916E-2</v>
      </c>
      <c r="L33" s="460">
        <f t="shared" si="42"/>
        <v>2.9999999999999916E-2</v>
      </c>
      <c r="M33" s="460">
        <f t="shared" si="42"/>
        <v>2.9999999999999916E-2</v>
      </c>
      <c r="N33" s="460">
        <f t="shared" si="42"/>
        <v>2.9999999999999916E-2</v>
      </c>
      <c r="O33" s="460">
        <f t="shared" si="42"/>
        <v>2.9999999999999916E-2</v>
      </c>
      <c r="P33" s="460">
        <f>1-P32-P31</f>
        <v>2.9999999999999916E-2</v>
      </c>
      <c r="Q33" s="460">
        <f t="shared" ref="Q33:Z33" si="43">1-Q32-Q31</f>
        <v>2.9999999999999916E-2</v>
      </c>
      <c r="R33" s="460">
        <f t="shared" si="43"/>
        <v>2.9999999999999916E-2</v>
      </c>
      <c r="S33" s="460">
        <f t="shared" si="43"/>
        <v>2.9999999999999916E-2</v>
      </c>
      <c r="T33" s="460">
        <f t="shared" si="43"/>
        <v>2.9999999999999916E-2</v>
      </c>
      <c r="U33" s="460">
        <f t="shared" si="43"/>
        <v>2.9999999999999916E-2</v>
      </c>
      <c r="V33" s="460">
        <f t="shared" si="43"/>
        <v>2.9999999999999916E-2</v>
      </c>
      <c r="W33" s="460">
        <f t="shared" si="43"/>
        <v>2.9999999999999916E-2</v>
      </c>
      <c r="X33" s="460">
        <f t="shared" si="43"/>
        <v>2.9999999999999916E-2</v>
      </c>
      <c r="Y33" s="460">
        <f t="shared" si="43"/>
        <v>2.9999999999999916E-2</v>
      </c>
      <c r="Z33" s="460">
        <f t="shared" si="43"/>
        <v>2.9999999999999916E-2</v>
      </c>
    </row>
    <row r="35" spans="1:26">
      <c r="B35" s="493" t="s">
        <v>556</v>
      </c>
      <c r="C35" s="493"/>
      <c r="D35" s="493"/>
      <c r="E35" s="493"/>
      <c r="F35" s="493"/>
      <c r="G35" s="493"/>
      <c r="H35" s="493"/>
      <c r="I35" s="493"/>
      <c r="J35" s="493"/>
      <c r="K35" s="493"/>
      <c r="L35" s="493"/>
      <c r="M35" s="493"/>
      <c r="N35" s="493"/>
      <c r="O35" s="493"/>
      <c r="P35" s="493"/>
      <c r="Q35" s="493"/>
      <c r="R35" s="493"/>
      <c r="S35" s="493"/>
      <c r="T35" s="493"/>
      <c r="U35" s="493"/>
      <c r="V35" s="493"/>
      <c r="W35" s="493"/>
      <c r="X35" s="493"/>
      <c r="Y35" s="493"/>
      <c r="Z35" s="493"/>
    </row>
    <row r="36" spans="1:26">
      <c r="B36" s="319" t="s">
        <v>548</v>
      </c>
      <c r="C36" s="466">
        <f t="shared" ref="C36:O38" si="44">C39*C28</f>
        <v>8.366103737766668</v>
      </c>
      <c r="D36" s="466">
        <f t="shared" si="44"/>
        <v>8.2808136333333344</v>
      </c>
      <c r="E36" s="466">
        <f t="shared" si="44"/>
        <v>8.1985666666666681</v>
      </c>
      <c r="F36" s="466">
        <f t="shared" si="44"/>
        <v>8.1163197000000018</v>
      </c>
      <c r="G36" s="466">
        <f t="shared" si="44"/>
        <v>11.653818013095</v>
      </c>
      <c r="H36" s="466">
        <f t="shared" si="44"/>
        <v>12.474558246021425</v>
      </c>
      <c r="I36" s="466">
        <f t="shared" si="44"/>
        <v>13.039040387649914</v>
      </c>
      <c r="J36" s="466">
        <f t="shared" si="44"/>
        <v>18.760000000000002</v>
      </c>
      <c r="K36" s="466">
        <f t="shared" si="44"/>
        <v>33.768000000000001</v>
      </c>
      <c r="L36" s="466">
        <f t="shared" si="44"/>
        <v>49.901599999999995</v>
      </c>
      <c r="M36" s="466">
        <f t="shared" si="44"/>
        <v>14.970479999999998</v>
      </c>
      <c r="N36" s="466">
        <f t="shared" si="44"/>
        <v>10.479335999999998</v>
      </c>
      <c r="O36" s="466">
        <f t="shared" si="44"/>
        <v>9.955369199999998</v>
      </c>
      <c r="P36" s="466">
        <f>P39*P28</f>
        <v>9.4576007399999984</v>
      </c>
      <c r="Q36" s="466">
        <f t="shared" ref="Q36:Z36" si="45">Q39*Q28</f>
        <v>8.9847207029999971</v>
      </c>
      <c r="R36" s="466">
        <f t="shared" si="45"/>
        <v>8.535484667849996</v>
      </c>
      <c r="S36" s="466">
        <f t="shared" si="45"/>
        <v>8.1087104344574961</v>
      </c>
      <c r="T36" s="466">
        <f t="shared" si="45"/>
        <v>7.7032749127346207</v>
      </c>
      <c r="U36" s="466">
        <f t="shared" si="45"/>
        <v>7.3181111670978893</v>
      </c>
      <c r="V36" s="466">
        <f t="shared" si="45"/>
        <v>6.9522056087429949</v>
      </c>
      <c r="W36" s="466">
        <f t="shared" si="45"/>
        <v>6.6045953283058445</v>
      </c>
      <c r="X36" s="466">
        <f t="shared" si="45"/>
        <v>6.2743655618905523</v>
      </c>
      <c r="Y36" s="466">
        <f t="shared" si="45"/>
        <v>5.9606472837960238</v>
      </c>
      <c r="Z36" s="466">
        <f t="shared" si="45"/>
        <v>5.6626149196062228</v>
      </c>
    </row>
    <row r="37" spans="1:26">
      <c r="B37" s="319" t="s">
        <v>550</v>
      </c>
      <c r="C37" s="466">
        <f t="shared" si="44"/>
        <v>7.4920331980000006</v>
      </c>
      <c r="D37" s="466">
        <f t="shared" si="44"/>
        <v>7.415654</v>
      </c>
      <c r="E37" s="466">
        <f t="shared" si="44"/>
        <v>7.3420000000000005</v>
      </c>
      <c r="F37" s="466">
        <f t="shared" si="44"/>
        <v>7.2683460000000002</v>
      </c>
      <c r="G37" s="466">
        <f t="shared" si="44"/>
        <v>7.1974171980000001</v>
      </c>
      <c r="H37" s="466">
        <f t="shared" si="44"/>
        <v>6.3835692516954001</v>
      </c>
      <c r="I37" s="466">
        <f t="shared" si="44"/>
        <v>6.4423462543200802</v>
      </c>
      <c r="J37" s="466">
        <f t="shared" si="44"/>
        <v>9.4500000000000011</v>
      </c>
      <c r="K37" s="466">
        <f t="shared" si="44"/>
        <v>15.959999999999999</v>
      </c>
      <c r="L37" s="466">
        <f t="shared" si="44"/>
        <v>22.343999999999994</v>
      </c>
      <c r="M37" s="466">
        <f t="shared" si="44"/>
        <v>6.703199999999998</v>
      </c>
      <c r="N37" s="466">
        <f t="shared" si="44"/>
        <v>4.6922399999999982</v>
      </c>
      <c r="O37" s="466">
        <f t="shared" si="44"/>
        <v>4.4576279999999979</v>
      </c>
      <c r="P37" s="466">
        <f>P40*P29</f>
        <v>4.2347465999999976</v>
      </c>
      <c r="Q37" s="466">
        <f t="shared" ref="Q37:Z37" si="46">Q40*Q29</f>
        <v>4.0230092699999984</v>
      </c>
      <c r="R37" s="466">
        <f t="shared" si="46"/>
        <v>3.8218588064999977</v>
      </c>
      <c r="S37" s="466">
        <f t="shared" si="46"/>
        <v>3.6307658661749977</v>
      </c>
      <c r="T37" s="466">
        <f t="shared" si="46"/>
        <v>3.4492275728662478</v>
      </c>
      <c r="U37" s="466">
        <f t="shared" si="46"/>
        <v>3.2767661942229354</v>
      </c>
      <c r="V37" s="466">
        <f t="shared" si="46"/>
        <v>3.1129278845117883</v>
      </c>
      <c r="W37" s="466">
        <f t="shared" si="46"/>
        <v>2.9572814902861992</v>
      </c>
      <c r="X37" s="466">
        <f t="shared" si="46"/>
        <v>2.8094174157718887</v>
      </c>
      <c r="Y37" s="466">
        <f t="shared" si="46"/>
        <v>2.6689465449832936</v>
      </c>
      <c r="Z37" s="466">
        <f t="shared" si="46"/>
        <v>2.5354992177341291</v>
      </c>
    </row>
    <row r="38" spans="1:26">
      <c r="B38" s="319" t="s">
        <v>552</v>
      </c>
      <c r="C38" s="466">
        <f t="shared" si="44"/>
        <v>0.374601659899999</v>
      </c>
      <c r="D38" s="466">
        <f t="shared" si="44"/>
        <v>0.37078269999999902</v>
      </c>
      <c r="E38" s="466">
        <f t="shared" si="44"/>
        <v>0.36709999999999904</v>
      </c>
      <c r="F38" s="466">
        <f t="shared" si="44"/>
        <v>0.363417299999999</v>
      </c>
      <c r="G38" s="466">
        <f t="shared" si="44"/>
        <v>0.52181274685499845</v>
      </c>
      <c r="H38" s="466">
        <f t="shared" si="44"/>
        <v>0.55856230952334585</v>
      </c>
      <c r="I38" s="466">
        <f t="shared" si="44"/>
        <v>0.58383762929775551</v>
      </c>
      <c r="J38" s="466">
        <f t="shared" si="44"/>
        <v>0.83999999999999775</v>
      </c>
      <c r="K38" s="466">
        <f t="shared" si="44"/>
        <v>1.5119999999999958</v>
      </c>
      <c r="L38" s="466">
        <f t="shared" si="44"/>
        <v>2.2343999999999933</v>
      </c>
      <c r="M38" s="466">
        <f t="shared" si="44"/>
        <v>0.67031999999999792</v>
      </c>
      <c r="N38" s="466">
        <f t="shared" si="44"/>
        <v>0.46922399999999853</v>
      </c>
      <c r="O38" s="466">
        <f t="shared" si="44"/>
        <v>0.44576279999999857</v>
      </c>
      <c r="P38" s="466">
        <f>P41*P30</f>
        <v>0.42347465999999861</v>
      </c>
      <c r="Q38" s="466">
        <f t="shared" ref="Q38:Z38" si="47">Q41*Q30</f>
        <v>0.40230092699999864</v>
      </c>
      <c r="R38" s="466">
        <f t="shared" si="47"/>
        <v>0.38218588064999875</v>
      </c>
      <c r="S38" s="466">
        <f t="shared" si="47"/>
        <v>0.36307658661749875</v>
      </c>
      <c r="T38" s="466">
        <f t="shared" si="47"/>
        <v>0.34492275728662386</v>
      </c>
      <c r="U38" s="466">
        <f t="shared" si="47"/>
        <v>0.32767661942229259</v>
      </c>
      <c r="V38" s="466">
        <f t="shared" si="47"/>
        <v>0.31129278845117797</v>
      </c>
      <c r="W38" s="466">
        <f t="shared" si="47"/>
        <v>0.29572814902861905</v>
      </c>
      <c r="X38" s="466">
        <f t="shared" si="47"/>
        <v>0.2809417415771881</v>
      </c>
      <c r="Y38" s="466">
        <f t="shared" si="47"/>
        <v>0.26689465449832861</v>
      </c>
      <c r="Z38" s="466">
        <f t="shared" si="47"/>
        <v>0.25354992177341223</v>
      </c>
    </row>
    <row r="39" spans="1:26" s="458" customFormat="1">
      <c r="A39" s="456"/>
      <c r="B39" s="457" t="s">
        <v>553</v>
      </c>
      <c r="C39" s="492">
        <v>0.4</v>
      </c>
      <c r="D39" s="460">
        <f t="shared" ref="D39:I41" si="48">C39</f>
        <v>0.4</v>
      </c>
      <c r="E39" s="460">
        <f t="shared" si="48"/>
        <v>0.4</v>
      </c>
      <c r="F39" s="212">
        <f>E39</f>
        <v>0.4</v>
      </c>
      <c r="G39" s="492">
        <v>0.57999999999999996</v>
      </c>
      <c r="H39" s="492">
        <v>0.7</v>
      </c>
      <c r="I39" s="492">
        <v>0.72499999999999998</v>
      </c>
      <c r="J39" s="492">
        <v>0.8</v>
      </c>
      <c r="K39" s="492">
        <v>0.9</v>
      </c>
      <c r="L39" s="492">
        <v>0.95</v>
      </c>
      <c r="M39" s="460">
        <f t="shared" ref="M39:P40" si="49">L39</f>
        <v>0.95</v>
      </c>
      <c r="N39" s="460">
        <f t="shared" si="49"/>
        <v>0.95</v>
      </c>
      <c r="O39" s="460">
        <f t="shared" si="49"/>
        <v>0.95</v>
      </c>
      <c r="P39" s="460">
        <f t="shared" si="49"/>
        <v>0.95</v>
      </c>
      <c r="Q39" s="460">
        <f t="shared" ref="Q39:Z39" si="50">P39</f>
        <v>0.95</v>
      </c>
      <c r="R39" s="460">
        <f t="shared" si="50"/>
        <v>0.95</v>
      </c>
      <c r="S39" s="460">
        <f t="shared" si="50"/>
        <v>0.95</v>
      </c>
      <c r="T39" s="460">
        <f t="shared" si="50"/>
        <v>0.95</v>
      </c>
      <c r="U39" s="460">
        <f t="shared" si="50"/>
        <v>0.95</v>
      </c>
      <c r="V39" s="460">
        <f t="shared" si="50"/>
        <v>0.95</v>
      </c>
      <c r="W39" s="460">
        <f t="shared" si="50"/>
        <v>0.95</v>
      </c>
      <c r="X39" s="460">
        <f t="shared" si="50"/>
        <v>0.95</v>
      </c>
      <c r="Y39" s="460">
        <f t="shared" si="50"/>
        <v>0.95</v>
      </c>
      <c r="Z39" s="460">
        <f t="shared" si="50"/>
        <v>0.95</v>
      </c>
    </row>
    <row r="40" spans="1:26" s="458" customFormat="1">
      <c r="A40" s="456"/>
      <c r="B40" s="457" t="s">
        <v>554</v>
      </c>
      <c r="C40" s="492">
        <v>0.8</v>
      </c>
      <c r="D40" s="460">
        <f t="shared" si="48"/>
        <v>0.8</v>
      </c>
      <c r="E40" s="460">
        <f t="shared" si="48"/>
        <v>0.8</v>
      </c>
      <c r="F40" s="460">
        <f t="shared" si="48"/>
        <v>0.8</v>
      </c>
      <c r="G40" s="460">
        <f t="shared" si="48"/>
        <v>0.8</v>
      </c>
      <c r="H40" s="460">
        <f t="shared" si="48"/>
        <v>0.8</v>
      </c>
      <c r="I40" s="460">
        <f t="shared" si="48"/>
        <v>0.8</v>
      </c>
      <c r="J40" s="460">
        <v>0.9</v>
      </c>
      <c r="K40" s="460">
        <v>0.95</v>
      </c>
      <c r="L40" s="460">
        <f>K40</f>
        <v>0.95</v>
      </c>
      <c r="M40" s="460">
        <f t="shared" si="49"/>
        <v>0.95</v>
      </c>
      <c r="N40" s="460">
        <f t="shared" si="49"/>
        <v>0.95</v>
      </c>
      <c r="O40" s="460">
        <f t="shared" si="49"/>
        <v>0.95</v>
      </c>
      <c r="P40" s="460">
        <f t="shared" si="49"/>
        <v>0.95</v>
      </c>
      <c r="Q40" s="460">
        <f t="shared" ref="Q40:Z40" si="51">P40</f>
        <v>0.95</v>
      </c>
      <c r="R40" s="460">
        <f t="shared" si="51"/>
        <v>0.95</v>
      </c>
      <c r="S40" s="460">
        <f t="shared" si="51"/>
        <v>0.95</v>
      </c>
      <c r="T40" s="460">
        <f t="shared" si="51"/>
        <v>0.95</v>
      </c>
      <c r="U40" s="460">
        <f t="shared" si="51"/>
        <v>0.95</v>
      </c>
      <c r="V40" s="460">
        <f t="shared" si="51"/>
        <v>0.95</v>
      </c>
      <c r="W40" s="460">
        <f t="shared" si="51"/>
        <v>0.95</v>
      </c>
      <c r="X40" s="460">
        <f t="shared" si="51"/>
        <v>0.95</v>
      </c>
      <c r="Y40" s="460">
        <f t="shared" si="51"/>
        <v>0.95</v>
      </c>
      <c r="Z40" s="460">
        <f t="shared" si="51"/>
        <v>0.95</v>
      </c>
    </row>
    <row r="41" spans="1:26" s="458" customFormat="1">
      <c r="A41" s="456"/>
      <c r="B41" s="457" t="s">
        <v>555</v>
      </c>
      <c r="C41" s="492">
        <v>0.4</v>
      </c>
      <c r="D41" s="460">
        <f t="shared" si="48"/>
        <v>0.4</v>
      </c>
      <c r="E41" s="460">
        <f t="shared" si="48"/>
        <v>0.4</v>
      </c>
      <c r="F41" s="460">
        <f>F39</f>
        <v>0.4</v>
      </c>
      <c r="G41" s="460">
        <f t="shared" ref="G41:O41" si="52">G39</f>
        <v>0.57999999999999996</v>
      </c>
      <c r="H41" s="460">
        <f t="shared" si="52"/>
        <v>0.7</v>
      </c>
      <c r="I41" s="460">
        <f t="shared" si="52"/>
        <v>0.72499999999999998</v>
      </c>
      <c r="J41" s="460">
        <f t="shared" si="52"/>
        <v>0.8</v>
      </c>
      <c r="K41" s="460">
        <f t="shared" si="52"/>
        <v>0.9</v>
      </c>
      <c r="L41" s="460">
        <f t="shared" si="52"/>
        <v>0.95</v>
      </c>
      <c r="M41" s="460">
        <f t="shared" si="52"/>
        <v>0.95</v>
      </c>
      <c r="N41" s="460">
        <f t="shared" si="52"/>
        <v>0.95</v>
      </c>
      <c r="O41" s="460">
        <f t="shared" si="52"/>
        <v>0.95</v>
      </c>
      <c r="P41" s="460">
        <f>P39</f>
        <v>0.95</v>
      </c>
      <c r="Q41" s="460">
        <f t="shared" ref="Q41:Z41" si="53">Q39</f>
        <v>0.95</v>
      </c>
      <c r="R41" s="460">
        <f t="shared" si="53"/>
        <v>0.95</v>
      </c>
      <c r="S41" s="460">
        <f t="shared" si="53"/>
        <v>0.95</v>
      </c>
      <c r="T41" s="460">
        <f t="shared" si="53"/>
        <v>0.95</v>
      </c>
      <c r="U41" s="460">
        <f t="shared" si="53"/>
        <v>0.95</v>
      </c>
      <c r="V41" s="460">
        <f t="shared" si="53"/>
        <v>0.95</v>
      </c>
      <c r="W41" s="460">
        <f t="shared" si="53"/>
        <v>0.95</v>
      </c>
      <c r="X41" s="460">
        <f t="shared" si="53"/>
        <v>0.95</v>
      </c>
      <c r="Y41" s="460">
        <f t="shared" si="53"/>
        <v>0.95</v>
      </c>
      <c r="Z41" s="460">
        <f t="shared" si="53"/>
        <v>0.95</v>
      </c>
    </row>
    <row r="43" spans="1:26">
      <c r="B43" s="494" t="s">
        <v>577</v>
      </c>
      <c r="C43" s="494"/>
      <c r="D43" s="495"/>
      <c r="E43" s="494"/>
      <c r="F43" s="494"/>
      <c r="G43" s="494"/>
      <c r="H43" s="494"/>
      <c r="I43" s="494"/>
      <c r="J43" s="494"/>
      <c r="K43" s="494"/>
      <c r="L43" s="494"/>
      <c r="M43" s="494"/>
      <c r="N43" s="494"/>
      <c r="O43" s="494"/>
      <c r="P43" s="494"/>
      <c r="Q43" s="494"/>
      <c r="R43" s="494"/>
      <c r="S43" s="494"/>
      <c r="T43" s="494"/>
      <c r="U43" s="494"/>
      <c r="V43" s="494"/>
      <c r="W43" s="494"/>
      <c r="X43" s="494"/>
      <c r="Y43" s="494"/>
      <c r="Z43" s="494"/>
    </row>
    <row r="44" spans="1:26" ht="15" customHeight="1" outlineLevel="1">
      <c r="B44" s="474" t="s">
        <v>604</v>
      </c>
      <c r="C44" s="474"/>
      <c r="D44" s="475"/>
      <c r="E44" s="474"/>
      <c r="F44" s="474"/>
      <c r="G44" s="474"/>
      <c r="H44" s="474"/>
      <c r="I44" s="474"/>
      <c r="J44" s="1012" t="s">
        <v>625</v>
      </c>
      <c r="K44" s="1012"/>
      <c r="L44" s="1013" t="s">
        <v>607</v>
      </c>
      <c r="M44" s="1013"/>
      <c r="N44" s="496"/>
      <c r="O44" s="496" t="s">
        <v>606</v>
      </c>
      <c r="P44" s="479"/>
      <c r="Q44" s="479"/>
      <c r="R44" s="479"/>
      <c r="S44" s="479"/>
      <c r="T44" s="479"/>
      <c r="U44" s="479"/>
      <c r="V44" s="479"/>
      <c r="W44" s="479"/>
      <c r="X44" s="479"/>
      <c r="Y44" s="479"/>
      <c r="Z44" s="479"/>
    </row>
    <row r="45" spans="1:26" s="480" customFormat="1" ht="12.75" customHeight="1" outlineLevel="1">
      <c r="A45" s="473"/>
      <c r="B45" s="474" t="s">
        <v>423</v>
      </c>
      <c r="C45" s="474"/>
      <c r="D45" s="475"/>
      <c r="E45" s="474"/>
      <c r="F45" s="474"/>
      <c r="G45" s="474"/>
      <c r="H45" s="474"/>
      <c r="I45" s="474"/>
      <c r="J45" s="497"/>
      <c r="K45" s="498">
        <v>0.5</v>
      </c>
      <c r="L45" s="498">
        <v>0.8</v>
      </c>
      <c r="M45" s="498">
        <v>0.65</v>
      </c>
      <c r="N45" s="499">
        <f>M45</f>
        <v>0.65</v>
      </c>
      <c r="O45" s="499">
        <f>N45</f>
        <v>0.65</v>
      </c>
      <c r="P45" s="499">
        <f>O45</f>
        <v>0.65</v>
      </c>
      <c r="Q45" s="499">
        <f t="shared" ref="Q45:Y45" si="54">P45</f>
        <v>0.65</v>
      </c>
      <c r="R45" s="499">
        <f t="shared" si="54"/>
        <v>0.65</v>
      </c>
      <c r="S45" s="499">
        <f t="shared" si="54"/>
        <v>0.65</v>
      </c>
      <c r="T45" s="499">
        <f t="shared" si="54"/>
        <v>0.65</v>
      </c>
      <c r="U45" s="499">
        <f t="shared" si="54"/>
        <v>0.65</v>
      </c>
      <c r="V45" s="499">
        <f t="shared" si="54"/>
        <v>0.65</v>
      </c>
      <c r="W45" s="499">
        <f t="shared" si="54"/>
        <v>0.65</v>
      </c>
      <c r="X45" s="499">
        <f t="shared" si="54"/>
        <v>0.65</v>
      </c>
      <c r="Y45" s="499">
        <f t="shared" si="54"/>
        <v>0.65</v>
      </c>
      <c r="Z45" s="498">
        <f>Y45*0.1</f>
        <v>6.5000000000000002E-2</v>
      </c>
    </row>
    <row r="46" spans="1:26" s="480" customFormat="1" ht="12.75" customHeight="1" outlineLevel="1">
      <c r="A46" s="473"/>
      <c r="B46" s="474" t="s">
        <v>424</v>
      </c>
      <c r="C46" s="474"/>
      <c r="D46" s="481"/>
      <c r="E46" s="481"/>
      <c r="F46" s="481"/>
      <c r="G46" s="481"/>
      <c r="H46" s="481"/>
      <c r="I46" s="481"/>
      <c r="J46" s="500"/>
      <c r="K46" s="500">
        <v>0.55000000000000004</v>
      </c>
      <c r="L46" s="500">
        <v>0.6</v>
      </c>
      <c r="M46" s="500">
        <f>L46-5%</f>
        <v>0.54999999999999993</v>
      </c>
      <c r="N46" s="500">
        <f>M46-5%</f>
        <v>0.49999999999999994</v>
      </c>
      <c r="O46" s="501">
        <f>N46</f>
        <v>0.49999999999999994</v>
      </c>
      <c r="P46" s="501">
        <f>O46</f>
        <v>0.49999999999999994</v>
      </c>
      <c r="Q46" s="501">
        <f t="shared" ref="Q46:Y46" si="55">P46</f>
        <v>0.49999999999999994</v>
      </c>
      <c r="R46" s="501">
        <f t="shared" si="55"/>
        <v>0.49999999999999994</v>
      </c>
      <c r="S46" s="501">
        <f t="shared" si="55"/>
        <v>0.49999999999999994</v>
      </c>
      <c r="T46" s="501">
        <f t="shared" si="55"/>
        <v>0.49999999999999994</v>
      </c>
      <c r="U46" s="501">
        <f t="shared" si="55"/>
        <v>0.49999999999999994</v>
      </c>
      <c r="V46" s="501">
        <f t="shared" si="55"/>
        <v>0.49999999999999994</v>
      </c>
      <c r="W46" s="501">
        <f t="shared" si="55"/>
        <v>0.49999999999999994</v>
      </c>
      <c r="X46" s="501">
        <f t="shared" si="55"/>
        <v>0.49999999999999994</v>
      </c>
      <c r="Y46" s="501">
        <f t="shared" si="55"/>
        <v>0.49999999999999994</v>
      </c>
      <c r="Z46" s="500">
        <f>Y46*0.1</f>
        <v>4.9999999999999996E-2</v>
      </c>
    </row>
    <row r="47" spans="1:26" s="480" customFormat="1" ht="12.75" customHeight="1" outlineLevel="1">
      <c r="A47" s="473"/>
      <c r="B47" s="474" t="s">
        <v>425</v>
      </c>
      <c r="C47" s="474"/>
      <c r="D47" s="475"/>
      <c r="E47" s="474"/>
      <c r="F47" s="474"/>
      <c r="G47" s="474"/>
      <c r="H47" s="474"/>
      <c r="I47" s="474"/>
      <c r="J47" s="500"/>
      <c r="K47" s="497">
        <f>K46-10%</f>
        <v>0.45000000000000007</v>
      </c>
      <c r="L47" s="502">
        <f>L46-20%</f>
        <v>0.39999999999999997</v>
      </c>
      <c r="M47" s="502">
        <f>L47-5%</f>
        <v>0.35</v>
      </c>
      <c r="N47" s="502">
        <f>M47-10%</f>
        <v>0.24999999999999997</v>
      </c>
      <c r="O47" s="502">
        <f>N47</f>
        <v>0.24999999999999997</v>
      </c>
      <c r="P47" s="502">
        <f>O47</f>
        <v>0.24999999999999997</v>
      </c>
      <c r="Q47" s="502">
        <f t="shared" ref="Q47:Y47" si="56">P47</f>
        <v>0.24999999999999997</v>
      </c>
      <c r="R47" s="502">
        <f t="shared" si="56"/>
        <v>0.24999999999999997</v>
      </c>
      <c r="S47" s="502">
        <f t="shared" si="56"/>
        <v>0.24999999999999997</v>
      </c>
      <c r="T47" s="502">
        <f t="shared" si="56"/>
        <v>0.24999999999999997</v>
      </c>
      <c r="U47" s="502">
        <f t="shared" si="56"/>
        <v>0.24999999999999997</v>
      </c>
      <c r="V47" s="502">
        <f t="shared" si="56"/>
        <v>0.24999999999999997</v>
      </c>
      <c r="W47" s="502">
        <f t="shared" si="56"/>
        <v>0.24999999999999997</v>
      </c>
      <c r="X47" s="502">
        <f t="shared" si="56"/>
        <v>0.24999999999999997</v>
      </c>
      <c r="Y47" s="502">
        <f t="shared" si="56"/>
        <v>0.24999999999999997</v>
      </c>
      <c r="Z47" s="502">
        <f>Y47*0.1</f>
        <v>2.4999999999999998E-2</v>
      </c>
    </row>
    <row r="48" spans="1:26">
      <c r="A48" s="484" t="s">
        <v>578</v>
      </c>
      <c r="B48" s="485" t="s">
        <v>541</v>
      </c>
      <c r="C48" s="485"/>
      <c r="D48" s="485"/>
      <c r="E48" s="485"/>
      <c r="F48" s="485"/>
      <c r="G48" s="485"/>
      <c r="H48" s="485"/>
      <c r="I48" s="485"/>
      <c r="J48" s="500">
        <v>0</v>
      </c>
      <c r="K48" s="503">
        <f t="shared" ref="K48:Z48" si="57">CHOOSE($E$1,K45,K46,K47)</f>
        <v>0.55000000000000004</v>
      </c>
      <c r="L48" s="503">
        <f t="shared" si="57"/>
        <v>0.6</v>
      </c>
      <c r="M48" s="503">
        <f t="shared" si="57"/>
        <v>0.54999999999999993</v>
      </c>
      <c r="N48" s="503">
        <f t="shared" si="57"/>
        <v>0.49999999999999994</v>
      </c>
      <c r="O48" s="503">
        <f t="shared" si="57"/>
        <v>0.49999999999999994</v>
      </c>
      <c r="P48" s="503">
        <f t="shared" si="57"/>
        <v>0.49999999999999994</v>
      </c>
      <c r="Q48" s="503">
        <f t="shared" si="57"/>
        <v>0.49999999999999994</v>
      </c>
      <c r="R48" s="503">
        <f t="shared" si="57"/>
        <v>0.49999999999999994</v>
      </c>
      <c r="S48" s="503">
        <f t="shared" si="57"/>
        <v>0.49999999999999994</v>
      </c>
      <c r="T48" s="503">
        <f t="shared" si="57"/>
        <v>0.49999999999999994</v>
      </c>
      <c r="U48" s="503">
        <f t="shared" si="57"/>
        <v>0.49999999999999994</v>
      </c>
      <c r="V48" s="503">
        <f t="shared" si="57"/>
        <v>0.49999999999999994</v>
      </c>
      <c r="W48" s="503">
        <f t="shared" si="57"/>
        <v>0.49999999999999994</v>
      </c>
      <c r="X48" s="503">
        <f t="shared" si="57"/>
        <v>0.49999999999999994</v>
      </c>
      <c r="Y48" s="503">
        <f t="shared" si="57"/>
        <v>0.49999999999999994</v>
      </c>
      <c r="Z48" s="503">
        <f t="shared" si="57"/>
        <v>4.9999999999999996E-2</v>
      </c>
    </row>
    <row r="49" spans="1:28">
      <c r="A49" s="473"/>
      <c r="B49" s="319" t="s">
        <v>68</v>
      </c>
      <c r="C49" s="470">
        <f t="shared" ref="C49:O49" si="58">1-C48</f>
        <v>1</v>
      </c>
      <c r="D49" s="470">
        <f t="shared" si="58"/>
        <v>1</v>
      </c>
      <c r="E49" s="470">
        <f t="shared" si="58"/>
        <v>1</v>
      </c>
      <c r="F49" s="470">
        <f t="shared" si="58"/>
        <v>1</v>
      </c>
      <c r="G49" s="470">
        <f t="shared" si="58"/>
        <v>1</v>
      </c>
      <c r="H49" s="470">
        <f t="shared" si="58"/>
        <v>1</v>
      </c>
      <c r="I49" s="470">
        <f t="shared" si="58"/>
        <v>1</v>
      </c>
      <c r="J49" s="470">
        <f t="shared" si="58"/>
        <v>1</v>
      </c>
      <c r="K49" s="470">
        <f t="shared" si="58"/>
        <v>0.44999999999999996</v>
      </c>
      <c r="L49" s="470">
        <f t="shared" si="58"/>
        <v>0.4</v>
      </c>
      <c r="M49" s="470">
        <f t="shared" si="58"/>
        <v>0.45000000000000007</v>
      </c>
      <c r="N49" s="470">
        <f t="shared" si="58"/>
        <v>0.5</v>
      </c>
      <c r="O49" s="470">
        <f t="shared" si="58"/>
        <v>0.5</v>
      </c>
      <c r="P49" s="470">
        <f>1-P48</f>
        <v>0.5</v>
      </c>
      <c r="Q49" s="470">
        <f t="shared" ref="Q49:Z49" si="59">1-Q48</f>
        <v>0.5</v>
      </c>
      <c r="R49" s="470">
        <f t="shared" si="59"/>
        <v>0.5</v>
      </c>
      <c r="S49" s="470">
        <f t="shared" si="59"/>
        <v>0.5</v>
      </c>
      <c r="T49" s="470">
        <f t="shared" si="59"/>
        <v>0.5</v>
      </c>
      <c r="U49" s="470">
        <f t="shared" si="59"/>
        <v>0.5</v>
      </c>
      <c r="V49" s="470">
        <f t="shared" si="59"/>
        <v>0.5</v>
      </c>
      <c r="W49" s="470">
        <f t="shared" si="59"/>
        <v>0.5</v>
      </c>
      <c r="X49" s="470">
        <f t="shared" si="59"/>
        <v>0.5</v>
      </c>
      <c r="Y49" s="470">
        <f t="shared" si="59"/>
        <v>0.5</v>
      </c>
      <c r="Z49" s="470">
        <f t="shared" si="59"/>
        <v>0.95</v>
      </c>
    </row>
    <row r="50" spans="1:28">
      <c r="A50" s="473"/>
    </row>
    <row r="51" spans="1:28">
      <c r="A51" s="473"/>
    </row>
    <row r="52" spans="1:28">
      <c r="A52" s="473"/>
      <c r="B52" s="461" t="s">
        <v>557</v>
      </c>
      <c r="C52" s="461"/>
      <c r="D52" s="462"/>
      <c r="E52" s="461"/>
      <c r="F52" s="461"/>
      <c r="G52" s="461"/>
      <c r="H52" s="461"/>
      <c r="I52" s="461"/>
      <c r="J52" s="461"/>
      <c r="K52" s="461"/>
      <c r="L52" s="461"/>
      <c r="M52" s="461"/>
      <c r="N52" s="461"/>
      <c r="O52" s="461"/>
      <c r="P52" s="461"/>
      <c r="Q52" s="461"/>
      <c r="R52" s="461"/>
      <c r="S52" s="461"/>
      <c r="T52" s="461"/>
      <c r="U52" s="461"/>
      <c r="V52" s="461"/>
      <c r="W52" s="461"/>
      <c r="X52" s="461"/>
      <c r="Y52" s="461"/>
      <c r="Z52" s="461"/>
    </row>
    <row r="53" spans="1:28">
      <c r="A53" s="473"/>
      <c r="B53" s="319" t="s">
        <v>579</v>
      </c>
      <c r="C53" s="455">
        <f>D53+D59-D54</f>
        <v>71.327800333333329</v>
      </c>
      <c r="D53" s="455">
        <f>E53+E59-E54</f>
        <v>84.057666666666663</v>
      </c>
      <c r="E53" s="467">
        <f>289/3</f>
        <v>96.333333333333329</v>
      </c>
      <c r="F53" s="466">
        <f>E53+E54-E59</f>
        <v>108.60899999999999</v>
      </c>
      <c r="G53" s="466">
        <f t="shared" ref="G53:O53" si="60">F53+F54-F59</f>
        <v>120.43046699999999</v>
      </c>
      <c r="H53" s="466">
        <f t="shared" si="60"/>
        <v>128.03589569204999</v>
      </c>
      <c r="I53" s="466">
        <f t="shared" si="60"/>
        <v>128.81561631560484</v>
      </c>
      <c r="J53" s="466">
        <f t="shared" si="60"/>
        <v>131.72903294786929</v>
      </c>
      <c r="K53" s="466">
        <f t="shared" si="60"/>
        <v>133.7271619594332</v>
      </c>
      <c r="L53" s="466">
        <f t="shared" si="60"/>
        <v>129.12626062227287</v>
      </c>
      <c r="M53" s="466">
        <f t="shared" si="60"/>
        <v>117.55110934760015</v>
      </c>
      <c r="N53" s="466">
        <f t="shared" si="60"/>
        <v>109.91077614653014</v>
      </c>
      <c r="O53" s="466">
        <f t="shared" si="60"/>
        <v>104.13932957773834</v>
      </c>
      <c r="P53" s="466">
        <f>O53+O54-O59</f>
        <v>99.71440309885142</v>
      </c>
      <c r="Q53" s="466">
        <f t="shared" ref="Q53:Z53" si="61">P53+P54-P59</f>
        <v>96.468764974897354</v>
      </c>
      <c r="R53" s="466">
        <f t="shared" si="61"/>
        <v>93.315805475901456</v>
      </c>
      <c r="S53" s="466">
        <f t="shared" si="61"/>
        <v>90.253674801865401</v>
      </c>
      <c r="T53" s="466">
        <f t="shared" si="61"/>
        <v>87.280504277540786</v>
      </c>
      <c r="U53" s="466">
        <f t="shared" si="61"/>
        <v>84.394411750801652</v>
      </c>
      <c r="V53" s="466">
        <f t="shared" si="61"/>
        <v>81.593506542913957</v>
      </c>
      <c r="W53" s="466">
        <f t="shared" si="61"/>
        <v>78.875893980234551</v>
      </c>
      <c r="X53" s="466">
        <f t="shared" si="61"/>
        <v>76.239679535110469</v>
      </c>
      <c r="Y53" s="466">
        <f t="shared" si="61"/>
        <v>73.682972602087077</v>
      </c>
      <c r="Z53" s="466">
        <f t="shared" si="61"/>
        <v>71.940719659986442</v>
      </c>
      <c r="AB53" s="319" t="s">
        <v>595</v>
      </c>
    </row>
    <row r="54" spans="1:28">
      <c r="A54" s="473"/>
      <c r="B54" s="319" t="s">
        <v>559</v>
      </c>
      <c r="C54" s="466">
        <f t="shared" ref="C54:O54" si="62">C25-C36-C37-C38</f>
        <v>14.984066395999998</v>
      </c>
      <c r="D54" s="466">
        <f t="shared" si="62"/>
        <v>14.831308</v>
      </c>
      <c r="E54" s="466">
        <f t="shared" si="62"/>
        <v>14.684000000000001</v>
      </c>
      <c r="F54" s="466">
        <f t="shared" si="62"/>
        <v>14.536691999999999</v>
      </c>
      <c r="G54" s="466">
        <f t="shared" si="62"/>
        <v>10.616190367049999</v>
      </c>
      <c r="H54" s="466">
        <f t="shared" si="62"/>
        <v>7.1815154081573276</v>
      </c>
      <c r="I54" s="466">
        <f t="shared" si="62"/>
        <v>6.7778851217325835</v>
      </c>
      <c r="J54" s="466">
        <f t="shared" si="62"/>
        <v>5.9499999999999993</v>
      </c>
      <c r="K54" s="466">
        <f t="shared" si="62"/>
        <v>4.7600000000000042</v>
      </c>
      <c r="L54" s="466">
        <f t="shared" si="62"/>
        <v>3.9200000000000093</v>
      </c>
      <c r="M54" s="466">
        <f t="shared" si="62"/>
        <v>1.1760000000000015</v>
      </c>
      <c r="N54" s="466">
        <f t="shared" si="62"/>
        <v>0.82320000000000015</v>
      </c>
      <c r="O54" s="466">
        <f t="shared" si="62"/>
        <v>0.78204000000000062</v>
      </c>
      <c r="P54" s="466">
        <f>P25-P36-P37-P38</f>
        <v>0.74293800000000032</v>
      </c>
      <c r="Q54" s="466">
        <f t="shared" ref="Q54:Z54" si="63">Q25-Q36-Q37-Q38</f>
        <v>0.70579110000000012</v>
      </c>
      <c r="R54" s="466">
        <f t="shared" si="63"/>
        <v>0.67050154500000114</v>
      </c>
      <c r="S54" s="466">
        <f t="shared" si="63"/>
        <v>0.6369764677500005</v>
      </c>
      <c r="T54" s="466">
        <f t="shared" si="63"/>
        <v>0.60512764436250133</v>
      </c>
      <c r="U54" s="466">
        <f t="shared" si="63"/>
        <v>0.57487126214437567</v>
      </c>
      <c r="V54" s="466">
        <f t="shared" si="63"/>
        <v>0.54612769903715641</v>
      </c>
      <c r="W54" s="466">
        <f t="shared" si="63"/>
        <v>0.5188213140852993</v>
      </c>
      <c r="X54" s="466">
        <f t="shared" si="63"/>
        <v>0.49288024838103384</v>
      </c>
      <c r="Y54" s="466">
        <f t="shared" si="63"/>
        <v>0.46823623596198249</v>
      </c>
      <c r="Z54" s="466">
        <f t="shared" si="63"/>
        <v>0.44482442416388285</v>
      </c>
    </row>
    <row r="55" spans="1:28" s="480" customFormat="1" ht="12.75" customHeight="1" outlineLevel="1">
      <c r="A55" s="473"/>
      <c r="B55" s="474" t="s">
        <v>423</v>
      </c>
      <c r="C55" s="474"/>
      <c r="D55" s="475"/>
      <c r="E55" s="474"/>
      <c r="F55" s="474"/>
      <c r="G55" s="474"/>
      <c r="H55" s="474"/>
      <c r="I55" s="474"/>
      <c r="J55" s="497"/>
      <c r="K55" s="498">
        <f>K56</f>
        <v>7.0000000000000007E-2</v>
      </c>
      <c r="L55" s="499">
        <f>L56</f>
        <v>0.12</v>
      </c>
      <c r="M55" s="499">
        <f>L55</f>
        <v>0.12</v>
      </c>
      <c r="N55" s="499">
        <f>M55</f>
        <v>0.12</v>
      </c>
      <c r="O55" s="499">
        <f>N55</f>
        <v>0.12</v>
      </c>
      <c r="P55" s="499">
        <f>O55</f>
        <v>0.12</v>
      </c>
      <c r="Q55" s="499">
        <f t="shared" ref="Q55:Y56" si="64">P55</f>
        <v>0.12</v>
      </c>
      <c r="R55" s="499">
        <f t="shared" si="64"/>
        <v>0.12</v>
      </c>
      <c r="S55" s="499">
        <f t="shared" si="64"/>
        <v>0.12</v>
      </c>
      <c r="T55" s="499">
        <f t="shared" si="64"/>
        <v>0.12</v>
      </c>
      <c r="U55" s="499">
        <f t="shared" si="64"/>
        <v>0.12</v>
      </c>
      <c r="V55" s="499">
        <f t="shared" si="64"/>
        <v>0.12</v>
      </c>
      <c r="W55" s="499">
        <f t="shared" si="64"/>
        <v>0.12</v>
      </c>
      <c r="X55" s="499">
        <f t="shared" si="64"/>
        <v>0.12</v>
      </c>
      <c r="Y55" s="499">
        <f t="shared" si="64"/>
        <v>0.12</v>
      </c>
      <c r="Z55" s="498">
        <f>Y55*0.1</f>
        <v>1.2E-2</v>
      </c>
    </row>
    <row r="56" spans="1:28" s="480" customFormat="1" ht="12.75" customHeight="1" outlineLevel="1">
      <c r="A56" s="473"/>
      <c r="B56" s="474" t="s">
        <v>424</v>
      </c>
      <c r="C56" s="474"/>
      <c r="D56" s="481"/>
      <c r="E56" s="481"/>
      <c r="F56" s="481"/>
      <c r="G56" s="481"/>
      <c r="H56" s="481"/>
      <c r="I56" s="481"/>
      <c r="J56" s="500"/>
      <c r="K56" s="500">
        <v>7.0000000000000007E-2</v>
      </c>
      <c r="L56" s="500">
        <v>0.12</v>
      </c>
      <c r="M56" s="500">
        <v>7.4999999999999997E-2</v>
      </c>
      <c r="N56" s="500">
        <v>0.06</v>
      </c>
      <c r="O56" s="500">
        <v>0.05</v>
      </c>
      <c r="P56" s="500">
        <v>0.04</v>
      </c>
      <c r="Q56" s="500">
        <f>P56</f>
        <v>0.04</v>
      </c>
      <c r="R56" s="500">
        <f t="shared" si="64"/>
        <v>0.04</v>
      </c>
      <c r="S56" s="500">
        <f t="shared" si="64"/>
        <v>0.04</v>
      </c>
      <c r="T56" s="500">
        <f t="shared" si="64"/>
        <v>0.04</v>
      </c>
      <c r="U56" s="500">
        <f t="shared" si="64"/>
        <v>0.04</v>
      </c>
      <c r="V56" s="500">
        <f t="shared" si="64"/>
        <v>0.04</v>
      </c>
      <c r="W56" s="500">
        <f t="shared" si="64"/>
        <v>0.04</v>
      </c>
      <c r="X56" s="500">
        <f t="shared" si="64"/>
        <v>0.04</v>
      </c>
      <c r="Y56" s="500">
        <v>0.03</v>
      </c>
      <c r="Z56" s="500">
        <f>Y56*0.1</f>
        <v>3.0000000000000001E-3</v>
      </c>
    </row>
    <row r="57" spans="1:28" s="480" customFormat="1" ht="12.75" customHeight="1" outlineLevel="1">
      <c r="A57" s="473"/>
      <c r="B57" s="474" t="s">
        <v>425</v>
      </c>
      <c r="C57" s="474"/>
      <c r="D57" s="475"/>
      <c r="E57" s="474"/>
      <c r="F57" s="474"/>
      <c r="G57" s="474"/>
      <c r="H57" s="474"/>
      <c r="I57" s="474"/>
      <c r="J57" s="497"/>
      <c r="K57" s="497">
        <v>0.05</v>
      </c>
      <c r="L57" s="497">
        <f>K57*1.5</f>
        <v>7.5000000000000011E-2</v>
      </c>
      <c r="M57" s="502">
        <f>L57*0.8</f>
        <v>6.0000000000000012E-2</v>
      </c>
      <c r="N57" s="502">
        <f>M57*0.8</f>
        <v>4.8000000000000015E-2</v>
      </c>
      <c r="O57" s="502">
        <f>N57*0.8</f>
        <v>3.8400000000000017E-2</v>
      </c>
      <c r="P57" s="502">
        <v>0.02</v>
      </c>
      <c r="Q57" s="502">
        <v>0.02</v>
      </c>
      <c r="R57" s="502">
        <v>0.02</v>
      </c>
      <c r="S57" s="502">
        <v>0.02</v>
      </c>
      <c r="T57" s="502">
        <v>0.02</v>
      </c>
      <c r="U57" s="502">
        <v>0.02</v>
      </c>
      <c r="V57" s="502">
        <v>0.02</v>
      </c>
      <c r="W57" s="502">
        <v>0.02</v>
      </c>
      <c r="X57" s="502">
        <v>0.02</v>
      </c>
      <c r="Y57" s="502">
        <v>0.02</v>
      </c>
      <c r="Z57" s="502">
        <f>Y57*0.1</f>
        <v>2E-3</v>
      </c>
    </row>
    <row r="58" spans="1:28">
      <c r="A58" s="484" t="s">
        <v>578</v>
      </c>
      <c r="B58" s="485" t="s">
        <v>560</v>
      </c>
      <c r="C58" s="500">
        <v>2.5000000000000001E-2</v>
      </c>
      <c r="D58" s="500">
        <v>2.5000000000000001E-2</v>
      </c>
      <c r="E58" s="500">
        <v>2.5000000000000001E-2</v>
      </c>
      <c r="F58" s="500">
        <f>E58</f>
        <v>2.5000000000000001E-2</v>
      </c>
      <c r="G58" s="500">
        <f>F58</f>
        <v>2.5000000000000001E-2</v>
      </c>
      <c r="H58" s="500">
        <v>0.05</v>
      </c>
      <c r="I58" s="500">
        <v>0.03</v>
      </c>
      <c r="J58" s="500">
        <v>0.03</v>
      </c>
      <c r="K58" s="503">
        <f t="shared" ref="K58:Z58" si="65">CHOOSE($E$1,K55,K56,K57)</f>
        <v>7.0000000000000007E-2</v>
      </c>
      <c r="L58" s="503">
        <f t="shared" si="65"/>
        <v>0.12</v>
      </c>
      <c r="M58" s="503">
        <f t="shared" si="65"/>
        <v>7.4999999999999997E-2</v>
      </c>
      <c r="N58" s="503">
        <f t="shared" si="65"/>
        <v>0.06</v>
      </c>
      <c r="O58" s="503">
        <f t="shared" si="65"/>
        <v>0.05</v>
      </c>
      <c r="P58" s="503">
        <f t="shared" si="65"/>
        <v>0.04</v>
      </c>
      <c r="Q58" s="503">
        <f t="shared" si="65"/>
        <v>0.04</v>
      </c>
      <c r="R58" s="503">
        <f t="shared" si="65"/>
        <v>0.04</v>
      </c>
      <c r="S58" s="503">
        <f t="shared" si="65"/>
        <v>0.04</v>
      </c>
      <c r="T58" s="503">
        <f t="shared" si="65"/>
        <v>0.04</v>
      </c>
      <c r="U58" s="503">
        <f t="shared" si="65"/>
        <v>0.04</v>
      </c>
      <c r="V58" s="503">
        <f t="shared" si="65"/>
        <v>0.04</v>
      </c>
      <c r="W58" s="503">
        <f t="shared" si="65"/>
        <v>0.04</v>
      </c>
      <c r="X58" s="503">
        <f t="shared" si="65"/>
        <v>0.04</v>
      </c>
      <c r="Y58" s="503">
        <f t="shared" si="65"/>
        <v>0.03</v>
      </c>
      <c r="Z58" s="503">
        <f t="shared" si="65"/>
        <v>3.0000000000000001E-3</v>
      </c>
    </row>
    <row r="59" spans="1:28">
      <c r="A59" s="473"/>
      <c r="B59" s="319" t="s">
        <v>561</v>
      </c>
      <c r="C59" s="505">
        <f>C58*C53</f>
        <v>1.7831950083333332</v>
      </c>
      <c r="D59" s="505">
        <f>D58*D53</f>
        <v>2.1014416666666667</v>
      </c>
      <c r="E59" s="505">
        <f>E58*E53</f>
        <v>2.4083333333333332</v>
      </c>
      <c r="F59" s="505">
        <f t="shared" ref="F59:O59" si="66">F58*F53</f>
        <v>2.7152250000000002</v>
      </c>
      <c r="G59" s="505">
        <f t="shared" si="66"/>
        <v>3.0107616749999999</v>
      </c>
      <c r="H59" s="505">
        <f t="shared" si="66"/>
        <v>6.4017947846025001</v>
      </c>
      <c r="I59" s="505">
        <f t="shared" si="66"/>
        <v>3.8644684894681451</v>
      </c>
      <c r="J59" s="505">
        <f t="shared" si="66"/>
        <v>3.9518709884360783</v>
      </c>
      <c r="K59" s="505">
        <f t="shared" si="66"/>
        <v>9.3609013371603247</v>
      </c>
      <c r="L59" s="505">
        <f t="shared" si="66"/>
        <v>15.495151274672743</v>
      </c>
      <c r="M59" s="505">
        <f t="shared" si="66"/>
        <v>8.8163332010700106</v>
      </c>
      <c r="N59" s="505">
        <f t="shared" si="66"/>
        <v>6.5946465687918083</v>
      </c>
      <c r="O59" s="505">
        <f t="shared" si="66"/>
        <v>5.2069664788869172</v>
      </c>
      <c r="P59" s="505">
        <f>P58*P53</f>
        <v>3.9885761239540569</v>
      </c>
      <c r="Q59" s="505">
        <f t="shared" ref="Q59:Z59" si="67">Q58*Q53</f>
        <v>3.8587505989958943</v>
      </c>
      <c r="R59" s="505">
        <f t="shared" si="67"/>
        <v>3.7326322190360584</v>
      </c>
      <c r="S59" s="505">
        <f t="shared" si="67"/>
        <v>3.6101469920746161</v>
      </c>
      <c r="T59" s="505">
        <f t="shared" si="67"/>
        <v>3.4912201711016313</v>
      </c>
      <c r="U59" s="505">
        <f t="shared" si="67"/>
        <v>3.3757764700320663</v>
      </c>
      <c r="V59" s="505">
        <f t="shared" si="67"/>
        <v>3.2637402617165585</v>
      </c>
      <c r="W59" s="505">
        <f t="shared" si="67"/>
        <v>3.1550357592093823</v>
      </c>
      <c r="X59" s="505">
        <f t="shared" si="67"/>
        <v>3.0495871814044189</v>
      </c>
      <c r="Y59" s="505">
        <f t="shared" si="67"/>
        <v>2.2104891780626121</v>
      </c>
      <c r="Z59" s="505">
        <f t="shared" si="67"/>
        <v>0.21582215897995932</v>
      </c>
    </row>
    <row r="60" spans="1:28">
      <c r="A60" s="473"/>
    </row>
    <row r="61" spans="1:28">
      <c r="A61" s="473"/>
      <c r="B61" s="471" t="s">
        <v>583</v>
      </c>
      <c r="C61" s="471"/>
      <c r="D61" s="472"/>
      <c r="E61" s="471"/>
      <c r="F61" s="471"/>
      <c r="G61" s="471"/>
      <c r="H61" s="471"/>
      <c r="I61" s="471"/>
      <c r="J61" s="471"/>
      <c r="K61" s="471"/>
      <c r="L61" s="471"/>
      <c r="M61" s="471"/>
      <c r="N61" s="471"/>
      <c r="O61" s="471"/>
      <c r="P61" s="471"/>
      <c r="Q61" s="471"/>
      <c r="R61" s="471"/>
      <c r="S61" s="471"/>
      <c r="T61" s="471"/>
      <c r="U61" s="471"/>
      <c r="V61" s="471"/>
      <c r="W61" s="471"/>
      <c r="X61" s="471"/>
      <c r="Y61" s="471"/>
      <c r="Z61" s="471"/>
    </row>
    <row r="62" spans="1:28">
      <c r="A62" s="473"/>
      <c r="B62" s="319" t="s">
        <v>562</v>
      </c>
      <c r="C62" s="505">
        <f t="shared" ref="C62:O62" si="68">C63*C59</f>
        <v>0.35663900166666668</v>
      </c>
      <c r="D62" s="505">
        <f t="shared" si="68"/>
        <v>0.42028833333333337</v>
      </c>
      <c r="E62" s="505">
        <f t="shared" si="68"/>
        <v>0.48166666666666669</v>
      </c>
      <c r="F62" s="505">
        <f t="shared" si="68"/>
        <v>1.0860900000000002</v>
      </c>
      <c r="G62" s="505">
        <f t="shared" si="68"/>
        <v>1.6559189212500001</v>
      </c>
      <c r="H62" s="505">
        <f t="shared" si="68"/>
        <v>3.5209871315313754</v>
      </c>
      <c r="I62" s="505">
        <f t="shared" si="68"/>
        <v>2.898351367101109</v>
      </c>
      <c r="J62" s="505">
        <f t="shared" si="68"/>
        <v>3.3590903401706664</v>
      </c>
      <c r="K62" s="505">
        <f t="shared" si="68"/>
        <v>8.4248112034442926</v>
      </c>
      <c r="L62" s="505">
        <f t="shared" si="68"/>
        <v>13.94563614720547</v>
      </c>
      <c r="M62" s="505">
        <f t="shared" si="68"/>
        <v>7.9346998809630094</v>
      </c>
      <c r="N62" s="505">
        <f t="shared" si="68"/>
        <v>5.9351819119126272</v>
      </c>
      <c r="O62" s="505">
        <f t="shared" si="68"/>
        <v>4.686269830998226</v>
      </c>
      <c r="P62" s="505">
        <f>P63*P59</f>
        <v>3.5897185115586514</v>
      </c>
      <c r="Q62" s="505">
        <f t="shared" ref="Q62:Z62" si="69">Q63*Q59</f>
        <v>3.4728755390963051</v>
      </c>
      <c r="R62" s="505">
        <f t="shared" si="69"/>
        <v>3.3593689971324525</v>
      </c>
      <c r="S62" s="505">
        <f t="shared" si="69"/>
        <v>3.2491322928671544</v>
      </c>
      <c r="T62" s="505">
        <f t="shared" si="69"/>
        <v>3.1420981539914683</v>
      </c>
      <c r="U62" s="505">
        <f t="shared" si="69"/>
        <v>3.0381988230288597</v>
      </c>
      <c r="V62" s="505">
        <f t="shared" si="69"/>
        <v>2.9373662355449026</v>
      </c>
      <c r="W62" s="505">
        <f t="shared" si="69"/>
        <v>2.8395321832884441</v>
      </c>
      <c r="X62" s="505">
        <f t="shared" si="69"/>
        <v>2.744628463263977</v>
      </c>
      <c r="Y62" s="505">
        <f t="shared" si="69"/>
        <v>1.989440260256351</v>
      </c>
      <c r="Z62" s="505">
        <f t="shared" si="69"/>
        <v>0.19423994308196341</v>
      </c>
    </row>
    <row r="63" spans="1:28">
      <c r="A63" s="473"/>
      <c r="B63" s="319" t="s">
        <v>563</v>
      </c>
      <c r="C63" s="469">
        <f>D63</f>
        <v>0.2</v>
      </c>
      <c r="D63" s="469">
        <f>E63</f>
        <v>0.2</v>
      </c>
      <c r="E63" s="469">
        <v>0.2</v>
      </c>
      <c r="F63" s="469">
        <v>0.4</v>
      </c>
      <c r="G63" s="469">
        <v>0.55000000000000004</v>
      </c>
      <c r="H63" s="469">
        <f>G63</f>
        <v>0.55000000000000004</v>
      </c>
      <c r="I63" s="469">
        <v>0.75</v>
      </c>
      <c r="J63" s="469">
        <v>0.85</v>
      </c>
      <c r="K63" s="469">
        <v>0.9</v>
      </c>
      <c r="L63" s="469">
        <f>K63</f>
        <v>0.9</v>
      </c>
      <c r="M63" s="469">
        <f>L63</f>
        <v>0.9</v>
      </c>
      <c r="N63" s="469">
        <f>M63</f>
        <v>0.9</v>
      </c>
      <c r="O63" s="469">
        <f>N63</f>
        <v>0.9</v>
      </c>
      <c r="P63" s="469">
        <f>O63</f>
        <v>0.9</v>
      </c>
      <c r="Q63" s="469">
        <f t="shared" ref="Q63:Z63" si="70">P63</f>
        <v>0.9</v>
      </c>
      <c r="R63" s="469">
        <f t="shared" si="70"/>
        <v>0.9</v>
      </c>
      <c r="S63" s="469">
        <f t="shared" si="70"/>
        <v>0.9</v>
      </c>
      <c r="T63" s="469">
        <f t="shared" si="70"/>
        <v>0.9</v>
      </c>
      <c r="U63" s="469">
        <f t="shared" si="70"/>
        <v>0.9</v>
      </c>
      <c r="V63" s="469">
        <f t="shared" si="70"/>
        <v>0.9</v>
      </c>
      <c r="W63" s="469">
        <f t="shared" si="70"/>
        <v>0.9</v>
      </c>
      <c r="X63" s="469">
        <f t="shared" si="70"/>
        <v>0.9</v>
      </c>
      <c r="Y63" s="469">
        <f t="shared" si="70"/>
        <v>0.9</v>
      </c>
      <c r="Z63" s="469">
        <f t="shared" si="70"/>
        <v>0.9</v>
      </c>
    </row>
    <row r="64" spans="1:28">
      <c r="A64" s="473"/>
    </row>
    <row r="65" spans="1:28">
      <c r="A65" s="473"/>
      <c r="B65" s="319" t="s">
        <v>584</v>
      </c>
      <c r="I65" s="505">
        <f t="shared" ref="I65:O65" si="71">I25*I48*0.1</f>
        <v>0</v>
      </c>
      <c r="J65" s="505">
        <f t="shared" si="71"/>
        <v>0</v>
      </c>
      <c r="K65" s="505">
        <f t="shared" si="71"/>
        <v>3.0800000000000005</v>
      </c>
      <c r="L65" s="505">
        <f t="shared" si="71"/>
        <v>4.7039999999999997</v>
      </c>
      <c r="M65" s="505">
        <f t="shared" si="71"/>
        <v>1.2935999999999996</v>
      </c>
      <c r="N65" s="505">
        <f t="shared" si="71"/>
        <v>0.8231999999999996</v>
      </c>
      <c r="O65" s="505">
        <f t="shared" si="71"/>
        <v>0.78203999999999974</v>
      </c>
      <c r="P65" s="505">
        <f>P25*P48*0.1</f>
        <v>0.74293799999999965</v>
      </c>
      <c r="Q65" s="505">
        <f t="shared" ref="Q65:Z65" si="72">Q25*Q48*0.1</f>
        <v>0.70579109999999967</v>
      </c>
      <c r="R65" s="505">
        <f t="shared" si="72"/>
        <v>0.67050154499999959</v>
      </c>
      <c r="S65" s="505">
        <f t="shared" si="72"/>
        <v>0.63697646774999961</v>
      </c>
      <c r="T65" s="505">
        <f t="shared" si="72"/>
        <v>0.60512764436249966</v>
      </c>
      <c r="U65" s="505">
        <f t="shared" si="72"/>
        <v>0.57487126214437456</v>
      </c>
      <c r="V65" s="505">
        <f t="shared" si="72"/>
        <v>0.54612769903715586</v>
      </c>
      <c r="W65" s="505">
        <f t="shared" si="72"/>
        <v>0.51882131408529808</v>
      </c>
      <c r="X65" s="505">
        <f t="shared" si="72"/>
        <v>0.49288024838103306</v>
      </c>
      <c r="Y65" s="505">
        <f t="shared" si="72"/>
        <v>0.46823623596198138</v>
      </c>
      <c r="Z65" s="505">
        <f t="shared" si="72"/>
        <v>4.4482442416388233E-2</v>
      </c>
    </row>
    <row r="66" spans="1:28">
      <c r="A66" s="473"/>
      <c r="B66" s="319" t="s">
        <v>565</v>
      </c>
      <c r="I66" s="466">
        <f>I59-I65</f>
        <v>3.8644684894681451</v>
      </c>
      <c r="J66" s="466">
        <f t="shared" ref="J66:O66" si="73">J59-J65</f>
        <v>3.9518709884360783</v>
      </c>
      <c r="K66" s="466">
        <f t="shared" si="73"/>
        <v>6.2809013371603246</v>
      </c>
      <c r="L66" s="466">
        <f t="shared" si="73"/>
        <v>10.791151274672742</v>
      </c>
      <c r="M66" s="466">
        <f t="shared" si="73"/>
        <v>7.522733201070011</v>
      </c>
      <c r="N66" s="466">
        <f t="shared" si="73"/>
        <v>5.7714465687918084</v>
      </c>
      <c r="O66" s="466">
        <f t="shared" si="73"/>
        <v>4.4249264788869178</v>
      </c>
      <c r="P66" s="466">
        <f>P59-P65</f>
        <v>3.2456381239540573</v>
      </c>
      <c r="Q66" s="466">
        <f t="shared" ref="Q66:Z66" si="74">Q59-Q65</f>
        <v>3.1529594989958944</v>
      </c>
      <c r="R66" s="466">
        <f t="shared" si="74"/>
        <v>3.0621306740360588</v>
      </c>
      <c r="S66" s="466">
        <f t="shared" si="74"/>
        <v>2.9731705243246163</v>
      </c>
      <c r="T66" s="466">
        <f t="shared" si="74"/>
        <v>2.8860925267391315</v>
      </c>
      <c r="U66" s="466">
        <f t="shared" si="74"/>
        <v>2.8009052078876917</v>
      </c>
      <c r="V66" s="466">
        <f t="shared" si="74"/>
        <v>2.7176125626794025</v>
      </c>
      <c r="W66" s="466">
        <f t="shared" si="74"/>
        <v>2.6362144451240841</v>
      </c>
      <c r="X66" s="466">
        <f t="shared" si="74"/>
        <v>2.5567069330233858</v>
      </c>
      <c r="Y66" s="466">
        <f t="shared" si="74"/>
        <v>1.7422529421006308</v>
      </c>
      <c r="Z66" s="466">
        <f t="shared" si="74"/>
        <v>0.17133971656357108</v>
      </c>
    </row>
    <row r="67" spans="1:28">
      <c r="A67" s="473"/>
      <c r="C67" s="470"/>
      <c r="D67" s="470"/>
      <c r="E67" s="470"/>
      <c r="F67" s="470"/>
      <c r="G67" s="470"/>
      <c r="H67" s="470"/>
      <c r="I67" s="470"/>
      <c r="J67" s="470"/>
      <c r="K67" s="470"/>
      <c r="L67" s="470"/>
      <c r="M67" s="470"/>
      <c r="N67" s="470"/>
      <c r="O67" s="470"/>
      <c r="P67" s="470"/>
    </row>
    <row r="68" spans="1:28">
      <c r="A68" s="473"/>
      <c r="B68" s="494" t="s">
        <v>587</v>
      </c>
      <c r="C68" s="494"/>
      <c r="D68" s="495"/>
      <c r="E68" s="494"/>
      <c r="F68" s="494"/>
      <c r="G68" s="494"/>
      <c r="H68" s="494"/>
      <c r="I68" s="494"/>
      <c r="J68" s="494"/>
      <c r="K68" s="494"/>
      <c r="L68" s="494"/>
      <c r="M68" s="494"/>
      <c r="N68" s="494"/>
      <c r="O68" s="494"/>
      <c r="P68" s="494"/>
      <c r="Q68" s="494"/>
      <c r="R68" s="494"/>
      <c r="S68" s="494"/>
      <c r="T68" s="494"/>
      <c r="U68" s="494"/>
      <c r="V68" s="494"/>
      <c r="W68" s="494"/>
      <c r="X68" s="494"/>
      <c r="Y68" s="494"/>
      <c r="Z68" s="494"/>
    </row>
    <row r="69" spans="1:28">
      <c r="A69" s="484" t="s">
        <v>578</v>
      </c>
      <c r="B69" s="485" t="s">
        <v>541</v>
      </c>
      <c r="C69" s="500"/>
      <c r="D69" s="500"/>
      <c r="E69" s="500"/>
      <c r="F69" s="500"/>
      <c r="G69" s="500"/>
      <c r="H69" s="500"/>
      <c r="I69" s="500"/>
      <c r="J69" s="503">
        <f>J48</f>
        <v>0</v>
      </c>
      <c r="K69" s="503">
        <f t="shared" ref="K69:Z69" si="75">K48</f>
        <v>0.55000000000000004</v>
      </c>
      <c r="L69" s="503">
        <f t="shared" si="75"/>
        <v>0.6</v>
      </c>
      <c r="M69" s="503">
        <f t="shared" si="75"/>
        <v>0.54999999999999993</v>
      </c>
      <c r="N69" s="503">
        <f t="shared" si="75"/>
        <v>0.49999999999999994</v>
      </c>
      <c r="O69" s="503">
        <f t="shared" si="75"/>
        <v>0.49999999999999994</v>
      </c>
      <c r="P69" s="503">
        <f t="shared" si="75"/>
        <v>0.49999999999999994</v>
      </c>
      <c r="Q69" s="503">
        <f>Q48</f>
        <v>0.49999999999999994</v>
      </c>
      <c r="R69" s="503">
        <f t="shared" si="75"/>
        <v>0.49999999999999994</v>
      </c>
      <c r="S69" s="503">
        <f t="shared" si="75"/>
        <v>0.49999999999999994</v>
      </c>
      <c r="T69" s="503">
        <f t="shared" si="75"/>
        <v>0.49999999999999994</v>
      </c>
      <c r="U69" s="503">
        <f t="shared" si="75"/>
        <v>0.49999999999999994</v>
      </c>
      <c r="V69" s="503">
        <f t="shared" si="75"/>
        <v>0.49999999999999994</v>
      </c>
      <c r="W69" s="503">
        <f t="shared" si="75"/>
        <v>0.49999999999999994</v>
      </c>
      <c r="X69" s="503">
        <f t="shared" si="75"/>
        <v>0.49999999999999994</v>
      </c>
      <c r="Y69" s="503">
        <f t="shared" si="75"/>
        <v>0.49999999999999994</v>
      </c>
      <c r="Z69" s="503">
        <f t="shared" si="75"/>
        <v>4.9999999999999996E-2</v>
      </c>
    </row>
    <row r="70" spans="1:28">
      <c r="A70" s="473"/>
      <c r="B70" s="319" t="s">
        <v>68</v>
      </c>
      <c r="C70" s="470">
        <f t="shared" ref="C70:O70" si="76">1-C69</f>
        <v>1</v>
      </c>
      <c r="D70" s="470">
        <f t="shared" si="76"/>
        <v>1</v>
      </c>
      <c r="E70" s="470">
        <f t="shared" si="76"/>
        <v>1</v>
      </c>
      <c r="F70" s="470">
        <f t="shared" si="76"/>
        <v>1</v>
      </c>
      <c r="G70" s="470">
        <f t="shared" si="76"/>
        <v>1</v>
      </c>
      <c r="H70" s="470">
        <f t="shared" si="76"/>
        <v>1</v>
      </c>
      <c r="I70" s="470">
        <f t="shared" si="76"/>
        <v>1</v>
      </c>
      <c r="J70" s="470">
        <f t="shared" si="76"/>
        <v>1</v>
      </c>
      <c r="K70" s="470">
        <f t="shared" si="76"/>
        <v>0.44999999999999996</v>
      </c>
      <c r="L70" s="470">
        <f t="shared" si="76"/>
        <v>0.4</v>
      </c>
      <c r="M70" s="470">
        <f t="shared" si="76"/>
        <v>0.45000000000000007</v>
      </c>
      <c r="N70" s="470">
        <f t="shared" si="76"/>
        <v>0.5</v>
      </c>
      <c r="O70" s="470">
        <f t="shared" si="76"/>
        <v>0.5</v>
      </c>
      <c r="P70" s="470">
        <f>1-P69</f>
        <v>0.5</v>
      </c>
      <c r="Q70" s="470">
        <f t="shared" ref="Q70:Z70" si="77">1-Q69</f>
        <v>0.5</v>
      </c>
      <c r="R70" s="470">
        <f t="shared" si="77"/>
        <v>0.5</v>
      </c>
      <c r="S70" s="470">
        <f t="shared" si="77"/>
        <v>0.5</v>
      </c>
      <c r="T70" s="470">
        <f t="shared" si="77"/>
        <v>0.5</v>
      </c>
      <c r="U70" s="470">
        <f t="shared" si="77"/>
        <v>0.5</v>
      </c>
      <c r="V70" s="470">
        <f t="shared" si="77"/>
        <v>0.5</v>
      </c>
      <c r="W70" s="470">
        <f t="shared" si="77"/>
        <v>0.5</v>
      </c>
      <c r="X70" s="470">
        <f t="shared" si="77"/>
        <v>0.5</v>
      </c>
      <c r="Y70" s="470">
        <f t="shared" si="77"/>
        <v>0.5</v>
      </c>
      <c r="Z70" s="470">
        <f t="shared" si="77"/>
        <v>0.95</v>
      </c>
    </row>
    <row r="71" spans="1:28">
      <c r="A71" s="473"/>
    </row>
    <row r="72" spans="1:28">
      <c r="A72" s="473"/>
      <c r="B72" s="507" t="s">
        <v>588</v>
      </c>
      <c r="C72" s="507"/>
      <c r="D72" s="508"/>
      <c r="E72" s="508"/>
      <c r="F72" s="508"/>
      <c r="G72" s="508"/>
      <c r="H72" s="508"/>
      <c r="I72" s="508"/>
      <c r="J72" s="508"/>
      <c r="K72" s="508"/>
      <c r="L72" s="508"/>
      <c r="M72" s="508"/>
      <c r="N72" s="508"/>
      <c r="O72" s="508"/>
      <c r="P72" s="508"/>
      <c r="Q72" s="508"/>
      <c r="R72" s="508"/>
      <c r="S72" s="508"/>
      <c r="T72" s="508"/>
      <c r="U72" s="508"/>
      <c r="V72" s="508"/>
      <c r="W72" s="508"/>
      <c r="X72" s="508"/>
      <c r="Y72" s="508"/>
      <c r="Z72" s="508"/>
    </row>
    <row r="73" spans="1:28">
      <c r="A73" s="473"/>
    </row>
    <row r="74" spans="1:28" ht="12.75" customHeight="1" outlineLevel="1">
      <c r="B74" s="319" t="s">
        <v>619</v>
      </c>
      <c r="K74" s="509">
        <v>0</v>
      </c>
      <c r="L74" s="509">
        <v>-0.08</v>
      </c>
      <c r="M74" s="509">
        <v>0</v>
      </c>
      <c r="N74" s="509">
        <v>-0.08</v>
      </c>
      <c r="O74" s="509">
        <v>0</v>
      </c>
      <c r="P74" s="509">
        <v>-0.08</v>
      </c>
      <c r="Q74" s="509">
        <v>0</v>
      </c>
      <c r="R74" s="509">
        <v>-0.08</v>
      </c>
      <c r="S74" s="509">
        <v>0</v>
      </c>
      <c r="T74" s="509">
        <v>-0.08</v>
      </c>
      <c r="U74" s="509">
        <v>0</v>
      </c>
      <c r="V74" s="509">
        <v>-0.08</v>
      </c>
      <c r="W74" s="509">
        <v>0</v>
      </c>
      <c r="X74" s="509">
        <v>-0.08</v>
      </c>
      <c r="Y74" s="509">
        <v>0</v>
      </c>
      <c r="Z74" s="509">
        <v>-0.08</v>
      </c>
    </row>
    <row r="75" spans="1:28" ht="12.75" customHeight="1" outlineLevel="1">
      <c r="B75" s="319" t="s">
        <v>611</v>
      </c>
      <c r="K75" s="464">
        <f>673*28</f>
        <v>18844</v>
      </c>
      <c r="L75" s="455">
        <f>K75*(1+L74)</f>
        <v>17336.48</v>
      </c>
      <c r="M75" s="455">
        <f>L75*(1+M74)</f>
        <v>17336.48</v>
      </c>
      <c r="N75" s="455">
        <f>M75*(1+N74)</f>
        <v>15949.561600000001</v>
      </c>
      <c r="O75" s="455">
        <f>N75*(1+O74)</f>
        <v>15949.561600000001</v>
      </c>
      <c r="P75" s="455">
        <f>O75*(1+P74)</f>
        <v>14673.596672000001</v>
      </c>
      <c r="Q75" s="455">
        <f t="shared" ref="Q75:Z75" si="78">P75*(1+Q74)</f>
        <v>14673.596672000001</v>
      </c>
      <c r="R75" s="455">
        <f t="shared" si="78"/>
        <v>13499.708938240003</v>
      </c>
      <c r="S75" s="455">
        <f t="shared" si="78"/>
        <v>13499.708938240003</v>
      </c>
      <c r="T75" s="455">
        <f t="shared" si="78"/>
        <v>12419.732223180803</v>
      </c>
      <c r="U75" s="455">
        <f t="shared" si="78"/>
        <v>12419.732223180803</v>
      </c>
      <c r="V75" s="455">
        <f t="shared" si="78"/>
        <v>11426.15364532634</v>
      </c>
      <c r="W75" s="455">
        <f t="shared" si="78"/>
        <v>11426.15364532634</v>
      </c>
      <c r="X75" s="455">
        <f t="shared" si="78"/>
        <v>10512.061353700234</v>
      </c>
      <c r="Y75" s="455">
        <f t="shared" si="78"/>
        <v>10512.061353700234</v>
      </c>
      <c r="Z75" s="455">
        <f t="shared" si="78"/>
        <v>9671.096445404215</v>
      </c>
    </row>
    <row r="76" spans="1:28" ht="12.75" customHeight="1" outlineLevel="1">
      <c r="B76" s="465" t="s">
        <v>612</v>
      </c>
      <c r="K76" s="455">
        <f t="shared" ref="K76:P76" si="79">K75*2</f>
        <v>37688</v>
      </c>
      <c r="L76" s="455">
        <f t="shared" si="79"/>
        <v>34672.959999999999</v>
      </c>
      <c r="M76" s="455">
        <f t="shared" si="79"/>
        <v>34672.959999999999</v>
      </c>
      <c r="N76" s="455">
        <f t="shared" si="79"/>
        <v>31899.123200000002</v>
      </c>
      <c r="O76" s="455">
        <f t="shared" si="79"/>
        <v>31899.123200000002</v>
      </c>
      <c r="P76" s="455">
        <f t="shared" si="79"/>
        <v>29347.193344000003</v>
      </c>
      <c r="Q76" s="455">
        <f t="shared" ref="Q76:Z76" si="80">Q75*2</f>
        <v>29347.193344000003</v>
      </c>
      <c r="R76" s="455">
        <f t="shared" si="80"/>
        <v>26999.417876480005</v>
      </c>
      <c r="S76" s="455">
        <f t="shared" si="80"/>
        <v>26999.417876480005</v>
      </c>
      <c r="T76" s="455">
        <f t="shared" si="80"/>
        <v>24839.464446361606</v>
      </c>
      <c r="U76" s="455">
        <f t="shared" si="80"/>
        <v>24839.464446361606</v>
      </c>
      <c r="V76" s="455">
        <f t="shared" si="80"/>
        <v>22852.30729065268</v>
      </c>
      <c r="W76" s="455">
        <f t="shared" si="80"/>
        <v>22852.30729065268</v>
      </c>
      <c r="X76" s="455">
        <f t="shared" si="80"/>
        <v>21024.122707400467</v>
      </c>
      <c r="Y76" s="455">
        <f t="shared" si="80"/>
        <v>21024.122707400467</v>
      </c>
      <c r="Z76" s="455">
        <f t="shared" si="80"/>
        <v>19342.19289080843</v>
      </c>
    </row>
    <row r="77" spans="1:28" ht="12.75" customHeight="1" outlineLevel="1">
      <c r="B77" s="465" t="s">
        <v>608</v>
      </c>
      <c r="K77" s="455">
        <f t="shared" ref="K77:P77" si="81">K75*3</f>
        <v>56532</v>
      </c>
      <c r="L77" s="455">
        <f t="shared" si="81"/>
        <v>52009.440000000002</v>
      </c>
      <c r="M77" s="455">
        <f t="shared" si="81"/>
        <v>52009.440000000002</v>
      </c>
      <c r="N77" s="455">
        <f t="shared" si="81"/>
        <v>47848.684800000003</v>
      </c>
      <c r="O77" s="455">
        <f t="shared" si="81"/>
        <v>47848.684800000003</v>
      </c>
      <c r="P77" s="455">
        <f t="shared" si="81"/>
        <v>44020.790016000006</v>
      </c>
      <c r="Q77" s="455">
        <f t="shared" ref="Q77:Z77" si="82">Q75*3</f>
        <v>44020.790016000006</v>
      </c>
      <c r="R77" s="455">
        <f t="shared" si="82"/>
        <v>40499.12681472001</v>
      </c>
      <c r="S77" s="455">
        <f t="shared" si="82"/>
        <v>40499.12681472001</v>
      </c>
      <c r="T77" s="455">
        <f t="shared" si="82"/>
        <v>37259.196669542405</v>
      </c>
      <c r="U77" s="455">
        <f t="shared" si="82"/>
        <v>37259.196669542405</v>
      </c>
      <c r="V77" s="455">
        <f t="shared" si="82"/>
        <v>34278.460935979019</v>
      </c>
      <c r="W77" s="455">
        <f t="shared" si="82"/>
        <v>34278.460935979019</v>
      </c>
      <c r="X77" s="455">
        <f t="shared" si="82"/>
        <v>31536.184061100699</v>
      </c>
      <c r="Y77" s="455">
        <f t="shared" si="82"/>
        <v>31536.184061100699</v>
      </c>
      <c r="Z77" s="455">
        <f t="shared" si="82"/>
        <v>29013.289336212645</v>
      </c>
    </row>
    <row r="78" spans="1:28" ht="12.75" customHeight="1" outlineLevel="1">
      <c r="B78" s="465" t="s">
        <v>615</v>
      </c>
      <c r="K78" s="469">
        <f>'US HCV'!K81</f>
        <v>0.45</v>
      </c>
      <c r="L78" s="469">
        <v>0.65</v>
      </c>
      <c r="M78" s="469">
        <v>0.75</v>
      </c>
      <c r="N78" s="469">
        <v>0.8</v>
      </c>
      <c r="O78" s="469">
        <f>N78</f>
        <v>0.8</v>
      </c>
      <c r="P78" s="469">
        <f t="shared" ref="P78:Z78" si="83">O78</f>
        <v>0.8</v>
      </c>
      <c r="Q78" s="469">
        <f t="shared" si="83"/>
        <v>0.8</v>
      </c>
      <c r="R78" s="469">
        <f t="shared" si="83"/>
        <v>0.8</v>
      </c>
      <c r="S78" s="469">
        <f t="shared" si="83"/>
        <v>0.8</v>
      </c>
      <c r="T78" s="469">
        <f t="shared" si="83"/>
        <v>0.8</v>
      </c>
      <c r="U78" s="469">
        <f t="shared" si="83"/>
        <v>0.8</v>
      </c>
      <c r="V78" s="469">
        <f t="shared" si="83"/>
        <v>0.8</v>
      </c>
      <c r="W78" s="469">
        <f t="shared" si="83"/>
        <v>0.8</v>
      </c>
      <c r="X78" s="469">
        <f t="shared" si="83"/>
        <v>0.8</v>
      </c>
      <c r="Y78" s="469">
        <f t="shared" si="83"/>
        <v>0.8</v>
      </c>
      <c r="Z78" s="469">
        <f t="shared" si="83"/>
        <v>0.8</v>
      </c>
      <c r="AB78" s="319" t="s">
        <v>622</v>
      </c>
    </row>
    <row r="79" spans="1:28" ht="12.75" customHeight="1" outlineLevel="1">
      <c r="B79" s="465" t="s">
        <v>613</v>
      </c>
      <c r="K79" s="469">
        <f t="shared" ref="K79:P79" si="84">1-K78</f>
        <v>0.55000000000000004</v>
      </c>
      <c r="L79" s="469">
        <f t="shared" si="84"/>
        <v>0.35</v>
      </c>
      <c r="M79" s="469">
        <f t="shared" si="84"/>
        <v>0.25</v>
      </c>
      <c r="N79" s="469">
        <f t="shared" si="84"/>
        <v>0.19999999999999996</v>
      </c>
      <c r="O79" s="469">
        <f t="shared" si="84"/>
        <v>0.19999999999999996</v>
      </c>
      <c r="P79" s="469">
        <f t="shared" si="84"/>
        <v>0.19999999999999996</v>
      </c>
      <c r="Q79" s="469">
        <f t="shared" ref="Q79:Z79" si="85">1-Q78</f>
        <v>0.19999999999999996</v>
      </c>
      <c r="R79" s="469">
        <f t="shared" si="85"/>
        <v>0.19999999999999996</v>
      </c>
      <c r="S79" s="469">
        <f t="shared" si="85"/>
        <v>0.19999999999999996</v>
      </c>
      <c r="T79" s="469">
        <f t="shared" si="85"/>
        <v>0.19999999999999996</v>
      </c>
      <c r="U79" s="469">
        <f t="shared" si="85"/>
        <v>0.19999999999999996</v>
      </c>
      <c r="V79" s="469">
        <f t="shared" si="85"/>
        <v>0.19999999999999996</v>
      </c>
      <c r="W79" s="469">
        <f t="shared" si="85"/>
        <v>0.19999999999999996</v>
      </c>
      <c r="X79" s="469">
        <f t="shared" si="85"/>
        <v>0.19999999999999996</v>
      </c>
      <c r="Y79" s="469">
        <f t="shared" si="85"/>
        <v>0.19999999999999996</v>
      </c>
      <c r="Z79" s="469">
        <f t="shared" si="85"/>
        <v>0.19999999999999996</v>
      </c>
    </row>
    <row r="80" spans="1:28" ht="12.75" customHeight="1" outlineLevel="1">
      <c r="B80" s="511" t="s">
        <v>616</v>
      </c>
      <c r="J80" s="455"/>
      <c r="K80" s="455">
        <f t="shared" ref="K80:P80" si="86">K78*K76+K79*K77</f>
        <v>48052.200000000004</v>
      </c>
      <c r="L80" s="455">
        <f t="shared" si="86"/>
        <v>40740.728000000003</v>
      </c>
      <c r="M80" s="455">
        <f t="shared" si="86"/>
        <v>39007.08</v>
      </c>
      <c r="N80" s="455">
        <f t="shared" si="86"/>
        <v>35089.035520000005</v>
      </c>
      <c r="O80" s="455">
        <f t="shared" si="86"/>
        <v>35089.035520000005</v>
      </c>
      <c r="P80" s="455">
        <f t="shared" si="86"/>
        <v>32281.912678400004</v>
      </c>
      <c r="Q80" s="455">
        <f t="shared" ref="Q80:Z80" si="87">Q78*Q76+Q79*Q77</f>
        <v>32281.912678400004</v>
      </c>
      <c r="R80" s="455">
        <f t="shared" si="87"/>
        <v>29699.359664128006</v>
      </c>
      <c r="S80" s="455">
        <f t="shared" si="87"/>
        <v>29699.359664128006</v>
      </c>
      <c r="T80" s="455">
        <f t="shared" si="87"/>
        <v>27323.410890997766</v>
      </c>
      <c r="U80" s="455">
        <f t="shared" si="87"/>
        <v>27323.410890997766</v>
      </c>
      <c r="V80" s="455">
        <f t="shared" si="87"/>
        <v>25137.538019717947</v>
      </c>
      <c r="W80" s="455">
        <f t="shared" si="87"/>
        <v>25137.538019717947</v>
      </c>
      <c r="X80" s="455">
        <f t="shared" si="87"/>
        <v>23126.534978140517</v>
      </c>
      <c r="Y80" s="455">
        <f t="shared" si="87"/>
        <v>23126.534978140517</v>
      </c>
      <c r="Z80" s="455">
        <f t="shared" si="87"/>
        <v>21276.412179889274</v>
      </c>
    </row>
    <row r="81" spans="1:28" ht="12.75" customHeight="1" outlineLevel="1">
      <c r="B81" s="511"/>
      <c r="K81" s="466"/>
      <c r="L81" s="466"/>
      <c r="M81" s="466"/>
      <c r="N81" s="466"/>
      <c r="O81" s="466"/>
      <c r="P81" s="466"/>
    </row>
    <row r="82" spans="1:28" ht="12.75" customHeight="1" outlineLevel="1">
      <c r="B82" s="319" t="s">
        <v>609</v>
      </c>
      <c r="J82" s="464">
        <f>516*28</f>
        <v>14448</v>
      </c>
      <c r="K82" s="455">
        <f t="shared" ref="K82:P82" si="88">J82*(1+K74)</f>
        <v>14448</v>
      </c>
      <c r="L82" s="455">
        <f t="shared" si="88"/>
        <v>13292.16</v>
      </c>
      <c r="M82" s="455">
        <f t="shared" si="88"/>
        <v>13292.16</v>
      </c>
      <c r="N82" s="455">
        <f t="shared" si="88"/>
        <v>12228.787200000001</v>
      </c>
      <c r="O82" s="455">
        <f t="shared" si="88"/>
        <v>12228.787200000001</v>
      </c>
      <c r="P82" s="455">
        <f t="shared" si="88"/>
        <v>11250.484224000002</v>
      </c>
      <c r="Q82" s="455">
        <f t="shared" ref="Q82:Z82" si="89">P82*(1+Q74)</f>
        <v>11250.484224000002</v>
      </c>
      <c r="R82" s="455">
        <f t="shared" si="89"/>
        <v>10350.445486080002</v>
      </c>
      <c r="S82" s="455">
        <f t="shared" si="89"/>
        <v>10350.445486080002</v>
      </c>
      <c r="T82" s="455">
        <f t="shared" si="89"/>
        <v>9522.4098471936013</v>
      </c>
      <c r="U82" s="455">
        <f t="shared" si="89"/>
        <v>9522.4098471936013</v>
      </c>
      <c r="V82" s="455">
        <f t="shared" si="89"/>
        <v>8760.6170594181131</v>
      </c>
      <c r="W82" s="455">
        <f t="shared" si="89"/>
        <v>8760.6170594181131</v>
      </c>
      <c r="X82" s="455">
        <f t="shared" si="89"/>
        <v>8059.7676946646643</v>
      </c>
      <c r="Y82" s="455">
        <f t="shared" si="89"/>
        <v>8059.7676946646643</v>
      </c>
      <c r="Z82" s="455">
        <f t="shared" si="89"/>
        <v>7414.9862790914913</v>
      </c>
    </row>
    <row r="83" spans="1:28" ht="12.75" customHeight="1" outlineLevel="1">
      <c r="B83" s="465" t="s">
        <v>608</v>
      </c>
      <c r="J83" s="455">
        <f>J82*3</f>
        <v>43344</v>
      </c>
      <c r="K83" s="455">
        <f t="shared" ref="K83:P83" si="90">K82*3</f>
        <v>43344</v>
      </c>
      <c r="L83" s="455">
        <f t="shared" si="90"/>
        <v>39876.479999999996</v>
      </c>
      <c r="M83" s="455">
        <f t="shared" si="90"/>
        <v>39876.479999999996</v>
      </c>
      <c r="N83" s="455">
        <f t="shared" si="90"/>
        <v>36686.361600000004</v>
      </c>
      <c r="O83" s="455">
        <f t="shared" si="90"/>
        <v>36686.361600000004</v>
      </c>
      <c r="P83" s="455">
        <f t="shared" si="90"/>
        <v>33751.452672000007</v>
      </c>
      <c r="Q83" s="455">
        <f t="shared" ref="Q83:Z83" si="91">Q82*3</f>
        <v>33751.452672000007</v>
      </c>
      <c r="R83" s="455">
        <f t="shared" si="91"/>
        <v>31051.336458240003</v>
      </c>
      <c r="S83" s="455">
        <f t="shared" si="91"/>
        <v>31051.336458240003</v>
      </c>
      <c r="T83" s="455">
        <f t="shared" si="91"/>
        <v>28567.229541580804</v>
      </c>
      <c r="U83" s="455">
        <f t="shared" si="91"/>
        <v>28567.229541580804</v>
      </c>
      <c r="V83" s="455">
        <f t="shared" si="91"/>
        <v>26281.851178254339</v>
      </c>
      <c r="W83" s="455">
        <f t="shared" si="91"/>
        <v>26281.851178254339</v>
      </c>
      <c r="X83" s="455">
        <f t="shared" si="91"/>
        <v>24179.303083993993</v>
      </c>
      <c r="Y83" s="455">
        <f t="shared" si="91"/>
        <v>24179.303083993993</v>
      </c>
      <c r="Z83" s="455">
        <f t="shared" si="91"/>
        <v>22244.958837274473</v>
      </c>
    </row>
    <row r="84" spans="1:28" ht="12.75" customHeight="1" outlineLevel="1">
      <c r="B84" s="465" t="s">
        <v>610</v>
      </c>
      <c r="J84" s="455">
        <f>J82*6</f>
        <v>86688</v>
      </c>
      <c r="K84" s="455">
        <f t="shared" ref="K84:P84" si="92">K82*6</f>
        <v>86688</v>
      </c>
      <c r="L84" s="455">
        <f t="shared" si="92"/>
        <v>79752.959999999992</v>
      </c>
      <c r="M84" s="455">
        <f t="shared" si="92"/>
        <v>79752.959999999992</v>
      </c>
      <c r="N84" s="455">
        <f t="shared" si="92"/>
        <v>73372.723200000008</v>
      </c>
      <c r="O84" s="455">
        <f t="shared" si="92"/>
        <v>73372.723200000008</v>
      </c>
      <c r="P84" s="455">
        <f t="shared" si="92"/>
        <v>67502.905344000013</v>
      </c>
      <c r="Q84" s="455">
        <f t="shared" ref="Q84:Z84" si="93">Q82*6</f>
        <v>67502.905344000013</v>
      </c>
      <c r="R84" s="455">
        <f t="shared" si="93"/>
        <v>62102.672916480005</v>
      </c>
      <c r="S84" s="455">
        <f t="shared" si="93"/>
        <v>62102.672916480005</v>
      </c>
      <c r="T84" s="455">
        <f t="shared" si="93"/>
        <v>57134.459083161608</v>
      </c>
      <c r="U84" s="455">
        <f t="shared" si="93"/>
        <v>57134.459083161608</v>
      </c>
      <c r="V84" s="455">
        <f t="shared" si="93"/>
        <v>52563.702356508678</v>
      </c>
      <c r="W84" s="455">
        <f t="shared" si="93"/>
        <v>52563.702356508678</v>
      </c>
      <c r="X84" s="455">
        <f t="shared" si="93"/>
        <v>48358.606167987986</v>
      </c>
      <c r="Y84" s="455">
        <f t="shared" si="93"/>
        <v>48358.606167987986</v>
      </c>
      <c r="Z84" s="455">
        <f t="shared" si="93"/>
        <v>44489.917674548946</v>
      </c>
    </row>
    <row r="85" spans="1:28" ht="12.75" customHeight="1" outlineLevel="1">
      <c r="B85" s="465" t="s">
        <v>613</v>
      </c>
      <c r="J85" s="469">
        <f>'US HCV'!J89</f>
        <v>0.8</v>
      </c>
      <c r="K85" s="469">
        <f>'US HCV'!K89</f>
        <v>0.8</v>
      </c>
      <c r="L85" s="469">
        <f>'US HCV'!L89</f>
        <v>0.85</v>
      </c>
      <c r="M85" s="469">
        <f>'US HCV'!M89</f>
        <v>0.95</v>
      </c>
      <c r="N85" s="469">
        <f>'US HCV'!N89</f>
        <v>0.95</v>
      </c>
      <c r="O85" s="469">
        <f>'US HCV'!O89</f>
        <v>0.95</v>
      </c>
      <c r="P85" s="469">
        <f>'US HCV'!P89</f>
        <v>0.95</v>
      </c>
      <c r="Q85" s="469">
        <f>'US HCV'!Q89</f>
        <v>0.95</v>
      </c>
      <c r="R85" s="469">
        <f>'US HCV'!R89</f>
        <v>0.95</v>
      </c>
      <c r="S85" s="469">
        <f>'US HCV'!S89</f>
        <v>0.95</v>
      </c>
      <c r="T85" s="469">
        <f>'US HCV'!T89</f>
        <v>0.95</v>
      </c>
      <c r="U85" s="469">
        <f>'US HCV'!U89</f>
        <v>0.95</v>
      </c>
      <c r="V85" s="469">
        <f>'US HCV'!V89</f>
        <v>0.95</v>
      </c>
      <c r="W85" s="469">
        <f>'US HCV'!W89</f>
        <v>0.95</v>
      </c>
      <c r="X85" s="469">
        <f>'US HCV'!X89</f>
        <v>0.95</v>
      </c>
      <c r="Y85" s="469">
        <f>'US HCV'!Y89</f>
        <v>0.95</v>
      </c>
      <c r="Z85" s="469">
        <f>'US HCV'!Z89</f>
        <v>0.95</v>
      </c>
      <c r="AA85" s="469"/>
    </row>
    <row r="86" spans="1:28" ht="12.75" customHeight="1" outlineLevel="1">
      <c r="B86" s="465" t="s">
        <v>614</v>
      </c>
      <c r="J86" s="469">
        <f>1-J85</f>
        <v>0.19999999999999996</v>
      </c>
      <c r="K86" s="469">
        <f t="shared" ref="K86:Z86" si="94">1-K85</f>
        <v>0.19999999999999996</v>
      </c>
      <c r="L86" s="469">
        <f t="shared" si="94"/>
        <v>0.15000000000000002</v>
      </c>
      <c r="M86" s="469">
        <f t="shared" si="94"/>
        <v>5.0000000000000044E-2</v>
      </c>
      <c r="N86" s="469">
        <f t="shared" si="94"/>
        <v>5.0000000000000044E-2</v>
      </c>
      <c r="O86" s="469">
        <f t="shared" si="94"/>
        <v>5.0000000000000044E-2</v>
      </c>
      <c r="P86" s="469">
        <f t="shared" si="94"/>
        <v>5.0000000000000044E-2</v>
      </c>
      <c r="Q86" s="469">
        <f t="shared" si="94"/>
        <v>5.0000000000000044E-2</v>
      </c>
      <c r="R86" s="469">
        <f t="shared" si="94"/>
        <v>5.0000000000000044E-2</v>
      </c>
      <c r="S86" s="469">
        <f t="shared" si="94"/>
        <v>5.0000000000000044E-2</v>
      </c>
      <c r="T86" s="469">
        <f t="shared" si="94"/>
        <v>5.0000000000000044E-2</v>
      </c>
      <c r="U86" s="469">
        <f t="shared" si="94"/>
        <v>5.0000000000000044E-2</v>
      </c>
      <c r="V86" s="469">
        <f t="shared" si="94"/>
        <v>5.0000000000000044E-2</v>
      </c>
      <c r="W86" s="469">
        <f t="shared" si="94"/>
        <v>5.0000000000000044E-2</v>
      </c>
      <c r="X86" s="469">
        <f t="shared" si="94"/>
        <v>5.0000000000000044E-2</v>
      </c>
      <c r="Y86" s="469">
        <f t="shared" si="94"/>
        <v>5.0000000000000044E-2</v>
      </c>
      <c r="Z86" s="469">
        <f t="shared" si="94"/>
        <v>5.0000000000000044E-2</v>
      </c>
    </row>
    <row r="87" spans="1:28" ht="12.75" customHeight="1" outlineLevel="1">
      <c r="B87" s="319" t="s">
        <v>617</v>
      </c>
      <c r="J87" s="455">
        <f>J83*J85+J84*J86</f>
        <v>52012.800000000003</v>
      </c>
      <c r="K87" s="455">
        <f t="shared" ref="K87:Z87" si="95">K83*K85+K84*K86</f>
        <v>52012.800000000003</v>
      </c>
      <c r="L87" s="455">
        <f t="shared" si="95"/>
        <v>45857.951999999997</v>
      </c>
      <c r="M87" s="455">
        <f t="shared" si="95"/>
        <v>41870.303999999996</v>
      </c>
      <c r="N87" s="455">
        <f t="shared" si="95"/>
        <v>38520.679680000001</v>
      </c>
      <c r="O87" s="455">
        <f t="shared" si="95"/>
        <v>38520.679680000001</v>
      </c>
      <c r="P87" s="455">
        <f t="shared" si="95"/>
        <v>35439.025305600007</v>
      </c>
      <c r="Q87" s="455">
        <f t="shared" si="95"/>
        <v>35439.025305600007</v>
      </c>
      <c r="R87" s="455">
        <f t="shared" si="95"/>
        <v>32603.903281152005</v>
      </c>
      <c r="S87" s="455">
        <f t="shared" si="95"/>
        <v>32603.903281152005</v>
      </c>
      <c r="T87" s="455">
        <f t="shared" si="95"/>
        <v>29995.591018659845</v>
      </c>
      <c r="U87" s="455">
        <f t="shared" si="95"/>
        <v>29995.591018659845</v>
      </c>
      <c r="V87" s="455">
        <f t="shared" si="95"/>
        <v>27595.943737167057</v>
      </c>
      <c r="W87" s="455">
        <f t="shared" si="95"/>
        <v>27595.943737167057</v>
      </c>
      <c r="X87" s="455">
        <f t="shared" si="95"/>
        <v>25388.268238193694</v>
      </c>
      <c r="Y87" s="455">
        <f t="shared" si="95"/>
        <v>25388.268238193694</v>
      </c>
      <c r="Z87" s="455">
        <f t="shared" si="95"/>
        <v>23357.2067791382</v>
      </c>
    </row>
    <row r="88" spans="1:28" ht="12.75" customHeight="1" outlineLevel="1"/>
    <row r="89" spans="1:28" ht="12.75" customHeight="1" outlineLevel="1">
      <c r="B89" s="319" t="s">
        <v>620</v>
      </c>
      <c r="J89" s="519">
        <v>0</v>
      </c>
      <c r="K89" s="519">
        <v>0.4</v>
      </c>
      <c r="L89" s="519">
        <v>0.75</v>
      </c>
      <c r="M89" s="519">
        <v>0.9</v>
      </c>
      <c r="N89" s="469">
        <f>M89</f>
        <v>0.9</v>
      </c>
      <c r="O89" s="469">
        <f>N89</f>
        <v>0.9</v>
      </c>
      <c r="P89" s="469">
        <f>O89</f>
        <v>0.9</v>
      </c>
      <c r="Q89" s="469">
        <f t="shared" ref="Q89:Z89" si="96">P89</f>
        <v>0.9</v>
      </c>
      <c r="R89" s="469">
        <f t="shared" si="96"/>
        <v>0.9</v>
      </c>
      <c r="S89" s="469">
        <f t="shared" si="96"/>
        <v>0.9</v>
      </c>
      <c r="T89" s="469">
        <f t="shared" si="96"/>
        <v>0.9</v>
      </c>
      <c r="U89" s="469">
        <f t="shared" si="96"/>
        <v>0.9</v>
      </c>
      <c r="V89" s="469">
        <f t="shared" si="96"/>
        <v>0.9</v>
      </c>
      <c r="W89" s="469">
        <f t="shared" si="96"/>
        <v>0.9</v>
      </c>
      <c r="X89" s="469">
        <f t="shared" si="96"/>
        <v>0.9</v>
      </c>
      <c r="Y89" s="469">
        <f t="shared" si="96"/>
        <v>0.9</v>
      </c>
      <c r="Z89" s="469">
        <f t="shared" si="96"/>
        <v>0.9</v>
      </c>
      <c r="AB89" s="319" t="s">
        <v>621</v>
      </c>
    </row>
    <row r="90" spans="1:28" ht="12.75" customHeight="1" outlineLevel="1">
      <c r="B90" s="319" t="s">
        <v>494</v>
      </c>
      <c r="J90" s="469">
        <f>'EU HCV'!J92</f>
        <v>0.95</v>
      </c>
      <c r="K90" s="469">
        <f>'EU HCV'!K92</f>
        <v>0.95</v>
      </c>
      <c r="L90" s="469">
        <f>'EU HCV'!L92</f>
        <v>0.92999999999999994</v>
      </c>
      <c r="M90" s="469">
        <f>'EU HCV'!M92</f>
        <v>0.92069999999999996</v>
      </c>
      <c r="N90" s="469">
        <f>'EU HCV'!N92</f>
        <v>0.911493</v>
      </c>
      <c r="O90" s="469">
        <f>'EU HCV'!O92</f>
        <v>0.90237807000000003</v>
      </c>
      <c r="P90" s="469">
        <f>'EU HCV'!P92</f>
        <v>0.90237807000000003</v>
      </c>
      <c r="Q90" s="469">
        <f>'EU HCV'!Q92</f>
        <v>0.90237807000000003</v>
      </c>
      <c r="R90" s="469">
        <f>'EU HCV'!R92</f>
        <v>0.90237807000000003</v>
      </c>
      <c r="S90" s="469">
        <f>'EU HCV'!S92</f>
        <v>0.90237807000000003</v>
      </c>
      <c r="T90" s="469">
        <f>'EU HCV'!T92</f>
        <v>0.90237807000000003</v>
      </c>
      <c r="U90" s="469">
        <f>'EU HCV'!U92</f>
        <v>0.90237807000000003</v>
      </c>
      <c r="V90" s="469">
        <f>'EU HCV'!V92</f>
        <v>0.90237807000000003</v>
      </c>
      <c r="W90" s="469">
        <f>'EU HCV'!W92</f>
        <v>0.90237807000000003</v>
      </c>
      <c r="X90" s="469">
        <f>'EU HCV'!X92</f>
        <v>0.90237807000000003</v>
      </c>
      <c r="Y90" s="469">
        <f>'EU HCV'!Y92</f>
        <v>0.90237807000000003</v>
      </c>
      <c r="Z90" s="469">
        <f>'EU HCV'!Z92</f>
        <v>0.90237807000000003</v>
      </c>
    </row>
    <row r="91" spans="1:28" ht="12.75" customHeight="1" outlineLevel="1">
      <c r="B91" s="319" t="s">
        <v>618</v>
      </c>
      <c r="J91" s="469">
        <f>'EU HCV'!J93</f>
        <v>0.9</v>
      </c>
      <c r="K91" s="469">
        <f>'EU HCV'!K93</f>
        <v>0.9</v>
      </c>
      <c r="L91" s="469">
        <f>'EU HCV'!L93</f>
        <v>0.9</v>
      </c>
      <c r="M91" s="469">
        <f>'EU HCV'!M93</f>
        <v>0.9</v>
      </c>
      <c r="N91" s="469">
        <f>'EU HCV'!N93</f>
        <v>0.9</v>
      </c>
      <c r="O91" s="469">
        <f>'EU HCV'!O93</f>
        <v>0.9</v>
      </c>
      <c r="P91" s="469">
        <f>'EU HCV'!P93</f>
        <v>0.9</v>
      </c>
      <c r="Q91" s="469">
        <f>'EU HCV'!Q93</f>
        <v>0.9</v>
      </c>
      <c r="R91" s="469">
        <f>'EU HCV'!R93</f>
        <v>0.9</v>
      </c>
      <c r="S91" s="469">
        <f>'EU HCV'!S93</f>
        <v>0.9</v>
      </c>
      <c r="T91" s="469">
        <f>'EU HCV'!T93</f>
        <v>0.9</v>
      </c>
      <c r="U91" s="469">
        <f>'EU HCV'!U93</f>
        <v>0.9</v>
      </c>
      <c r="V91" s="469">
        <f>'EU HCV'!V93</f>
        <v>0.9</v>
      </c>
      <c r="W91" s="469">
        <f>'EU HCV'!W93</f>
        <v>0.9</v>
      </c>
      <c r="X91" s="469">
        <f>'EU HCV'!X93</f>
        <v>0.9</v>
      </c>
      <c r="Y91" s="469">
        <f>'EU HCV'!Y93</f>
        <v>0.9</v>
      </c>
      <c r="Z91" s="469">
        <f>'EU HCV'!Z93</f>
        <v>0.9</v>
      </c>
    </row>
    <row r="92" spans="1:28" ht="12.75" customHeight="1" outlineLevel="1"/>
    <row r="93" spans="1:28" ht="12.75" customHeight="1" outlineLevel="1">
      <c r="B93" s="465" t="s">
        <v>566</v>
      </c>
      <c r="J93" s="512">
        <f t="shared" ref="J93:P93" si="97">J89*J90*J91*J80+(1-J89)*J90*J91*J87</f>
        <v>44470.944000000003</v>
      </c>
      <c r="K93" s="512">
        <f t="shared" si="97"/>
        <v>43116.418800000007</v>
      </c>
      <c r="L93" s="512">
        <f t="shared" si="97"/>
        <v>35170.768458000006</v>
      </c>
      <c r="M93" s="512">
        <f t="shared" si="97"/>
        <v>32559.692030711998</v>
      </c>
      <c r="N93" s="512">
        <f t="shared" si="97"/>
        <v>29066.581994638007</v>
      </c>
      <c r="O93" s="512">
        <f t="shared" si="97"/>
        <v>28775.916174691629</v>
      </c>
      <c r="P93" s="512">
        <f t="shared" si="97"/>
        <v>26473.8428807163</v>
      </c>
      <c r="Q93" s="512">
        <f t="shared" ref="Q93:Z93" si="98">Q89*Q90*Q91*Q80+(1-Q89)*Q90*Q91*Q87</f>
        <v>26473.8428807163</v>
      </c>
      <c r="R93" s="512">
        <f t="shared" si="98"/>
        <v>24355.935450258999</v>
      </c>
      <c r="S93" s="512">
        <f t="shared" si="98"/>
        <v>24355.935450258999</v>
      </c>
      <c r="T93" s="512">
        <f t="shared" si="98"/>
        <v>22407.460614238276</v>
      </c>
      <c r="U93" s="512">
        <f t="shared" si="98"/>
        <v>22407.460614238276</v>
      </c>
      <c r="V93" s="512">
        <f t="shared" si="98"/>
        <v>20614.863765099217</v>
      </c>
      <c r="W93" s="512">
        <f t="shared" si="98"/>
        <v>20614.863765099217</v>
      </c>
      <c r="X93" s="512">
        <f t="shared" si="98"/>
        <v>18965.674663891285</v>
      </c>
      <c r="Y93" s="512">
        <f t="shared" si="98"/>
        <v>18965.674663891285</v>
      </c>
      <c r="Z93" s="512">
        <f t="shared" si="98"/>
        <v>17448.420690779982</v>
      </c>
    </row>
    <row r="94" spans="1:28" s="480" customFormat="1" ht="12.75" customHeight="1" outlineLevel="2">
      <c r="A94" s="473"/>
      <c r="B94" s="474" t="s">
        <v>423</v>
      </c>
      <c r="C94" s="474"/>
      <c r="D94" s="475"/>
      <c r="E94" s="474"/>
      <c r="F94" s="474"/>
      <c r="G94" s="474"/>
      <c r="H94" s="474"/>
      <c r="I94" s="474"/>
      <c r="J94" s="497">
        <f>J95</f>
        <v>1</v>
      </c>
      <c r="K94" s="499">
        <f t="shared" ref="K94:P94" si="99">J94</f>
        <v>1</v>
      </c>
      <c r="L94" s="499">
        <f>L95</f>
        <v>-0.1</v>
      </c>
      <c r="M94" s="499">
        <f>M95</f>
        <v>-0.2</v>
      </c>
      <c r="N94" s="499">
        <f t="shared" si="99"/>
        <v>-0.2</v>
      </c>
      <c r="O94" s="499">
        <f t="shared" si="99"/>
        <v>-0.2</v>
      </c>
      <c r="P94" s="499">
        <f t="shared" si="99"/>
        <v>-0.2</v>
      </c>
      <c r="Q94" s="499">
        <f t="shared" ref="Q94:Z94" si="100">P94</f>
        <v>-0.2</v>
      </c>
      <c r="R94" s="499">
        <f t="shared" si="100"/>
        <v>-0.2</v>
      </c>
      <c r="S94" s="499">
        <f t="shared" si="100"/>
        <v>-0.2</v>
      </c>
      <c r="T94" s="499">
        <f t="shared" si="100"/>
        <v>-0.2</v>
      </c>
      <c r="U94" s="499">
        <f t="shared" si="100"/>
        <v>-0.2</v>
      </c>
      <c r="V94" s="499">
        <f t="shared" si="100"/>
        <v>-0.2</v>
      </c>
      <c r="W94" s="499">
        <f t="shared" si="100"/>
        <v>-0.2</v>
      </c>
      <c r="X94" s="499">
        <f t="shared" si="100"/>
        <v>-0.2</v>
      </c>
      <c r="Y94" s="499">
        <f t="shared" si="100"/>
        <v>-0.2</v>
      </c>
      <c r="Z94" s="499">
        <f t="shared" si="100"/>
        <v>-0.2</v>
      </c>
    </row>
    <row r="95" spans="1:28" s="480" customFormat="1" ht="12.75" customHeight="1" outlineLevel="2">
      <c r="A95" s="473"/>
      <c r="B95" s="474" t="s">
        <v>424</v>
      </c>
      <c r="C95" s="474"/>
      <c r="D95" s="481"/>
      <c r="E95" s="481"/>
      <c r="F95" s="481"/>
      <c r="G95" s="481"/>
      <c r="H95" s="481"/>
      <c r="I95" s="481"/>
      <c r="J95" s="500">
        <v>1</v>
      </c>
      <c r="K95" s="500">
        <f t="shared" ref="K95:P96" si="101">J95</f>
        <v>1</v>
      </c>
      <c r="L95" s="500">
        <v>-0.1</v>
      </c>
      <c r="M95" s="500">
        <v>-0.2</v>
      </c>
      <c r="N95" s="500">
        <f t="shared" si="101"/>
        <v>-0.2</v>
      </c>
      <c r="O95" s="500">
        <f t="shared" si="101"/>
        <v>-0.2</v>
      </c>
      <c r="P95" s="500">
        <f t="shared" si="101"/>
        <v>-0.2</v>
      </c>
      <c r="Q95" s="500">
        <f t="shared" ref="Q95:Z95" si="102">P95</f>
        <v>-0.2</v>
      </c>
      <c r="R95" s="500">
        <f t="shared" si="102"/>
        <v>-0.2</v>
      </c>
      <c r="S95" s="500">
        <f t="shared" si="102"/>
        <v>-0.2</v>
      </c>
      <c r="T95" s="500">
        <f t="shared" si="102"/>
        <v>-0.2</v>
      </c>
      <c r="U95" s="500">
        <f t="shared" si="102"/>
        <v>-0.2</v>
      </c>
      <c r="V95" s="500">
        <f t="shared" si="102"/>
        <v>-0.2</v>
      </c>
      <c r="W95" s="500">
        <f t="shared" si="102"/>
        <v>-0.2</v>
      </c>
      <c r="X95" s="500">
        <f t="shared" si="102"/>
        <v>-0.2</v>
      </c>
      <c r="Y95" s="500">
        <f t="shared" si="102"/>
        <v>-0.2</v>
      </c>
      <c r="Z95" s="500">
        <f t="shared" si="102"/>
        <v>-0.2</v>
      </c>
    </row>
    <row r="96" spans="1:28" s="480" customFormat="1" ht="12.75" customHeight="1" outlineLevel="2">
      <c r="A96" s="473"/>
      <c r="B96" s="474" t="s">
        <v>425</v>
      </c>
      <c r="C96" s="474"/>
      <c r="D96" s="475"/>
      <c r="E96" s="474"/>
      <c r="F96" s="474"/>
      <c r="G96" s="474"/>
      <c r="H96" s="474"/>
      <c r="I96" s="474"/>
      <c r="J96" s="497">
        <f>J95</f>
        <v>1</v>
      </c>
      <c r="K96" s="497">
        <f>K95</f>
        <v>1</v>
      </c>
      <c r="L96" s="502">
        <v>-0.25</v>
      </c>
      <c r="M96" s="502">
        <v>-0.3</v>
      </c>
      <c r="N96" s="502">
        <f t="shared" si="101"/>
        <v>-0.3</v>
      </c>
      <c r="O96" s="502">
        <f t="shared" si="101"/>
        <v>-0.3</v>
      </c>
      <c r="P96" s="502">
        <v>-0.3</v>
      </c>
      <c r="Q96" s="502">
        <f t="shared" ref="Q96:Z96" si="103">P96</f>
        <v>-0.3</v>
      </c>
      <c r="R96" s="502">
        <f t="shared" si="103"/>
        <v>-0.3</v>
      </c>
      <c r="S96" s="502">
        <f t="shared" si="103"/>
        <v>-0.3</v>
      </c>
      <c r="T96" s="502">
        <f t="shared" si="103"/>
        <v>-0.3</v>
      </c>
      <c r="U96" s="502">
        <f t="shared" si="103"/>
        <v>-0.3</v>
      </c>
      <c r="V96" s="502">
        <f t="shared" si="103"/>
        <v>-0.3</v>
      </c>
      <c r="W96" s="502">
        <f t="shared" si="103"/>
        <v>-0.3</v>
      </c>
      <c r="X96" s="502">
        <f t="shared" si="103"/>
        <v>-0.3</v>
      </c>
      <c r="Y96" s="502">
        <f t="shared" si="103"/>
        <v>-0.3</v>
      </c>
      <c r="Z96" s="502">
        <f t="shared" si="103"/>
        <v>-0.3</v>
      </c>
    </row>
    <row r="97" spans="1:28" ht="12.75" customHeight="1" outlineLevel="1">
      <c r="A97" s="484" t="s">
        <v>578</v>
      </c>
      <c r="B97" s="485" t="s">
        <v>623</v>
      </c>
      <c r="C97" s="485"/>
      <c r="D97" s="485"/>
      <c r="E97" s="485"/>
      <c r="F97" s="485"/>
      <c r="G97" s="485"/>
      <c r="H97" s="485"/>
      <c r="I97" s="485"/>
      <c r="J97" s="503">
        <f>CHOOSE($E$1,J94,J95,J96)</f>
        <v>1</v>
      </c>
      <c r="K97" s="503">
        <f t="shared" ref="K97:Z97" si="104">CHOOSE($E$1,K94,K95,K96)</f>
        <v>1</v>
      </c>
      <c r="L97" s="503">
        <f t="shared" si="104"/>
        <v>-0.1</v>
      </c>
      <c r="M97" s="503">
        <f t="shared" si="104"/>
        <v>-0.2</v>
      </c>
      <c r="N97" s="503">
        <f t="shared" si="104"/>
        <v>-0.2</v>
      </c>
      <c r="O97" s="503">
        <f t="shared" si="104"/>
        <v>-0.2</v>
      </c>
      <c r="P97" s="503">
        <f t="shared" si="104"/>
        <v>-0.2</v>
      </c>
      <c r="Q97" s="503">
        <f t="shared" si="104"/>
        <v>-0.2</v>
      </c>
      <c r="R97" s="503">
        <f t="shared" si="104"/>
        <v>-0.2</v>
      </c>
      <c r="S97" s="503">
        <f t="shared" si="104"/>
        <v>-0.2</v>
      </c>
      <c r="T97" s="503">
        <f t="shared" si="104"/>
        <v>-0.2</v>
      </c>
      <c r="U97" s="503">
        <f t="shared" si="104"/>
        <v>-0.2</v>
      </c>
      <c r="V97" s="503">
        <f t="shared" si="104"/>
        <v>-0.2</v>
      </c>
      <c r="W97" s="503">
        <f t="shared" si="104"/>
        <v>-0.2</v>
      </c>
      <c r="X97" s="503">
        <f t="shared" si="104"/>
        <v>-0.2</v>
      </c>
      <c r="Y97" s="503">
        <f t="shared" si="104"/>
        <v>-0.2</v>
      </c>
      <c r="Z97" s="503">
        <f t="shared" si="104"/>
        <v>-0.2</v>
      </c>
    </row>
    <row r="98" spans="1:28" ht="12.75" customHeight="1" outlineLevel="1"/>
    <row r="99" spans="1:28">
      <c r="A99" s="484" t="s">
        <v>578</v>
      </c>
      <c r="B99" s="513" t="s">
        <v>566</v>
      </c>
      <c r="C99" s="485"/>
      <c r="D99" s="485"/>
      <c r="E99" s="485"/>
      <c r="F99" s="485"/>
      <c r="G99" s="485"/>
      <c r="H99" s="485"/>
      <c r="I99" s="485"/>
      <c r="J99" s="514">
        <f t="shared" ref="J99:O99" si="105">IF(J97&lt;1,J93*(1-ABS(J97)),J97*J93)</f>
        <v>44470.944000000003</v>
      </c>
      <c r="K99" s="514">
        <f t="shared" si="105"/>
        <v>43116.418800000007</v>
      </c>
      <c r="L99" s="514">
        <f t="shared" si="105"/>
        <v>31653.691612200008</v>
      </c>
      <c r="M99" s="514">
        <f t="shared" si="105"/>
        <v>26047.753624569599</v>
      </c>
      <c r="N99" s="514">
        <f t="shared" si="105"/>
        <v>23253.265595710407</v>
      </c>
      <c r="O99" s="514">
        <f t="shared" si="105"/>
        <v>23020.732939753303</v>
      </c>
      <c r="P99" s="514">
        <f>IF(P97&lt;1,P93*(1-ABS(P97)),P97*P93)</f>
        <v>21179.074304573041</v>
      </c>
      <c r="Q99" s="514">
        <f t="shared" ref="Q99:Z99" si="106">IF(Q97&lt;1,Q93*(1-ABS(Q97)),Q97*Q93)</f>
        <v>21179.074304573041</v>
      </c>
      <c r="R99" s="514">
        <f t="shared" si="106"/>
        <v>19484.748360207199</v>
      </c>
      <c r="S99" s="514">
        <f t="shared" si="106"/>
        <v>19484.748360207199</v>
      </c>
      <c r="T99" s="514">
        <f t="shared" si="106"/>
        <v>17925.96849139062</v>
      </c>
      <c r="U99" s="514">
        <f t="shared" si="106"/>
        <v>17925.96849139062</v>
      </c>
      <c r="V99" s="514">
        <f t="shared" si="106"/>
        <v>16491.891012079373</v>
      </c>
      <c r="W99" s="514">
        <f t="shared" si="106"/>
        <v>16491.891012079373</v>
      </c>
      <c r="X99" s="514">
        <f t="shared" si="106"/>
        <v>15172.539731113029</v>
      </c>
      <c r="Y99" s="514">
        <f t="shared" si="106"/>
        <v>15172.539731113029</v>
      </c>
      <c r="Z99" s="514">
        <f t="shared" si="106"/>
        <v>13958.736552623986</v>
      </c>
      <c r="AB99" s="319" t="s">
        <v>624</v>
      </c>
    </row>
    <row r="100" spans="1:28">
      <c r="A100" s="473"/>
      <c r="B100" s="465" t="s">
        <v>567</v>
      </c>
      <c r="I100" s="505"/>
      <c r="J100" s="505">
        <f t="shared" ref="J100:Z100" si="107">J69*J66+J48*J25</f>
        <v>0</v>
      </c>
      <c r="K100" s="505">
        <f t="shared" si="107"/>
        <v>34.254495735438184</v>
      </c>
      <c r="L100" s="505">
        <f t="shared" si="107"/>
        <v>53.514690764803639</v>
      </c>
      <c r="M100" s="505">
        <f t="shared" si="107"/>
        <v>17.073503260588502</v>
      </c>
      <c r="N100" s="505">
        <f t="shared" si="107"/>
        <v>11.1177232843959</v>
      </c>
      <c r="O100" s="505">
        <f t="shared" si="107"/>
        <v>10.032863239443454</v>
      </c>
      <c r="P100" s="505">
        <f t="shared" si="107"/>
        <v>9.0521990619770243</v>
      </c>
      <c r="Q100" s="505">
        <f t="shared" si="107"/>
        <v>8.6343907494979426</v>
      </c>
      <c r="R100" s="505">
        <f t="shared" si="107"/>
        <v>8.2360807870180253</v>
      </c>
      <c r="S100" s="505">
        <f t="shared" si="107"/>
        <v>7.8563499396623033</v>
      </c>
      <c r="T100" s="505">
        <f t="shared" si="107"/>
        <v>7.494322706994561</v>
      </c>
      <c r="U100" s="505">
        <f t="shared" si="107"/>
        <v>7.1491652253875912</v>
      </c>
      <c r="V100" s="505">
        <f t="shared" si="107"/>
        <v>6.8200832717112592</v>
      </c>
      <c r="W100" s="505">
        <f t="shared" si="107"/>
        <v>6.5063203634150222</v>
      </c>
      <c r="X100" s="505">
        <f t="shared" si="107"/>
        <v>6.2071559503220231</v>
      </c>
      <c r="Y100" s="505">
        <f t="shared" si="107"/>
        <v>5.5534888306701289</v>
      </c>
      <c r="Z100" s="505">
        <f t="shared" si="107"/>
        <v>0.45339140999206085</v>
      </c>
    </row>
    <row r="101" spans="1:28">
      <c r="A101" s="473"/>
      <c r="B101" s="465"/>
      <c r="I101" s="505"/>
      <c r="J101" s="505"/>
      <c r="K101" s="505"/>
      <c r="L101" s="505"/>
      <c r="M101" s="505"/>
      <c r="N101" s="505"/>
      <c r="O101" s="505"/>
      <c r="P101" s="505"/>
    </row>
    <row r="102" spans="1:28">
      <c r="A102" s="473"/>
      <c r="B102" s="515" t="s">
        <v>598</v>
      </c>
      <c r="I102" s="516">
        <f t="shared" ref="I102:O102" si="108">I100*I99/1000</f>
        <v>0</v>
      </c>
      <c r="J102" s="516">
        <f t="shared" si="108"/>
        <v>0</v>
      </c>
      <c r="K102" s="516">
        <f t="shared" si="108"/>
        <v>1476.9311839119669</v>
      </c>
      <c r="L102" s="516">
        <f t="shared" si="108"/>
        <v>1693.9375181913422</v>
      </c>
      <c r="M102" s="516">
        <f t="shared" si="108"/>
        <v>444.72640644009505</v>
      </c>
      <c r="N102" s="516">
        <f t="shared" si="108"/>
        <v>258.5233723516717</v>
      </c>
      <c r="O102" s="516">
        <f t="shared" si="108"/>
        <v>230.96386525629595</v>
      </c>
      <c r="P102" s="516">
        <f>P100*P99/1000</f>
        <v>191.71719655339777</v>
      </c>
      <c r="Q102" s="516">
        <f t="shared" ref="Q102:Z102" si="109">Q100*Q99/1000</f>
        <v>182.86840325833504</v>
      </c>
      <c r="R102" s="516">
        <f t="shared" si="109"/>
        <v>160.4779616093835</v>
      </c>
      <c r="S102" s="516">
        <f t="shared" si="109"/>
        <v>153.07900160404901</v>
      </c>
      <c r="T102" s="516">
        <f t="shared" si="109"/>
        <v>134.34299270989774</v>
      </c>
      <c r="U102" s="516">
        <f t="shared" si="109"/>
        <v>128.15571057004348</v>
      </c>
      <c r="V102" s="516">
        <f t="shared" si="109"/>
        <v>112.47607001036779</v>
      </c>
      <c r="W102" s="516">
        <f t="shared" si="109"/>
        <v>107.30152632311321</v>
      </c>
      <c r="X102" s="516">
        <f t="shared" si="109"/>
        <v>94.178320273475549</v>
      </c>
      <c r="Y102" s="516">
        <f t="shared" si="109"/>
        <v>84.26052992963497</v>
      </c>
      <c r="Z102" s="516">
        <f t="shared" si="109"/>
        <v>6.3287712473019084</v>
      </c>
    </row>
    <row r="103" spans="1:28">
      <c r="A103" s="473"/>
    </row>
    <row r="104" spans="1:28">
      <c r="A104" s="473"/>
    </row>
    <row r="105" spans="1:28">
      <c r="A105" s="473"/>
      <c r="B105" s="515" t="s">
        <v>813</v>
      </c>
      <c r="J105" s="455">
        <f>J89*J90*J91*J97*J100*J80/1000</f>
        <v>0</v>
      </c>
      <c r="K105" s="455">
        <f>IF(K97=1,K89*K90*K91*K97*K100*K80/1000,K80*K89*K90*K91*(1+K97)*K100)</f>
        <v>562.93332695262063</v>
      </c>
      <c r="L105" s="455">
        <f>IF(L97=1,L89*L90*L91*L97*L100*L80/1000,L80*L89*L90*L91*(1+L97)*L100/1000)</f>
        <v>1231.7740094694209</v>
      </c>
      <c r="M105" s="455">
        <f t="shared" ref="M105" si="110">IF(M97=1,M89*M90*M91*M97*M100*M80/1000,M80*M89*M90*M91*(1+M97)*M100/1000)</f>
        <v>397.33720444400041</v>
      </c>
      <c r="N105" s="455">
        <f>N102*0.7</f>
        <v>180.96636064617019</v>
      </c>
      <c r="O105" s="455">
        <f t="shared" ref="O105:Z105" si="111">O102*0.7</f>
        <v>161.67470567940714</v>
      </c>
      <c r="P105" s="455">
        <f t="shared" si="111"/>
        <v>134.20203758737844</v>
      </c>
      <c r="Q105" s="455">
        <f t="shared" si="111"/>
        <v>128.00788228083451</v>
      </c>
      <c r="R105" s="455">
        <f t="shared" si="111"/>
        <v>112.33457312656844</v>
      </c>
      <c r="S105" s="455">
        <f t="shared" si="111"/>
        <v>107.1553011228343</v>
      </c>
      <c r="T105" s="455">
        <f t="shared" si="111"/>
        <v>94.040094896928409</v>
      </c>
      <c r="U105" s="455">
        <f t="shared" si="111"/>
        <v>89.708997399030437</v>
      </c>
      <c r="V105" s="455">
        <f t="shared" si="111"/>
        <v>78.733249007257456</v>
      </c>
      <c r="W105" s="455">
        <f t="shared" si="111"/>
        <v>75.111068426179244</v>
      </c>
      <c r="X105" s="455">
        <f t="shared" si="111"/>
        <v>65.924824191432876</v>
      </c>
      <c r="Y105" s="455">
        <f t="shared" si="111"/>
        <v>58.982370950744475</v>
      </c>
      <c r="Z105" s="455">
        <f t="shared" si="111"/>
        <v>4.4301398731113357</v>
      </c>
    </row>
    <row r="106" spans="1:28">
      <c r="A106" s="473"/>
      <c r="B106" s="515" t="s">
        <v>814</v>
      </c>
      <c r="J106" s="455">
        <f>J100*J90*J91*(1-J89)*J87/1000</f>
        <v>0</v>
      </c>
      <c r="K106" s="455">
        <f>K100*K90*K91*(1-K89)*K87/1000</f>
        <v>913.99785695934634</v>
      </c>
      <c r="L106" s="455">
        <f>L100*L90*L91*(1-L89)*L87/1000</f>
        <v>513.51500969102335</v>
      </c>
      <c r="M106" s="455">
        <f>M111-M107</f>
        <v>39.491001663412263</v>
      </c>
      <c r="N106" s="455">
        <f>N102*0.05</f>
        <v>12.926168617583585</v>
      </c>
      <c r="O106" s="455">
        <f t="shared" ref="O106:Z106" si="112">O102*0.05</f>
        <v>11.548193262814799</v>
      </c>
      <c r="P106" s="455">
        <f t="shared" si="112"/>
        <v>9.5858598276698892</v>
      </c>
      <c r="Q106" s="455">
        <f t="shared" si="112"/>
        <v>9.1434201629167529</v>
      </c>
      <c r="R106" s="455">
        <f t="shared" si="112"/>
        <v>8.0238980804691753</v>
      </c>
      <c r="S106" s="455">
        <f t="shared" si="112"/>
        <v>7.6539500802024509</v>
      </c>
      <c r="T106" s="455">
        <f t="shared" si="112"/>
        <v>6.7171496354948879</v>
      </c>
      <c r="U106" s="455">
        <f t="shared" si="112"/>
        <v>6.4077855285021741</v>
      </c>
      <c r="V106" s="455">
        <f t="shared" si="112"/>
        <v>5.62380350051839</v>
      </c>
      <c r="W106" s="455">
        <f t="shared" si="112"/>
        <v>5.3650763161556609</v>
      </c>
      <c r="X106" s="455">
        <f t="shared" si="112"/>
        <v>4.708916013673778</v>
      </c>
      <c r="Y106" s="455">
        <f t="shared" si="112"/>
        <v>4.2130264964817483</v>
      </c>
      <c r="Z106" s="455">
        <f t="shared" si="112"/>
        <v>0.31643856236509543</v>
      </c>
    </row>
    <row r="107" spans="1:28">
      <c r="A107" s="473"/>
      <c r="B107" s="319" t="str">
        <f>'US HCV'!B135</f>
        <v>Epclusa JPN revenue ($M)</v>
      </c>
      <c r="M107" s="466">
        <f>M111*1/3</f>
        <v>19.745500831706135</v>
      </c>
      <c r="N107" s="466">
        <f>N102*0.15</f>
        <v>38.778505852750754</v>
      </c>
      <c r="O107" s="466">
        <f t="shared" ref="O107:Z107" si="113">O102*0.15</f>
        <v>34.644579788444389</v>
      </c>
      <c r="P107" s="466">
        <f t="shared" si="113"/>
        <v>28.757579483009664</v>
      </c>
      <c r="Q107" s="466">
        <f t="shared" si="113"/>
        <v>27.430260488750253</v>
      </c>
      <c r="R107" s="466">
        <f t="shared" si="113"/>
        <v>24.071694241407524</v>
      </c>
      <c r="S107" s="466">
        <f t="shared" si="113"/>
        <v>22.961850240607351</v>
      </c>
      <c r="T107" s="466">
        <f t="shared" si="113"/>
        <v>20.15144890648466</v>
      </c>
      <c r="U107" s="466">
        <f t="shared" si="113"/>
        <v>19.223356585506522</v>
      </c>
      <c r="V107" s="466">
        <f t="shared" si="113"/>
        <v>16.871410501555168</v>
      </c>
      <c r="W107" s="466">
        <f t="shared" si="113"/>
        <v>16.095228948466982</v>
      </c>
      <c r="X107" s="466">
        <f t="shared" si="113"/>
        <v>14.126748041021331</v>
      </c>
      <c r="Y107" s="466">
        <f t="shared" si="113"/>
        <v>12.639079489445246</v>
      </c>
      <c r="Z107" s="466">
        <f t="shared" si="113"/>
        <v>0.94931568709528624</v>
      </c>
    </row>
    <row r="108" spans="1:28">
      <c r="A108" s="473"/>
      <c r="B108" s="319" t="s">
        <v>1102</v>
      </c>
      <c r="N108" s="455">
        <f>N102-N105-N106-N107</f>
        <v>25.85233723516717</v>
      </c>
      <c r="O108" s="455">
        <f t="shared" ref="O108:Z108" si="114">O102-O105-O106-O107</f>
        <v>23.096386525629619</v>
      </c>
      <c r="P108" s="455">
        <f t="shared" si="114"/>
        <v>19.171719655339771</v>
      </c>
      <c r="Q108" s="455">
        <f t="shared" si="114"/>
        <v>18.28684032583352</v>
      </c>
      <c r="R108" s="455">
        <f t="shared" si="114"/>
        <v>16.047796160938358</v>
      </c>
      <c r="S108" s="455">
        <f t="shared" si="114"/>
        <v>15.307900160404909</v>
      </c>
      <c r="T108" s="455">
        <f t="shared" si="114"/>
        <v>13.434299270989783</v>
      </c>
      <c r="U108" s="455">
        <f t="shared" si="114"/>
        <v>12.815571057004348</v>
      </c>
      <c r="V108" s="455">
        <f t="shared" si="114"/>
        <v>11.247607001036776</v>
      </c>
      <c r="W108" s="455">
        <f t="shared" si="114"/>
        <v>10.73015263231132</v>
      </c>
      <c r="X108" s="455">
        <f t="shared" si="114"/>
        <v>9.4178320273475631</v>
      </c>
      <c r="Y108" s="455">
        <f t="shared" si="114"/>
        <v>8.4260529929635002</v>
      </c>
      <c r="Z108" s="455">
        <f t="shared" si="114"/>
        <v>0.63287712473019109</v>
      </c>
    </row>
    <row r="109" spans="1:28">
      <c r="A109" s="473"/>
    </row>
    <row r="110" spans="1:28">
      <c r="A110" s="473"/>
    </row>
    <row r="111" spans="1:28">
      <c r="A111" s="473"/>
      <c r="K111" s="466">
        <f>K100*K90*K91*(1-K89)*K87/1000</f>
        <v>913.99785695934634</v>
      </c>
      <c r="L111" s="466">
        <f t="shared" ref="L111:Z111" si="115">L100*L90*L91*(1-L89)*L87/1000</f>
        <v>513.51500969102335</v>
      </c>
      <c r="M111" s="466">
        <f t="shared" si="115"/>
        <v>59.236502495118401</v>
      </c>
      <c r="N111" s="466">
        <f t="shared" si="115"/>
        <v>35.132224481332692</v>
      </c>
      <c r="O111" s="466">
        <f t="shared" si="115"/>
        <v>31.387004925119673</v>
      </c>
      <c r="P111" s="466">
        <f t="shared" si="115"/>
        <v>26.053549916885103</v>
      </c>
      <c r="Q111" s="466">
        <f t="shared" si="115"/>
        <v>24.851036621459858</v>
      </c>
      <c r="R111" s="466">
        <f t="shared" si="115"/>
        <v>21.808271028965997</v>
      </c>
      <c r="S111" s="466">
        <f>S100*S90*S91*(1-S89)*S87/1000</f>
        <v>20.802783898455363</v>
      </c>
      <c r="T111" s="466">
        <f t="shared" si="115"/>
        <v>18.256640142222139</v>
      </c>
      <c r="U111" s="466">
        <f t="shared" si="115"/>
        <v>17.415814869484294</v>
      </c>
      <c r="V111" s="466">
        <f t="shared" si="115"/>
        <v>15.285018543727739</v>
      </c>
      <c r="W111" s="466">
        <f t="shared" si="115"/>
        <v>14.581820110427882</v>
      </c>
      <c r="X111" s="466">
        <f t="shared" si="115"/>
        <v>12.798432339114552</v>
      </c>
      <c r="Y111" s="466">
        <f t="shared" si="115"/>
        <v>11.450646900803685</v>
      </c>
      <c r="Z111" s="466">
        <f t="shared" si="115"/>
        <v>0.86005303941632849</v>
      </c>
    </row>
    <row r="112" spans="1:28">
      <c r="A112" s="473"/>
    </row>
    <row r="113" spans="1:1">
      <c r="A113" s="473"/>
    </row>
    <row r="114" spans="1:1">
      <c r="A114" s="473"/>
    </row>
    <row r="115" spans="1:1">
      <c r="A115" s="473"/>
    </row>
    <row r="116" spans="1:1">
      <c r="A116" s="473"/>
    </row>
    <row r="117" spans="1:1">
      <c r="A117" s="473"/>
    </row>
    <row r="125" spans="1:1">
      <c r="A125" s="473"/>
    </row>
    <row r="126" spans="1:1">
      <c r="A126" s="473"/>
    </row>
    <row r="127" spans="1:1">
      <c r="A127" s="473"/>
    </row>
    <row r="128" spans="1:1">
      <c r="A128" s="520" t="s">
        <v>578</v>
      </c>
    </row>
    <row r="130" spans="1:1">
      <c r="A130" s="520" t="s">
        <v>578</v>
      </c>
    </row>
  </sheetData>
  <mergeCells count="4">
    <mergeCell ref="E1:F1"/>
    <mergeCell ref="H1:J1"/>
    <mergeCell ref="J44:K44"/>
    <mergeCell ref="L44:M44"/>
  </mergeCells>
  <phoneticPr fontId="21" type="noConversion"/>
  <dataValidations disablePrompts="1" count="1">
    <dataValidation type="list" showDropDown="1" showInputMessage="1" showErrorMessage="1" sqref="E1:F1">
      <formula1>$A$2:$A$4</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AH92"/>
  <sheetViews>
    <sheetView zoomScale="85" zoomScaleNormal="85" workbookViewId="0">
      <pane xSplit="2" ySplit="2" topLeftCell="I23" activePane="bottomRight" state="frozen"/>
      <selection pane="topRight" activeCell="C1" sqref="C1"/>
      <selection pane="bottomLeft" activeCell="A3" sqref="A3"/>
      <selection pane="bottomRight" activeCell="P52" sqref="P52"/>
    </sheetView>
  </sheetViews>
  <sheetFormatPr defaultRowHeight="15" outlineLevelRow="1" outlineLevelCol="1"/>
  <cols>
    <col min="1" max="1" width="2.140625" customWidth="1"/>
    <col min="2" max="2" width="35.140625" customWidth="1"/>
    <col min="3" max="8" width="9.140625" outlineLevel="1"/>
  </cols>
  <sheetData>
    <row r="1" spans="1:34">
      <c r="A1" s="756"/>
      <c r="B1" s="756"/>
      <c r="C1" s="756"/>
      <c r="D1" s="756"/>
      <c r="E1" s="756"/>
      <c r="F1" s="756"/>
      <c r="G1" s="756"/>
      <c r="H1" s="756"/>
      <c r="I1" s="756"/>
      <c r="J1" s="756"/>
      <c r="K1" s="756"/>
      <c r="L1" s="756"/>
      <c r="M1" s="756"/>
      <c r="N1" s="756"/>
      <c r="O1" s="756"/>
      <c r="P1" s="756"/>
      <c r="Q1" s="756"/>
      <c r="R1" s="756"/>
      <c r="S1" s="756"/>
      <c r="T1" s="756"/>
      <c r="U1" s="756"/>
      <c r="V1" s="756"/>
      <c r="W1" s="756"/>
      <c r="X1" s="756"/>
      <c r="Y1" s="756"/>
    </row>
    <row r="2" spans="1:34">
      <c r="A2" s="756"/>
      <c r="B2" s="757"/>
      <c r="C2" s="757">
        <v>2008</v>
      </c>
      <c r="D2" s="757">
        <f>C2+1</f>
        <v>2009</v>
      </c>
      <c r="E2" s="757">
        <f t="shared" ref="E2:Y2" si="0">D2+1</f>
        <v>2010</v>
      </c>
      <c r="F2" s="757">
        <f t="shared" si="0"/>
        <v>2011</v>
      </c>
      <c r="G2" s="757">
        <f t="shared" si="0"/>
        <v>2012</v>
      </c>
      <c r="H2" s="757">
        <f t="shared" si="0"/>
        <v>2013</v>
      </c>
      <c r="I2" s="757">
        <f t="shared" si="0"/>
        <v>2014</v>
      </c>
      <c r="J2" s="757">
        <f t="shared" si="0"/>
        <v>2015</v>
      </c>
      <c r="K2" s="757">
        <f t="shared" si="0"/>
        <v>2016</v>
      </c>
      <c r="L2" s="757">
        <f t="shared" si="0"/>
        <v>2017</v>
      </c>
      <c r="M2" s="757">
        <f t="shared" si="0"/>
        <v>2018</v>
      </c>
      <c r="N2" s="757">
        <f t="shared" si="0"/>
        <v>2019</v>
      </c>
      <c r="O2" s="757">
        <f t="shared" si="0"/>
        <v>2020</v>
      </c>
      <c r="P2" s="757">
        <f t="shared" si="0"/>
        <v>2021</v>
      </c>
      <c r="Q2" s="757">
        <f t="shared" si="0"/>
        <v>2022</v>
      </c>
      <c r="R2" s="757">
        <f t="shared" si="0"/>
        <v>2023</v>
      </c>
      <c r="S2" s="757">
        <f t="shared" si="0"/>
        <v>2024</v>
      </c>
      <c r="T2" s="757">
        <f t="shared" si="0"/>
        <v>2025</v>
      </c>
      <c r="U2" s="757">
        <f t="shared" si="0"/>
        <v>2026</v>
      </c>
      <c r="V2" s="757">
        <f t="shared" si="0"/>
        <v>2027</v>
      </c>
      <c r="W2" s="757">
        <f t="shared" si="0"/>
        <v>2028</v>
      </c>
      <c r="X2" s="757">
        <f t="shared" si="0"/>
        <v>2029</v>
      </c>
      <c r="Y2" s="757">
        <f t="shared" si="0"/>
        <v>2030</v>
      </c>
      <c r="Z2" s="756"/>
      <c r="AA2" s="756"/>
      <c r="AB2" s="756"/>
      <c r="AC2" s="756"/>
      <c r="AD2" s="756"/>
      <c r="AE2" s="756"/>
      <c r="AF2" s="756"/>
      <c r="AG2" s="756"/>
      <c r="AH2" s="756"/>
    </row>
    <row r="3" spans="1:34">
      <c r="A3" s="756"/>
      <c r="B3" s="758" t="s">
        <v>968</v>
      </c>
      <c r="C3" s="759"/>
      <c r="D3" s="759"/>
      <c r="E3" s="759"/>
      <c r="F3" s="759"/>
      <c r="G3" s="759"/>
      <c r="H3" s="759"/>
      <c r="I3" s="759"/>
      <c r="J3" s="759"/>
      <c r="K3" s="759"/>
      <c r="L3" s="759"/>
      <c r="M3" s="759"/>
      <c r="N3" s="759"/>
      <c r="O3" s="759"/>
      <c r="P3" s="759"/>
      <c r="Q3" s="759"/>
      <c r="R3" s="759"/>
      <c r="S3" s="759"/>
      <c r="T3" s="759"/>
      <c r="U3" s="759"/>
      <c r="V3" s="759"/>
      <c r="W3" s="759"/>
      <c r="X3" s="759"/>
      <c r="Y3" s="759"/>
      <c r="Z3" s="756"/>
      <c r="AA3" s="756"/>
      <c r="AB3" s="756"/>
      <c r="AC3" s="756"/>
      <c r="AD3" s="756"/>
      <c r="AE3" s="756"/>
      <c r="AF3" s="756"/>
      <c r="AG3" s="756"/>
      <c r="AH3" s="756"/>
    </row>
    <row r="4" spans="1:34">
      <c r="A4" s="756"/>
      <c r="B4" s="756" t="s">
        <v>935</v>
      </c>
      <c r="C4" s="761">
        <f t="shared" ref="C4:H4" si="1">D4-C5+C6+C7</f>
        <v>19748.140918265432</v>
      </c>
      <c r="D4" s="761">
        <f t="shared" si="1"/>
        <v>21265.43950337388</v>
      </c>
      <c r="E4" s="761">
        <f t="shared" si="1"/>
        <v>22868.247738079157</v>
      </c>
      <c r="F4" s="761">
        <f t="shared" si="1"/>
        <v>24558.33499675438</v>
      </c>
      <c r="G4" s="761">
        <f t="shared" si="1"/>
        <v>26337.538976732114</v>
      </c>
      <c r="H4" s="761">
        <f t="shared" si="1"/>
        <v>28207.76743786408</v>
      </c>
      <c r="I4" s="762">
        <v>30171</v>
      </c>
      <c r="J4" s="761">
        <f>I4+I5-I6-I7</f>
        <v>32229.29</v>
      </c>
      <c r="K4" s="761">
        <f t="shared" ref="K4:Y4" si="2">J4+J5-J6-J7</f>
        <v>34345.213100000001</v>
      </c>
      <c r="L4" s="761">
        <f t="shared" si="2"/>
        <v>36520.685544200001</v>
      </c>
      <c r="M4" s="761">
        <f t="shared" si="2"/>
        <v>38757.682069689443</v>
      </c>
      <c r="N4" s="761">
        <f t="shared" si="2"/>
        <v>41058.237707876346</v>
      </c>
      <c r="O4" s="761">
        <f t="shared" si="2"/>
        <v>43424.449640609826</v>
      </c>
      <c r="P4" s="761">
        <f t="shared" si="2"/>
        <v>45858.479112652363</v>
      </c>
      <c r="Q4" s="761">
        <f t="shared" si="2"/>
        <v>48362.553402207996</v>
      </c>
      <c r="R4" s="761">
        <f t="shared" si="2"/>
        <v>50938.967851264249</v>
      </c>
      <c r="S4" s="761">
        <f t="shared" si="2"/>
        <v>53590.087957558528</v>
      </c>
      <c r="T4" s="761">
        <f t="shared" si="2"/>
        <v>56318.351530034357</v>
      </c>
      <c r="U4" s="761">
        <f t="shared" si="2"/>
        <v>59126.270909709157</v>
      </c>
      <c r="V4" s="761">
        <f t="shared" si="2"/>
        <v>62016.435257933081</v>
      </c>
      <c r="W4" s="761">
        <f t="shared" si="2"/>
        <v>64991.512914078296</v>
      </c>
      <c r="X4" s="761">
        <f t="shared" si="2"/>
        <v>68054.253824759478</v>
      </c>
      <c r="Y4" s="761">
        <f t="shared" si="2"/>
        <v>71207.492046749627</v>
      </c>
      <c r="Z4" s="813"/>
      <c r="AA4" s="756" t="s">
        <v>986</v>
      </c>
      <c r="AB4" s="756"/>
      <c r="AC4" s="756"/>
      <c r="AD4" s="756"/>
      <c r="AE4" s="756"/>
      <c r="AF4" s="756"/>
      <c r="AG4" s="756"/>
      <c r="AH4" s="756"/>
    </row>
    <row r="5" spans="1:34">
      <c r="A5" s="756"/>
      <c r="B5" s="756" t="s">
        <v>535</v>
      </c>
      <c r="C5" s="761">
        <f t="shared" ref="C5:H5" si="3">D5/1.03</f>
        <v>2579.4515105856549</v>
      </c>
      <c r="D5" s="761">
        <f t="shared" si="3"/>
        <v>2656.8350559032247</v>
      </c>
      <c r="E5" s="761">
        <f t="shared" si="3"/>
        <v>2736.5401075803215</v>
      </c>
      <c r="F5" s="761">
        <f t="shared" si="3"/>
        <v>2818.6363108077312</v>
      </c>
      <c r="G5" s="761">
        <f t="shared" si="3"/>
        <v>2903.1954001319632</v>
      </c>
      <c r="H5" s="761">
        <f t="shared" si="3"/>
        <v>2990.2912621359224</v>
      </c>
      <c r="I5" s="762">
        <v>3080</v>
      </c>
      <c r="J5" s="761">
        <f>I5*1.03</f>
        <v>3172.4</v>
      </c>
      <c r="K5" s="761">
        <f t="shared" ref="K5:Y5" si="4">J5*1.03</f>
        <v>3267.5720000000001</v>
      </c>
      <c r="L5" s="761">
        <f t="shared" si="4"/>
        <v>3365.5991600000002</v>
      </c>
      <c r="M5" s="761">
        <f t="shared" si="4"/>
        <v>3466.5671348000005</v>
      </c>
      <c r="N5" s="761">
        <f t="shared" si="4"/>
        <v>3570.5641488440006</v>
      </c>
      <c r="O5" s="761">
        <f t="shared" si="4"/>
        <v>3677.6810733093207</v>
      </c>
      <c r="P5" s="761">
        <f t="shared" si="4"/>
        <v>3788.0115055086003</v>
      </c>
      <c r="Q5" s="761">
        <f t="shared" si="4"/>
        <v>3901.6518506738585</v>
      </c>
      <c r="R5" s="761">
        <f t="shared" si="4"/>
        <v>4018.7014061940745</v>
      </c>
      <c r="S5" s="761">
        <f t="shared" si="4"/>
        <v>4139.2624483798973</v>
      </c>
      <c r="T5" s="761">
        <f t="shared" si="4"/>
        <v>4263.4403218312946</v>
      </c>
      <c r="U5" s="761">
        <f t="shared" si="4"/>
        <v>4391.3435314862336</v>
      </c>
      <c r="V5" s="761">
        <f t="shared" si="4"/>
        <v>4523.0838374308205</v>
      </c>
      <c r="W5" s="761">
        <f t="shared" si="4"/>
        <v>4658.7763525537448</v>
      </c>
      <c r="X5" s="761">
        <f t="shared" si="4"/>
        <v>4798.539643130357</v>
      </c>
      <c r="Y5" s="761">
        <f t="shared" si="4"/>
        <v>4942.495832424268</v>
      </c>
      <c r="Z5" s="756"/>
      <c r="AA5" s="756" t="s">
        <v>987</v>
      </c>
      <c r="AB5" s="756"/>
      <c r="AC5" s="756"/>
      <c r="AD5" s="756"/>
      <c r="AE5" s="756"/>
      <c r="AF5" s="756"/>
      <c r="AG5" s="756"/>
      <c r="AH5" s="756"/>
    </row>
    <row r="6" spans="1:34">
      <c r="A6" s="756"/>
      <c r="B6" s="756" t="s">
        <v>936</v>
      </c>
      <c r="C6" s="761">
        <f t="shared" ref="C6:H6" si="5">D6*1.02</f>
        <v>810.83694187007995</v>
      </c>
      <c r="D6" s="761">
        <f t="shared" si="5"/>
        <v>794.93817830399996</v>
      </c>
      <c r="E6" s="761">
        <f t="shared" si="5"/>
        <v>779.35115519999999</v>
      </c>
      <c r="F6" s="761">
        <f t="shared" si="5"/>
        <v>764.06975999999997</v>
      </c>
      <c r="G6" s="761">
        <f t="shared" si="5"/>
        <v>749.08799999999997</v>
      </c>
      <c r="H6" s="761">
        <f t="shared" si="5"/>
        <v>734.4</v>
      </c>
      <c r="I6" s="762">
        <f>1800-I22</f>
        <v>720</v>
      </c>
      <c r="J6" s="763">
        <f t="shared" ref="J6:Y6" si="6">J5*J77</f>
        <v>734.18399999999997</v>
      </c>
      <c r="K6" s="763">
        <f t="shared" si="6"/>
        <v>748.64742480000007</v>
      </c>
      <c r="L6" s="763">
        <f t="shared" si="6"/>
        <v>763.39577906856005</v>
      </c>
      <c r="M6" s="763">
        <f t="shared" si="6"/>
        <v>778.43467591621072</v>
      </c>
      <c r="N6" s="763">
        <f t="shared" si="6"/>
        <v>793.76983903176017</v>
      </c>
      <c r="O6" s="763">
        <f t="shared" si="6"/>
        <v>809.40710486068588</v>
      </c>
      <c r="P6" s="763">
        <f t="shared" si="6"/>
        <v>825.35242482644128</v>
      </c>
      <c r="Q6" s="763">
        <f t="shared" si="6"/>
        <v>841.6118675955222</v>
      </c>
      <c r="R6" s="763">
        <f t="shared" si="6"/>
        <v>858.1916213871541</v>
      </c>
      <c r="S6" s="763">
        <f t="shared" si="6"/>
        <v>875.09799632848114</v>
      </c>
      <c r="T6" s="763">
        <f t="shared" si="6"/>
        <v>892.33742685615232</v>
      </c>
      <c r="U6" s="763">
        <f t="shared" si="6"/>
        <v>909.91647416521857</v>
      </c>
      <c r="V6" s="763">
        <f t="shared" si="6"/>
        <v>927.8418287062733</v>
      </c>
      <c r="W6" s="763">
        <f t="shared" si="6"/>
        <v>946.12031273178684</v>
      </c>
      <c r="X6" s="763">
        <f t="shared" si="6"/>
        <v>964.75888289260297</v>
      </c>
      <c r="Y6" s="763">
        <f t="shared" si="6"/>
        <v>983.76463288558739</v>
      </c>
      <c r="Z6" s="756"/>
      <c r="AA6" s="756" t="s">
        <v>988</v>
      </c>
      <c r="AB6" s="756"/>
      <c r="AC6" s="756"/>
      <c r="AD6" s="756"/>
      <c r="AE6" s="756"/>
      <c r="AF6" s="756"/>
      <c r="AG6" s="756"/>
      <c r="AH6" s="756"/>
    </row>
    <row r="7" spans="1:34">
      <c r="A7" s="756"/>
      <c r="B7" s="756" t="s">
        <v>937</v>
      </c>
      <c r="C7" s="763">
        <f t="shared" ref="C7:H7" si="7">D7*0.97</f>
        <v>251.31598360712852</v>
      </c>
      <c r="D7" s="763">
        <f t="shared" si="7"/>
        <v>259.08864289394694</v>
      </c>
      <c r="E7" s="763">
        <f t="shared" si="7"/>
        <v>267.10169370509993</v>
      </c>
      <c r="F7" s="763">
        <f t="shared" si="7"/>
        <v>275.36257082999992</v>
      </c>
      <c r="G7" s="763">
        <f t="shared" si="7"/>
        <v>283.87893899999995</v>
      </c>
      <c r="H7" s="763">
        <f t="shared" si="7"/>
        <v>292.65869999999995</v>
      </c>
      <c r="I7" s="763">
        <f>I4*0.01</f>
        <v>301.70999999999998</v>
      </c>
      <c r="J7" s="763">
        <f t="shared" ref="J7:Y7" si="8">J4*0.01</f>
        <v>322.29290000000003</v>
      </c>
      <c r="K7" s="763">
        <f t="shared" si="8"/>
        <v>343.45213100000001</v>
      </c>
      <c r="L7" s="763">
        <f t="shared" si="8"/>
        <v>365.20685544200001</v>
      </c>
      <c r="M7" s="763">
        <f t="shared" si="8"/>
        <v>387.57682069689446</v>
      </c>
      <c r="N7" s="763">
        <f t="shared" si="8"/>
        <v>410.58237707876344</v>
      </c>
      <c r="O7" s="763">
        <f t="shared" si="8"/>
        <v>434.24449640609828</v>
      </c>
      <c r="P7" s="763">
        <f t="shared" si="8"/>
        <v>458.58479112652367</v>
      </c>
      <c r="Q7" s="763">
        <f t="shared" si="8"/>
        <v>483.62553402207999</v>
      </c>
      <c r="R7" s="763">
        <f t="shared" si="8"/>
        <v>509.38967851264249</v>
      </c>
      <c r="S7" s="763">
        <f t="shared" si="8"/>
        <v>535.90087957558524</v>
      </c>
      <c r="T7" s="763">
        <f t="shared" si="8"/>
        <v>563.18351530034363</v>
      </c>
      <c r="U7" s="763">
        <f t="shared" si="8"/>
        <v>591.2627090970916</v>
      </c>
      <c r="V7" s="763">
        <f t="shared" si="8"/>
        <v>620.16435257933085</v>
      </c>
      <c r="W7" s="763">
        <f t="shared" si="8"/>
        <v>649.91512914078294</v>
      </c>
      <c r="X7" s="763">
        <f t="shared" si="8"/>
        <v>680.54253824759485</v>
      </c>
      <c r="Y7" s="763">
        <f t="shared" si="8"/>
        <v>712.07492046749633</v>
      </c>
      <c r="Z7" s="756"/>
      <c r="AA7" s="756"/>
      <c r="AB7" s="756"/>
      <c r="AC7" s="756"/>
      <c r="AD7" s="756"/>
      <c r="AE7" s="756"/>
      <c r="AF7" s="756"/>
      <c r="AG7" s="756"/>
      <c r="AH7" s="756"/>
    </row>
    <row r="8" spans="1:34">
      <c r="A8" s="756"/>
      <c r="B8" s="756"/>
      <c r="C8" s="756"/>
      <c r="D8" s="756"/>
      <c r="E8" s="756"/>
      <c r="F8" s="756"/>
      <c r="G8" s="756"/>
      <c r="H8" s="756"/>
      <c r="I8" s="756"/>
      <c r="J8" s="756"/>
      <c r="K8" s="756"/>
      <c r="L8" s="756"/>
      <c r="M8" s="756"/>
      <c r="N8" s="756"/>
      <c r="O8" s="756"/>
      <c r="P8" s="756"/>
      <c r="Q8" s="756"/>
      <c r="R8" s="756"/>
      <c r="S8" s="756"/>
      <c r="T8" s="756"/>
      <c r="U8" s="756"/>
      <c r="V8" s="756"/>
      <c r="W8" s="756"/>
      <c r="X8" s="756"/>
      <c r="Y8" s="756"/>
      <c r="Z8" s="756"/>
      <c r="AA8" s="756"/>
      <c r="AB8" s="756"/>
      <c r="AC8" s="756"/>
      <c r="AD8" s="756"/>
      <c r="AE8" s="756"/>
      <c r="AF8" s="756"/>
      <c r="AG8" s="756"/>
      <c r="AH8" s="756"/>
    </row>
    <row r="9" spans="1:34">
      <c r="A9" s="756"/>
      <c r="B9" s="756" t="s">
        <v>969</v>
      </c>
      <c r="C9" s="762"/>
      <c r="D9" s="762"/>
      <c r="E9" s="762"/>
      <c r="F9" s="762"/>
      <c r="G9" s="762"/>
      <c r="H9" s="761"/>
      <c r="I9" s="761">
        <f>I4*0.15</f>
        <v>4525.6499999999996</v>
      </c>
      <c r="J9" s="761">
        <f t="shared" ref="J9:Y9" si="9">J4*0.2</f>
        <v>6445.8580000000002</v>
      </c>
      <c r="K9" s="761">
        <f t="shared" si="9"/>
        <v>6869.0426200000002</v>
      </c>
      <c r="L9" s="761">
        <f t="shared" si="9"/>
        <v>7304.137108840001</v>
      </c>
      <c r="M9" s="761">
        <f t="shared" si="9"/>
        <v>7751.5364139378889</v>
      </c>
      <c r="N9" s="761">
        <f t="shared" si="9"/>
        <v>8211.6475415752702</v>
      </c>
      <c r="O9" s="761">
        <f t="shared" si="9"/>
        <v>8684.8899281219656</v>
      </c>
      <c r="P9" s="761">
        <f t="shared" si="9"/>
        <v>9171.6958225304734</v>
      </c>
      <c r="Q9" s="761">
        <f t="shared" si="9"/>
        <v>9672.5106804415991</v>
      </c>
      <c r="R9" s="761">
        <f t="shared" si="9"/>
        <v>10187.79357025285</v>
      </c>
      <c r="S9" s="761">
        <f t="shared" si="9"/>
        <v>10718.017591511707</v>
      </c>
      <c r="T9" s="761">
        <f t="shared" si="9"/>
        <v>11263.670306006872</v>
      </c>
      <c r="U9" s="761">
        <f t="shared" si="9"/>
        <v>11825.254181941833</v>
      </c>
      <c r="V9" s="761">
        <f t="shared" si="9"/>
        <v>12403.287051586616</v>
      </c>
      <c r="W9" s="761">
        <f t="shared" si="9"/>
        <v>12998.302582815661</v>
      </c>
      <c r="X9" s="761">
        <f t="shared" si="9"/>
        <v>13610.850764951896</v>
      </c>
      <c r="Y9" s="761">
        <f t="shared" si="9"/>
        <v>14241.498409349926</v>
      </c>
      <c r="Z9" s="756"/>
      <c r="AA9" s="756" t="s">
        <v>989</v>
      </c>
      <c r="AB9" s="756"/>
      <c r="AC9" s="756"/>
      <c r="AD9" s="756"/>
      <c r="AE9" s="756"/>
      <c r="AF9" s="756"/>
      <c r="AG9" s="756"/>
      <c r="AH9" s="756"/>
    </row>
    <row r="10" spans="1:34">
      <c r="A10" s="756"/>
      <c r="B10" s="764"/>
      <c r="C10" s="765"/>
      <c r="D10" s="765"/>
      <c r="E10" s="765"/>
      <c r="F10" s="765"/>
      <c r="G10" s="766"/>
      <c r="H10" s="765"/>
      <c r="I10" s="796"/>
      <c r="J10" s="765"/>
      <c r="K10" s="765"/>
      <c r="L10" s="765"/>
      <c r="M10" s="765"/>
      <c r="N10" s="765"/>
      <c r="O10" s="765"/>
      <c r="P10" s="765"/>
      <c r="Q10" s="765"/>
      <c r="R10" s="765"/>
      <c r="S10" s="765"/>
      <c r="T10" s="765"/>
      <c r="U10" s="765"/>
      <c r="V10" s="765"/>
      <c r="W10" s="765"/>
      <c r="X10" s="765"/>
      <c r="Y10" s="765"/>
      <c r="Z10" s="756"/>
      <c r="AA10" s="756" t="s">
        <v>990</v>
      </c>
      <c r="AB10" s="756"/>
      <c r="AC10" s="756"/>
      <c r="AD10" s="756"/>
      <c r="AE10" s="756"/>
      <c r="AF10" s="756"/>
      <c r="AG10" s="756"/>
      <c r="AH10" s="756"/>
    </row>
    <row r="11" spans="1:34">
      <c r="A11" s="756"/>
      <c r="B11" s="756" t="s">
        <v>946</v>
      </c>
      <c r="C11" s="761"/>
      <c r="D11" s="761"/>
      <c r="E11" s="761"/>
      <c r="F11" s="761"/>
      <c r="G11" s="761"/>
      <c r="H11" s="761"/>
      <c r="I11" s="761">
        <f>I6*80%</f>
        <v>576</v>
      </c>
      <c r="J11" s="761">
        <f t="shared" ref="J11:Y11" si="10">J6*80%</f>
        <v>587.34720000000004</v>
      </c>
      <c r="K11" s="761">
        <f t="shared" si="10"/>
        <v>598.91793984000003</v>
      </c>
      <c r="L11" s="761">
        <f t="shared" si="10"/>
        <v>610.71662325484806</v>
      </c>
      <c r="M11" s="761">
        <f t="shared" si="10"/>
        <v>622.74774073296862</v>
      </c>
      <c r="N11" s="761">
        <f t="shared" si="10"/>
        <v>635.0158712254082</v>
      </c>
      <c r="O11" s="761">
        <f t="shared" si="10"/>
        <v>647.52568388854877</v>
      </c>
      <c r="P11" s="761">
        <f t="shared" si="10"/>
        <v>660.28193986115309</v>
      </c>
      <c r="Q11" s="761">
        <f t="shared" si="10"/>
        <v>673.28949407641778</v>
      </c>
      <c r="R11" s="761">
        <f t="shared" si="10"/>
        <v>686.5532971097233</v>
      </c>
      <c r="S11" s="761">
        <f t="shared" si="10"/>
        <v>700.07839706278492</v>
      </c>
      <c r="T11" s="761">
        <f t="shared" si="10"/>
        <v>713.86994148492192</v>
      </c>
      <c r="U11" s="761">
        <f t="shared" si="10"/>
        <v>727.93317933217486</v>
      </c>
      <c r="V11" s="761">
        <f t="shared" si="10"/>
        <v>742.27346296501867</v>
      </c>
      <c r="W11" s="761">
        <f t="shared" si="10"/>
        <v>756.89625018542949</v>
      </c>
      <c r="X11" s="761">
        <f t="shared" si="10"/>
        <v>771.80710631408238</v>
      </c>
      <c r="Y11" s="761">
        <f t="shared" si="10"/>
        <v>787.01170630846991</v>
      </c>
      <c r="Z11" s="761"/>
      <c r="AA11" s="761"/>
      <c r="AB11" s="761"/>
      <c r="AC11" s="761"/>
      <c r="AD11" s="756"/>
      <c r="AE11" s="756"/>
      <c r="AF11" s="756"/>
      <c r="AG11" s="756"/>
      <c r="AH11" s="756"/>
    </row>
    <row r="12" spans="1:34">
      <c r="A12" s="756"/>
      <c r="B12" s="764" t="s">
        <v>947</v>
      </c>
      <c r="C12" s="765"/>
      <c r="D12" s="765"/>
      <c r="E12" s="765"/>
      <c r="F12" s="765"/>
      <c r="G12" s="765"/>
      <c r="H12" s="765"/>
      <c r="I12" s="765">
        <f>I11/I9</f>
        <v>0.12727453514964701</v>
      </c>
      <c r="J12" s="765">
        <f t="shared" ref="J12:Y12" si="11">J11/J9</f>
        <v>9.1120096036865855E-2</v>
      </c>
      <c r="K12" s="765">
        <f t="shared" si="11"/>
        <v>8.7190890051574613E-2</v>
      </c>
      <c r="L12" s="765">
        <f t="shared" si="11"/>
        <v>8.3612425965514006E-2</v>
      </c>
      <c r="M12" s="765">
        <f t="shared" si="11"/>
        <v>8.0338620304126793E-2</v>
      </c>
      <c r="N12" s="765">
        <f t="shared" si="11"/>
        <v>7.7331116321097099E-2</v>
      </c>
      <c r="O12" s="765">
        <f t="shared" si="11"/>
        <v>7.4557730638800473E-2</v>
      </c>
      <c r="P12" s="765">
        <f t="shared" si="11"/>
        <v>7.1991260137428015E-2</v>
      </c>
      <c r="Q12" s="765">
        <f t="shared" si="11"/>
        <v>6.96085552469691E-2</v>
      </c>
      <c r="R12" s="765">
        <f t="shared" si="11"/>
        <v>6.7389792733372367E-2</v>
      </c>
      <c r="S12" s="765">
        <f t="shared" si="11"/>
        <v>6.531789961020612E-2</v>
      </c>
      <c r="T12" s="765">
        <f t="shared" si="11"/>
        <v>6.3378092761132918E-2</v>
      </c>
      <c r="U12" s="765">
        <f t="shared" si="11"/>
        <v>6.1557508035961765E-2</v>
      </c>
      <c r="V12" s="765">
        <f t="shared" si="11"/>
        <v>5.9844899168891505E-2</v>
      </c>
      <c r="W12" s="765">
        <f t="shared" si="11"/>
        <v>5.8230391650220571E-2</v>
      </c>
      <c r="X12" s="765">
        <f t="shared" si="11"/>
        <v>5.6705280194644034E-2</v>
      </c>
      <c r="Y12" s="765">
        <f t="shared" si="11"/>
        <v>5.526186105471708E-2</v>
      </c>
      <c r="Z12" s="765"/>
      <c r="AA12" s="765"/>
      <c r="AB12" s="765"/>
      <c r="AC12" s="765"/>
      <c r="AD12" s="756"/>
      <c r="AE12" s="756"/>
      <c r="AF12" s="756"/>
      <c r="AG12" s="756"/>
      <c r="AH12" s="756"/>
    </row>
    <row r="13" spans="1:34">
      <c r="A13" s="756"/>
      <c r="B13" s="764"/>
      <c r="C13" s="765"/>
      <c r="D13" s="765"/>
      <c r="E13" s="765"/>
      <c r="F13" s="765"/>
      <c r="G13" s="765"/>
      <c r="H13" s="765"/>
      <c r="I13" s="765"/>
      <c r="J13" s="765"/>
      <c r="K13" s="765"/>
      <c r="L13" s="765"/>
      <c r="M13" s="765"/>
      <c r="N13" s="765"/>
      <c r="O13" s="765"/>
      <c r="P13" s="765"/>
      <c r="Q13" s="765"/>
      <c r="R13" s="765"/>
      <c r="S13" s="765"/>
      <c r="T13" s="765"/>
      <c r="U13" s="765"/>
      <c r="V13" s="765"/>
      <c r="W13" s="765"/>
      <c r="X13" s="765"/>
      <c r="Y13" s="765"/>
      <c r="Z13" s="765"/>
      <c r="AA13" s="765"/>
      <c r="AB13" s="765"/>
      <c r="AC13" s="765"/>
      <c r="AD13" s="756"/>
      <c r="AE13" s="756"/>
      <c r="AF13" s="756"/>
      <c r="AG13" s="756"/>
      <c r="AH13" s="756"/>
    </row>
    <row r="14" spans="1:34" hidden="1" outlineLevel="1">
      <c r="A14" s="756"/>
      <c r="B14" s="769" t="s">
        <v>423</v>
      </c>
      <c r="C14" s="770"/>
      <c r="D14" s="770"/>
      <c r="E14" s="770"/>
      <c r="F14" s="770"/>
      <c r="G14" s="770"/>
      <c r="H14" s="770"/>
      <c r="I14" s="771">
        <f>I11*0.8+I9*0.35</f>
        <v>2044.7774999999997</v>
      </c>
      <c r="J14" s="771">
        <f t="shared" ref="J14:Y14" si="12">J11*0.8+J9*0.35</f>
        <v>2725.9280600000002</v>
      </c>
      <c r="K14" s="771">
        <f t="shared" si="12"/>
        <v>2883.2992688720001</v>
      </c>
      <c r="L14" s="771">
        <f t="shared" si="12"/>
        <v>3045.0212866978786</v>
      </c>
      <c r="M14" s="771">
        <f t="shared" si="12"/>
        <v>3211.2359374646358</v>
      </c>
      <c r="N14" s="771">
        <f t="shared" si="12"/>
        <v>3382.0893365316706</v>
      </c>
      <c r="O14" s="771">
        <f t="shared" si="12"/>
        <v>3557.7320219535268</v>
      </c>
      <c r="P14" s="771">
        <f t="shared" si="12"/>
        <v>3738.3190897745881</v>
      </c>
      <c r="Q14" s="771">
        <f t="shared" si="12"/>
        <v>3924.0103334156938</v>
      </c>
      <c r="R14" s="771">
        <f t="shared" si="12"/>
        <v>4114.9703872762757</v>
      </c>
      <c r="S14" s="771">
        <f t="shared" si="12"/>
        <v>4311.368874679325</v>
      </c>
      <c r="T14" s="771">
        <f t="shared" si="12"/>
        <v>4513.3805602903431</v>
      </c>
      <c r="U14" s="771">
        <f t="shared" si="12"/>
        <v>4721.1855071453811</v>
      </c>
      <c r="V14" s="771">
        <f t="shared" si="12"/>
        <v>4934.9692384273303</v>
      </c>
      <c r="W14" s="771">
        <f t="shared" si="12"/>
        <v>5154.9229041338249</v>
      </c>
      <c r="X14" s="771">
        <f t="shared" si="12"/>
        <v>5381.2434527844298</v>
      </c>
      <c r="Y14" s="771">
        <f t="shared" si="12"/>
        <v>5614.1338083192495</v>
      </c>
      <c r="Z14" s="765"/>
      <c r="AA14" s="765"/>
      <c r="AB14" s="765"/>
      <c r="AC14" s="765"/>
      <c r="AD14" s="756"/>
      <c r="AE14" s="756"/>
      <c r="AF14" s="756"/>
      <c r="AG14" s="756"/>
      <c r="AH14" s="756"/>
    </row>
    <row r="15" spans="1:34" hidden="1" outlineLevel="1">
      <c r="A15" s="756"/>
      <c r="B15" s="769" t="s">
        <v>424</v>
      </c>
      <c r="C15" s="770"/>
      <c r="D15" s="770"/>
      <c r="E15" s="770"/>
      <c r="F15" s="770"/>
      <c r="G15" s="770"/>
      <c r="H15" s="770"/>
      <c r="I15" s="771">
        <f>I11*0.8+I9*0.05</f>
        <v>687.08249999999998</v>
      </c>
      <c r="J15" s="771">
        <f t="shared" ref="J15:Y15" si="13">J11*0.8+J9*0.05</f>
        <v>792.17066000000011</v>
      </c>
      <c r="K15" s="771">
        <f t="shared" si="13"/>
        <v>822.58648287200003</v>
      </c>
      <c r="L15" s="771">
        <f t="shared" si="13"/>
        <v>853.78015404587859</v>
      </c>
      <c r="M15" s="771">
        <f t="shared" si="13"/>
        <v>885.77501328326935</v>
      </c>
      <c r="N15" s="771">
        <f t="shared" si="13"/>
        <v>918.59507405909017</v>
      </c>
      <c r="O15" s="771">
        <f t="shared" si="13"/>
        <v>952.26504351693734</v>
      </c>
      <c r="P15" s="771">
        <f t="shared" si="13"/>
        <v>986.81034301544616</v>
      </c>
      <c r="Q15" s="771">
        <f t="shared" si="13"/>
        <v>1022.2571292832142</v>
      </c>
      <c r="R15" s="771">
        <f t="shared" si="13"/>
        <v>1058.6323162004212</v>
      </c>
      <c r="S15" s="771">
        <f t="shared" si="13"/>
        <v>1095.9635972258134</v>
      </c>
      <c r="T15" s="771">
        <f t="shared" si="13"/>
        <v>1134.2794684882811</v>
      </c>
      <c r="U15" s="771">
        <f t="shared" si="13"/>
        <v>1173.6092525628317</v>
      </c>
      <c r="V15" s="771">
        <f t="shared" si="13"/>
        <v>1213.9831229513456</v>
      </c>
      <c r="W15" s="771">
        <f t="shared" si="13"/>
        <v>1255.4321292891268</v>
      </c>
      <c r="X15" s="771">
        <f t="shared" si="13"/>
        <v>1297.9882232988607</v>
      </c>
      <c r="Y15" s="771">
        <f t="shared" si="13"/>
        <v>1341.6842855142722</v>
      </c>
      <c r="Z15" s="765"/>
      <c r="AA15" s="765"/>
      <c r="AB15" s="765"/>
      <c r="AC15" s="765"/>
      <c r="AD15" s="756"/>
      <c r="AE15" s="756"/>
      <c r="AF15" s="756"/>
      <c r="AG15" s="756"/>
      <c r="AH15" s="756"/>
    </row>
    <row r="16" spans="1:34" hidden="1" outlineLevel="1">
      <c r="A16" s="756"/>
      <c r="B16" s="769" t="s">
        <v>425</v>
      </c>
      <c r="C16" s="770"/>
      <c r="D16" s="770"/>
      <c r="E16" s="770"/>
      <c r="F16" s="770"/>
      <c r="G16" s="770"/>
      <c r="H16" s="770"/>
      <c r="I16" s="771">
        <f>I11</f>
        <v>576</v>
      </c>
      <c r="J16" s="771">
        <f t="shared" ref="J16:Y16" si="14">J11</f>
        <v>587.34720000000004</v>
      </c>
      <c r="K16" s="771">
        <f t="shared" si="14"/>
        <v>598.91793984000003</v>
      </c>
      <c r="L16" s="771">
        <f t="shared" si="14"/>
        <v>610.71662325484806</v>
      </c>
      <c r="M16" s="771">
        <f t="shared" si="14"/>
        <v>622.74774073296862</v>
      </c>
      <c r="N16" s="771">
        <f t="shared" si="14"/>
        <v>635.0158712254082</v>
      </c>
      <c r="O16" s="771">
        <f t="shared" si="14"/>
        <v>647.52568388854877</v>
      </c>
      <c r="P16" s="771">
        <f t="shared" si="14"/>
        <v>660.28193986115309</v>
      </c>
      <c r="Q16" s="771">
        <f t="shared" si="14"/>
        <v>673.28949407641778</v>
      </c>
      <c r="R16" s="771">
        <f t="shared" si="14"/>
        <v>686.5532971097233</v>
      </c>
      <c r="S16" s="771">
        <f t="shared" si="14"/>
        <v>700.07839706278492</v>
      </c>
      <c r="T16" s="771">
        <f t="shared" si="14"/>
        <v>713.86994148492192</v>
      </c>
      <c r="U16" s="771">
        <f t="shared" si="14"/>
        <v>727.93317933217486</v>
      </c>
      <c r="V16" s="771">
        <f t="shared" si="14"/>
        <v>742.27346296501867</v>
      </c>
      <c r="W16" s="771">
        <f t="shared" si="14"/>
        <v>756.89625018542949</v>
      </c>
      <c r="X16" s="771">
        <f t="shared" si="14"/>
        <v>771.80710631408238</v>
      </c>
      <c r="Y16" s="771">
        <f t="shared" si="14"/>
        <v>787.01170630846991</v>
      </c>
      <c r="Z16" s="765"/>
      <c r="AA16" s="765"/>
      <c r="AB16" s="765"/>
      <c r="AC16" s="765"/>
      <c r="AD16" s="756"/>
      <c r="AE16" s="756"/>
      <c r="AF16" s="756"/>
      <c r="AG16" s="756"/>
      <c r="AH16" s="756"/>
    </row>
    <row r="17" spans="1:34" collapsed="1">
      <c r="A17" s="797" t="s">
        <v>578</v>
      </c>
      <c r="B17" s="777" t="s">
        <v>970</v>
      </c>
      <c r="C17" s="798"/>
      <c r="D17" s="798"/>
      <c r="E17" s="798"/>
      <c r="F17" s="798"/>
      <c r="G17" s="798"/>
      <c r="H17" s="798"/>
      <c r="I17" s="773">
        <f>CHOOSE(DCF!$C$25,I14,I15,I16)</f>
        <v>687.08249999999998</v>
      </c>
      <c r="J17" s="773">
        <f>CHOOSE(DCF!$C$25,J14,J15,J16)</f>
        <v>792.17066000000011</v>
      </c>
      <c r="K17" s="773">
        <f>CHOOSE(DCF!$C$25,K14,K15,K16)</f>
        <v>822.58648287200003</v>
      </c>
      <c r="L17" s="773">
        <f>CHOOSE(DCF!$C$25,L14,L15,L16)</f>
        <v>853.78015404587859</v>
      </c>
      <c r="M17" s="773">
        <f>CHOOSE(DCF!$C$25,M14,M15,M16)</f>
        <v>885.77501328326935</v>
      </c>
      <c r="N17" s="773">
        <f>CHOOSE(DCF!$C$25,N14,N15,N16)</f>
        <v>918.59507405909017</v>
      </c>
      <c r="O17" s="773">
        <f>CHOOSE(DCF!$C$25,O14,O15,O16)</f>
        <v>952.26504351693734</v>
      </c>
      <c r="P17" s="773">
        <f>CHOOSE(DCF!$C$25,P14,P15,P16)</f>
        <v>986.81034301544616</v>
      </c>
      <c r="Q17" s="773">
        <f>CHOOSE(DCF!$C$25,Q14,Q15,Q16)</f>
        <v>1022.2571292832142</v>
      </c>
      <c r="R17" s="773">
        <f>CHOOSE(DCF!$C$25,R14,R15,R16)</f>
        <v>1058.6323162004212</v>
      </c>
      <c r="S17" s="773">
        <f>CHOOSE(DCF!$C$25,S14,S15,S16)</f>
        <v>1095.9635972258134</v>
      </c>
      <c r="T17" s="773">
        <f>CHOOSE(DCF!$C$25,T14,T15,T16)</f>
        <v>1134.2794684882811</v>
      </c>
      <c r="U17" s="773">
        <f>CHOOSE(DCF!$C$25,U14,U15,U16)</f>
        <v>1173.6092525628317</v>
      </c>
      <c r="V17" s="773">
        <f>CHOOSE(DCF!$C$25,V14,V15,V16)</f>
        <v>1213.9831229513456</v>
      </c>
      <c r="W17" s="773">
        <f>CHOOSE(DCF!$C$25,W14,W15,W16)</f>
        <v>1255.4321292891268</v>
      </c>
      <c r="X17" s="773">
        <f>CHOOSE(DCF!$C$25,X14,X15,X16)</f>
        <v>1297.9882232988607</v>
      </c>
      <c r="Y17" s="773">
        <f>CHOOSE(DCF!$C$25,Y14,Y15,Y16)</f>
        <v>1341.6842855142722</v>
      </c>
      <c r="Z17" s="765"/>
      <c r="AA17" s="765" t="s">
        <v>991</v>
      </c>
      <c r="AB17" s="765"/>
      <c r="AC17" s="765"/>
      <c r="AD17" s="756"/>
      <c r="AE17" s="756"/>
      <c r="AF17" s="756"/>
      <c r="AG17" s="756"/>
      <c r="AH17" s="756"/>
    </row>
    <row r="18" spans="1:34">
      <c r="A18" s="756"/>
      <c r="B18" s="764"/>
      <c r="C18" s="765"/>
      <c r="D18" s="765"/>
      <c r="E18" s="765"/>
      <c r="F18" s="765"/>
      <c r="G18" s="765"/>
      <c r="H18" s="765"/>
      <c r="I18" s="765"/>
      <c r="J18" s="765"/>
      <c r="K18" s="765"/>
      <c r="L18" s="765"/>
      <c r="M18" s="765"/>
      <c r="N18" s="765"/>
      <c r="O18" s="765"/>
      <c r="P18" s="765"/>
      <c r="Q18" s="765"/>
      <c r="R18" s="765"/>
      <c r="S18" s="765"/>
      <c r="T18" s="765"/>
      <c r="U18" s="765"/>
      <c r="V18" s="765"/>
      <c r="W18" s="765"/>
      <c r="X18" s="765"/>
      <c r="Y18" s="765"/>
      <c r="Z18" s="765"/>
      <c r="AA18" s="765"/>
      <c r="AB18" s="765"/>
      <c r="AC18" s="765"/>
      <c r="AD18" s="756"/>
      <c r="AE18" s="756"/>
      <c r="AF18" s="756"/>
      <c r="AG18" s="756"/>
      <c r="AH18" s="756"/>
    </row>
    <row r="19" spans="1:34">
      <c r="A19" s="756"/>
      <c r="B19" s="758" t="s">
        <v>971</v>
      </c>
      <c r="C19" s="759"/>
      <c r="D19" s="759"/>
      <c r="E19" s="759"/>
      <c r="F19" s="759"/>
      <c r="G19" s="759"/>
      <c r="H19" s="759"/>
      <c r="I19" s="759"/>
      <c r="J19" s="759"/>
      <c r="K19" s="759"/>
      <c r="L19" s="759"/>
      <c r="M19" s="759"/>
      <c r="N19" s="759"/>
      <c r="O19" s="759"/>
      <c r="P19" s="759"/>
      <c r="Q19" s="759"/>
      <c r="R19" s="759"/>
      <c r="S19" s="759"/>
      <c r="T19" s="759"/>
      <c r="U19" s="759"/>
      <c r="V19" s="759"/>
      <c r="W19" s="759"/>
      <c r="X19" s="759"/>
      <c r="Y19" s="759"/>
      <c r="Z19" s="765"/>
      <c r="AA19" s="765"/>
      <c r="AB19" s="765"/>
      <c r="AC19" s="765"/>
      <c r="AD19" s="756"/>
      <c r="AE19" s="756"/>
      <c r="AF19" s="756"/>
      <c r="AG19" s="756"/>
      <c r="AH19" s="756"/>
    </row>
    <row r="20" spans="1:34">
      <c r="A20" s="756"/>
      <c r="B20" s="756" t="s">
        <v>935</v>
      </c>
      <c r="C20" s="761"/>
      <c r="D20" s="761"/>
      <c r="E20" s="761"/>
      <c r="F20" s="761"/>
      <c r="G20" s="762"/>
      <c r="H20" s="761"/>
      <c r="I20" s="762">
        <v>30318</v>
      </c>
      <c r="J20" s="761">
        <f>I20+I21-I22-I23</f>
        <v>30662.1</v>
      </c>
      <c r="K20" s="761">
        <f t="shared" ref="K20:Y20" si="15">J20+J21-J22-J23</f>
        <v>31055.918999999994</v>
      </c>
      <c r="L20" s="761">
        <f t="shared" si="15"/>
        <v>31499.197912799995</v>
      </c>
      <c r="M20" s="761">
        <f t="shared" si="15"/>
        <v>31991.761728557154</v>
      </c>
      <c r="N20" s="761">
        <f t="shared" si="15"/>
        <v>32533.517529654979</v>
      </c>
      <c r="O20" s="761">
        <f t="shared" si="15"/>
        <v>33124.452673066589</v>
      </c>
      <c r="P20" s="761">
        <f t="shared" si="15"/>
        <v>33764.633133917494</v>
      </c>
      <c r="Q20" s="761">
        <f t="shared" si="15"/>
        <v>34454.202004331077</v>
      </c>
      <c r="R20" s="761">
        <f t="shared" si="15"/>
        <v>35193.378142000838</v>
      </c>
      <c r="S20" s="761">
        <f t="shared" si="15"/>
        <v>35982.45496327804</v>
      </c>
      <c r="T20" s="761">
        <f t="shared" si="15"/>
        <v>36821.799375893133</v>
      </c>
      <c r="U20" s="761">
        <f t="shared" si="15"/>
        <v>37711.850846744121</v>
      </c>
      <c r="V20" s="761">
        <f t="shared" si="15"/>
        <v>38653.120600486851</v>
      </c>
      <c r="W20" s="761">
        <f t="shared" si="15"/>
        <v>39646.1909449507</v>
      </c>
      <c r="X20" s="761">
        <f t="shared" si="15"/>
        <v>40691.714719679519</v>
      </c>
      <c r="Y20" s="761">
        <f t="shared" si="15"/>
        <v>41790.414864162885</v>
      </c>
      <c r="Z20" s="813">
        <f>Y20*(1.006)</f>
        <v>42041.157353347866</v>
      </c>
      <c r="AA20" s="756" t="s">
        <v>986</v>
      </c>
      <c r="AB20" s="756"/>
      <c r="AC20" s="756"/>
      <c r="AD20" s="756"/>
      <c r="AE20" s="756"/>
      <c r="AF20" s="756"/>
      <c r="AG20" s="756"/>
      <c r="AH20" s="756"/>
    </row>
    <row r="21" spans="1:34">
      <c r="A21" s="756"/>
      <c r="B21" s="756" t="s">
        <v>535</v>
      </c>
      <c r="C21" s="761"/>
      <c r="D21" s="761"/>
      <c r="E21" s="761"/>
      <c r="F21" s="761"/>
      <c r="G21" s="762"/>
      <c r="H21" s="761"/>
      <c r="I21" s="762">
        <v>2940</v>
      </c>
      <c r="J21" s="761">
        <f>I21*1.03</f>
        <v>3028.2000000000003</v>
      </c>
      <c r="K21" s="761">
        <f t="shared" ref="K21:Y21" si="16">J21*1.03</f>
        <v>3119.0460000000003</v>
      </c>
      <c r="L21" s="761">
        <f t="shared" si="16"/>
        <v>3212.6173800000006</v>
      </c>
      <c r="M21" s="761">
        <f t="shared" si="16"/>
        <v>3308.9959014000005</v>
      </c>
      <c r="N21" s="761">
        <f t="shared" si="16"/>
        <v>3408.2657784420007</v>
      </c>
      <c r="O21" s="761">
        <f t="shared" si="16"/>
        <v>3510.5137517952608</v>
      </c>
      <c r="P21" s="761">
        <f t="shared" si="16"/>
        <v>3615.8291643491189</v>
      </c>
      <c r="Q21" s="761">
        <f t="shared" si="16"/>
        <v>3724.3040392795924</v>
      </c>
      <c r="R21" s="761">
        <f t="shared" si="16"/>
        <v>3836.0331604579801</v>
      </c>
      <c r="S21" s="761">
        <f t="shared" si="16"/>
        <v>3951.1141552717195</v>
      </c>
      <c r="T21" s="761">
        <f t="shared" si="16"/>
        <v>4069.647579929871</v>
      </c>
      <c r="U21" s="761">
        <f t="shared" si="16"/>
        <v>4191.7370073277671</v>
      </c>
      <c r="V21" s="761">
        <f t="shared" si="16"/>
        <v>4317.4891175476005</v>
      </c>
      <c r="W21" s="761">
        <f t="shared" si="16"/>
        <v>4447.0137910740286</v>
      </c>
      <c r="X21" s="761">
        <f t="shared" si="16"/>
        <v>4580.4242048062497</v>
      </c>
      <c r="Y21" s="761">
        <f t="shared" si="16"/>
        <v>4717.8369309504369</v>
      </c>
      <c r="Z21" s="756"/>
      <c r="AA21" s="756" t="s">
        <v>987</v>
      </c>
      <c r="AB21" s="756"/>
      <c r="AC21" s="756"/>
      <c r="AD21" s="756"/>
      <c r="AE21" s="756"/>
      <c r="AF21" s="756"/>
      <c r="AG21" s="756"/>
      <c r="AH21" s="756"/>
    </row>
    <row r="22" spans="1:34">
      <c r="A22" s="756"/>
      <c r="B22" s="756" t="s">
        <v>936</v>
      </c>
      <c r="C22" s="761"/>
      <c r="D22" s="761"/>
      <c r="E22" s="761"/>
      <c r="F22" s="761"/>
      <c r="G22" s="762"/>
      <c r="H22" s="761"/>
      <c r="I22" s="762">
        <f>1800*0.6</f>
        <v>1080</v>
      </c>
      <c r="J22" s="761">
        <f t="shared" ref="J22:Y22" si="17">J21*J78</f>
        <v>1101.2760000000003</v>
      </c>
      <c r="K22" s="761">
        <f t="shared" si="17"/>
        <v>1122.9711372000002</v>
      </c>
      <c r="L22" s="761">
        <f t="shared" si="17"/>
        <v>1145.0936686028404</v>
      </c>
      <c r="M22" s="761">
        <f t="shared" si="17"/>
        <v>1167.652013874316</v>
      </c>
      <c r="N22" s="761">
        <f t="shared" si="17"/>
        <v>1190.6547585476401</v>
      </c>
      <c r="O22" s="761">
        <f t="shared" si="17"/>
        <v>1214.1106572910287</v>
      </c>
      <c r="P22" s="761">
        <f t="shared" si="17"/>
        <v>1238.0286372396622</v>
      </c>
      <c r="Q22" s="761">
        <f t="shared" si="17"/>
        <v>1262.4178013932833</v>
      </c>
      <c r="R22" s="761">
        <f t="shared" si="17"/>
        <v>1287.2874320807312</v>
      </c>
      <c r="S22" s="761">
        <f t="shared" si="17"/>
        <v>1312.6469944927214</v>
      </c>
      <c r="T22" s="761">
        <f t="shared" si="17"/>
        <v>1338.506140284228</v>
      </c>
      <c r="U22" s="761">
        <f t="shared" si="17"/>
        <v>1364.8747112478272</v>
      </c>
      <c r="V22" s="761">
        <f t="shared" si="17"/>
        <v>1391.7627430594096</v>
      </c>
      <c r="W22" s="761">
        <f t="shared" si="17"/>
        <v>1419.1804690976799</v>
      </c>
      <c r="X22" s="761">
        <f t="shared" si="17"/>
        <v>1447.1383243389041</v>
      </c>
      <c r="Y22" s="761">
        <f t="shared" si="17"/>
        <v>1475.6469493283805</v>
      </c>
      <c r="Z22" s="756"/>
      <c r="AA22" s="756" t="s">
        <v>959</v>
      </c>
      <c r="AB22" s="756"/>
      <c r="AC22" s="756"/>
      <c r="AD22" s="756"/>
      <c r="AE22" s="756"/>
      <c r="AF22" s="756"/>
      <c r="AG22" s="756"/>
      <c r="AH22" s="756"/>
    </row>
    <row r="23" spans="1:34">
      <c r="A23" s="756"/>
      <c r="B23" s="756" t="s">
        <v>937</v>
      </c>
      <c r="C23" s="763"/>
      <c r="D23" s="763"/>
      <c r="E23" s="763"/>
      <c r="F23" s="763"/>
      <c r="G23" s="763"/>
      <c r="H23" s="763"/>
      <c r="I23" s="763">
        <f t="shared" ref="I23:Y23" si="18">I20*0.05</f>
        <v>1515.9</v>
      </c>
      <c r="J23" s="763">
        <f t="shared" si="18"/>
        <v>1533.105</v>
      </c>
      <c r="K23" s="763">
        <f t="shared" si="18"/>
        <v>1552.7959499999997</v>
      </c>
      <c r="L23" s="763">
        <f t="shared" si="18"/>
        <v>1574.9598956399998</v>
      </c>
      <c r="M23" s="763">
        <f t="shared" si="18"/>
        <v>1599.5880864278579</v>
      </c>
      <c r="N23" s="763">
        <f t="shared" si="18"/>
        <v>1626.6758764827491</v>
      </c>
      <c r="O23" s="763">
        <f t="shared" si="18"/>
        <v>1656.2226336533295</v>
      </c>
      <c r="P23" s="763">
        <f t="shared" si="18"/>
        <v>1688.2316566958748</v>
      </c>
      <c r="Q23" s="763">
        <f t="shared" si="18"/>
        <v>1722.7101002165539</v>
      </c>
      <c r="R23" s="763">
        <f t="shared" si="18"/>
        <v>1759.6689071000419</v>
      </c>
      <c r="S23" s="763">
        <f t="shared" si="18"/>
        <v>1799.1227481639021</v>
      </c>
      <c r="T23" s="763">
        <f t="shared" si="18"/>
        <v>1841.0899687946567</v>
      </c>
      <c r="U23" s="763">
        <f t="shared" si="18"/>
        <v>1885.5925423372062</v>
      </c>
      <c r="V23" s="763">
        <f t="shared" si="18"/>
        <v>1932.6560300243427</v>
      </c>
      <c r="W23" s="763">
        <f t="shared" si="18"/>
        <v>1982.3095472475352</v>
      </c>
      <c r="X23" s="763">
        <f t="shared" si="18"/>
        <v>2034.5857359839761</v>
      </c>
      <c r="Y23" s="763">
        <f t="shared" si="18"/>
        <v>2089.5207432081443</v>
      </c>
      <c r="Z23" s="756"/>
      <c r="AA23" s="756"/>
      <c r="AB23" s="756"/>
      <c r="AC23" s="756"/>
      <c r="AD23" s="756"/>
      <c r="AE23" s="756"/>
      <c r="AF23" s="756"/>
      <c r="AG23" s="756"/>
      <c r="AH23" s="756"/>
    </row>
    <row r="24" spans="1:34">
      <c r="A24" s="756"/>
      <c r="B24" s="756"/>
      <c r="C24" s="756"/>
      <c r="D24" s="756"/>
      <c r="E24" s="756"/>
      <c r="F24" s="756"/>
      <c r="G24" s="756"/>
      <c r="H24" s="756"/>
      <c r="I24" s="756"/>
      <c r="J24" s="756"/>
      <c r="K24" s="756"/>
      <c r="L24" s="756"/>
      <c r="M24" s="756"/>
      <c r="N24" s="756"/>
      <c r="O24" s="756"/>
      <c r="P24" s="756"/>
      <c r="Q24" s="756"/>
      <c r="R24" s="756"/>
      <c r="S24" s="756"/>
      <c r="T24" s="756"/>
      <c r="U24" s="756"/>
      <c r="V24" s="756"/>
      <c r="W24" s="756"/>
      <c r="X24" s="756"/>
      <c r="Y24" s="756"/>
      <c r="Z24" s="756"/>
      <c r="AA24" s="756"/>
      <c r="AB24" s="756"/>
      <c r="AC24" s="756"/>
      <c r="AD24" s="756"/>
      <c r="AE24" s="756"/>
      <c r="AF24" s="756"/>
      <c r="AG24" s="756"/>
      <c r="AH24" s="756"/>
    </row>
    <row r="25" spans="1:34">
      <c r="A25" s="756"/>
      <c r="B25" s="756" t="s">
        <v>969</v>
      </c>
      <c r="C25" s="761"/>
      <c r="D25" s="767"/>
      <c r="E25" s="767"/>
      <c r="F25" s="767"/>
      <c r="G25" s="762"/>
      <c r="H25" s="761"/>
      <c r="I25" s="761">
        <f>I20*0.2</f>
        <v>6063.6</v>
      </c>
      <c r="J25" s="761">
        <f t="shared" ref="J25:Y25" si="19">J20*0.2</f>
        <v>6132.42</v>
      </c>
      <c r="K25" s="761">
        <f t="shared" si="19"/>
        <v>6211.1837999999989</v>
      </c>
      <c r="L25" s="761">
        <f t="shared" si="19"/>
        <v>6299.8395825599991</v>
      </c>
      <c r="M25" s="761">
        <f t="shared" si="19"/>
        <v>6398.3523457114316</v>
      </c>
      <c r="N25" s="761">
        <f t="shared" si="19"/>
        <v>6506.7035059309965</v>
      </c>
      <c r="O25" s="761">
        <f t="shared" si="19"/>
        <v>6624.8905346133179</v>
      </c>
      <c r="P25" s="761">
        <f t="shared" si="19"/>
        <v>6752.9266267834992</v>
      </c>
      <c r="Q25" s="761">
        <f t="shared" si="19"/>
        <v>6890.8404008662155</v>
      </c>
      <c r="R25" s="761">
        <f t="shared" si="19"/>
        <v>7038.6756284001676</v>
      </c>
      <c r="S25" s="761">
        <f t="shared" si="19"/>
        <v>7196.4909926556084</v>
      </c>
      <c r="T25" s="761">
        <f t="shared" si="19"/>
        <v>7364.3598751786267</v>
      </c>
      <c r="U25" s="761">
        <f t="shared" si="19"/>
        <v>7542.3701693488247</v>
      </c>
      <c r="V25" s="761">
        <f t="shared" si="19"/>
        <v>7730.6241200973709</v>
      </c>
      <c r="W25" s="761">
        <f t="shared" si="19"/>
        <v>7929.2381889901408</v>
      </c>
      <c r="X25" s="761">
        <f t="shared" si="19"/>
        <v>8138.3429439359043</v>
      </c>
      <c r="Y25" s="761">
        <f t="shared" si="19"/>
        <v>8358.0829728325771</v>
      </c>
      <c r="Z25" s="756"/>
      <c r="AA25" s="756" t="s">
        <v>992</v>
      </c>
      <c r="AB25" s="756"/>
      <c r="AC25" s="756"/>
      <c r="AD25" s="756"/>
      <c r="AE25" s="756"/>
      <c r="AF25" s="756"/>
      <c r="AG25" s="756"/>
      <c r="AH25" s="756"/>
    </row>
    <row r="26" spans="1:34">
      <c r="A26" s="756"/>
      <c r="B26" s="764"/>
      <c r="C26" s="765"/>
      <c r="D26" s="765"/>
      <c r="E26" s="765"/>
      <c r="F26" s="765"/>
      <c r="G26" s="766"/>
      <c r="H26" s="765"/>
      <c r="I26" s="765"/>
      <c r="J26" s="765"/>
      <c r="K26" s="765"/>
      <c r="L26" s="765"/>
      <c r="M26" s="765"/>
      <c r="N26" s="765"/>
      <c r="O26" s="765"/>
      <c r="P26" s="765"/>
      <c r="Q26" s="765"/>
      <c r="R26" s="765"/>
      <c r="S26" s="765"/>
      <c r="T26" s="765"/>
      <c r="U26" s="765"/>
      <c r="V26" s="765"/>
      <c r="W26" s="765"/>
      <c r="X26" s="765"/>
      <c r="Y26" s="765"/>
      <c r="Z26" s="756"/>
      <c r="AA26" s="756"/>
      <c r="AB26" s="756"/>
      <c r="AC26" s="756"/>
      <c r="AD26" s="756"/>
      <c r="AE26" s="756"/>
      <c r="AF26" s="756"/>
      <c r="AG26" s="756"/>
      <c r="AH26" s="756"/>
    </row>
    <row r="27" spans="1:34">
      <c r="A27" s="756"/>
      <c r="B27" s="756" t="s">
        <v>946</v>
      </c>
      <c r="C27" s="761"/>
      <c r="D27" s="761"/>
      <c r="E27" s="761"/>
      <c r="F27" s="761"/>
      <c r="G27" s="761"/>
      <c r="H27" s="761"/>
      <c r="I27" s="761">
        <f>I22*80%</f>
        <v>864</v>
      </c>
      <c r="J27" s="761">
        <f t="shared" ref="J27:Y27" si="20">J22*80%</f>
        <v>881.02080000000024</v>
      </c>
      <c r="K27" s="761">
        <f t="shared" si="20"/>
        <v>898.37690976000022</v>
      </c>
      <c r="L27" s="761">
        <f t="shared" si="20"/>
        <v>916.07493488227237</v>
      </c>
      <c r="M27" s="761">
        <f t="shared" si="20"/>
        <v>934.12161109945282</v>
      </c>
      <c r="N27" s="761">
        <f t="shared" si="20"/>
        <v>952.52380683811214</v>
      </c>
      <c r="O27" s="761">
        <f t="shared" si="20"/>
        <v>971.28852583282298</v>
      </c>
      <c r="P27" s="761">
        <f t="shared" si="20"/>
        <v>990.42290979172981</v>
      </c>
      <c r="Q27" s="761">
        <f t="shared" si="20"/>
        <v>1009.9342411146267</v>
      </c>
      <c r="R27" s="761">
        <f t="shared" si="20"/>
        <v>1029.829945664585</v>
      </c>
      <c r="S27" s="761">
        <f t="shared" si="20"/>
        <v>1050.1175955941771</v>
      </c>
      <c r="T27" s="761">
        <f t="shared" si="20"/>
        <v>1070.8049122273824</v>
      </c>
      <c r="U27" s="761">
        <f t="shared" si="20"/>
        <v>1091.8997689982618</v>
      </c>
      <c r="V27" s="761">
        <f t="shared" si="20"/>
        <v>1113.4101944475276</v>
      </c>
      <c r="W27" s="761">
        <f t="shared" si="20"/>
        <v>1135.3443752781438</v>
      </c>
      <c r="X27" s="761">
        <f t="shared" si="20"/>
        <v>1157.7106594711233</v>
      </c>
      <c r="Y27" s="761">
        <f t="shared" si="20"/>
        <v>1180.5175594627044</v>
      </c>
      <c r="Z27" s="761"/>
      <c r="AA27" s="761"/>
      <c r="AB27" s="761"/>
      <c r="AC27" s="761"/>
      <c r="AD27" s="756"/>
      <c r="AE27" s="756"/>
      <c r="AF27" s="756"/>
      <c r="AG27" s="756"/>
      <c r="AH27" s="756"/>
    </row>
    <row r="28" spans="1:34">
      <c r="A28" s="756"/>
      <c r="B28" s="764" t="s">
        <v>947</v>
      </c>
      <c r="C28" s="765"/>
      <c r="D28" s="765"/>
      <c r="E28" s="765"/>
      <c r="F28" s="765"/>
      <c r="G28" s="765"/>
      <c r="H28" s="765"/>
      <c r="I28" s="765">
        <f t="shared" ref="I28:Y28" si="21">I27/I25</f>
        <v>0.14248961013259448</v>
      </c>
      <c r="J28" s="765">
        <f t="shared" si="21"/>
        <v>0.14366608940679212</v>
      </c>
      <c r="K28" s="765">
        <f t="shared" si="21"/>
        <v>0.14463859687423844</v>
      </c>
      <c r="L28" s="765">
        <f t="shared" si="21"/>
        <v>0.14541242247156025</v>
      </c>
      <c r="M28" s="765">
        <f t="shared" si="21"/>
        <v>0.14599408732555319</v>
      </c>
      <c r="N28" s="765">
        <f t="shared" si="21"/>
        <v>0.14639114967661684</v>
      </c>
      <c r="O28" s="765">
        <f t="shared" si="21"/>
        <v>0.14661201128654047</v>
      </c>
      <c r="P28" s="765">
        <f t="shared" si="21"/>
        <v>0.14666572947253836</v>
      </c>
      <c r="Q28" s="765">
        <f t="shared" si="21"/>
        <v>0.1465618389576506</v>
      </c>
      <c r="R28" s="765">
        <f t="shared" si="21"/>
        <v>0.14631018675009702</v>
      </c>
      <c r="S28" s="765">
        <f t="shared" si="21"/>
        <v>0.14592078231819877</v>
      </c>
      <c r="T28" s="765">
        <f t="shared" si="21"/>
        <v>0.1454036644564996</v>
      </c>
      <c r="U28" s="765">
        <f t="shared" si="21"/>
        <v>0.14476878547218422</v>
      </c>
      <c r="V28" s="765">
        <f t="shared" si="21"/>
        <v>0.14402591267540552</v>
      </c>
      <c r="W28" s="765">
        <f t="shared" si="21"/>
        <v>0.1431845466383625</v>
      </c>
      <c r="X28" s="765">
        <f t="shared" si="21"/>
        <v>0.14225385529295792</v>
      </c>
      <c r="Y28" s="765">
        <f t="shared" si="21"/>
        <v>0.14124262265640369</v>
      </c>
      <c r="Z28" s="765"/>
      <c r="AA28" s="765"/>
      <c r="AB28" s="765"/>
      <c r="AC28" s="765"/>
      <c r="AD28" s="756"/>
      <c r="AE28" s="756"/>
      <c r="AF28" s="756"/>
      <c r="AG28" s="756"/>
      <c r="AH28" s="756"/>
    </row>
    <row r="29" spans="1:34">
      <c r="A29" s="756"/>
      <c r="B29" s="764"/>
      <c r="C29" s="765"/>
      <c r="D29" s="765"/>
      <c r="E29" s="765"/>
      <c r="F29" s="765"/>
      <c r="G29" s="765"/>
      <c r="H29" s="765"/>
      <c r="I29" s="765"/>
      <c r="J29" s="765"/>
      <c r="K29" s="765"/>
      <c r="L29" s="765"/>
      <c r="M29" s="765"/>
      <c r="N29" s="765"/>
      <c r="O29" s="765"/>
      <c r="P29" s="765"/>
      <c r="Q29" s="765"/>
      <c r="R29" s="765"/>
      <c r="S29" s="765"/>
      <c r="T29" s="765"/>
      <c r="U29" s="765"/>
      <c r="V29" s="765"/>
      <c r="W29" s="765"/>
      <c r="X29" s="765"/>
      <c r="Y29" s="765"/>
      <c r="Z29" s="765"/>
      <c r="AA29" s="765"/>
      <c r="AB29" s="765"/>
      <c r="AC29" s="765"/>
      <c r="AD29" s="756"/>
      <c r="AE29" s="756"/>
      <c r="AF29" s="756"/>
      <c r="AG29" s="756"/>
      <c r="AH29" s="756"/>
    </row>
    <row r="30" spans="1:34" hidden="1" outlineLevel="1">
      <c r="A30" s="756"/>
      <c r="B30" s="769" t="s">
        <v>423</v>
      </c>
      <c r="C30" s="770"/>
      <c r="D30" s="770"/>
      <c r="E30" s="770"/>
      <c r="F30" s="770"/>
      <c r="G30" s="770"/>
      <c r="H30" s="770"/>
      <c r="I30" s="771">
        <f>I27*0.8+I25*0.35</f>
        <v>2813.46</v>
      </c>
      <c r="J30" s="771">
        <f t="shared" ref="J30:Y30" si="22">J27*0.8+J25*0.35</f>
        <v>2851.1636399999998</v>
      </c>
      <c r="K30" s="771">
        <f t="shared" si="22"/>
        <v>2892.6158578079999</v>
      </c>
      <c r="L30" s="771">
        <f t="shared" si="22"/>
        <v>2937.8038018018174</v>
      </c>
      <c r="M30" s="771">
        <f t="shared" si="22"/>
        <v>2986.7206098785628</v>
      </c>
      <c r="N30" s="771">
        <f t="shared" si="22"/>
        <v>3039.3652725463385</v>
      </c>
      <c r="O30" s="771">
        <f t="shared" si="22"/>
        <v>3095.7425077809194</v>
      </c>
      <c r="P30" s="771">
        <f t="shared" si="22"/>
        <v>3155.8626472076085</v>
      </c>
      <c r="Q30" s="771">
        <f t="shared" si="22"/>
        <v>3219.7415331948769</v>
      </c>
      <c r="R30" s="771">
        <f t="shared" si="22"/>
        <v>3287.4004264717264</v>
      </c>
      <c r="S30" s="771">
        <f t="shared" si="22"/>
        <v>3358.8659239048047</v>
      </c>
      <c r="T30" s="771">
        <f t="shared" si="22"/>
        <v>3434.1698860944252</v>
      </c>
      <c r="U30" s="771">
        <f t="shared" si="22"/>
        <v>3513.349374470698</v>
      </c>
      <c r="V30" s="771">
        <f t="shared" si="22"/>
        <v>3596.4465975921016</v>
      </c>
      <c r="W30" s="771">
        <f t="shared" si="22"/>
        <v>3683.508866369064</v>
      </c>
      <c r="X30" s="771">
        <f t="shared" si="22"/>
        <v>3774.5885579544652</v>
      </c>
      <c r="Y30" s="771">
        <f t="shared" si="22"/>
        <v>3869.7430880615657</v>
      </c>
      <c r="Z30" s="765"/>
      <c r="AA30" s="765"/>
      <c r="AB30" s="765"/>
      <c r="AC30" s="765"/>
      <c r="AD30" s="756"/>
      <c r="AE30" s="756"/>
      <c r="AF30" s="756"/>
      <c r="AG30" s="756"/>
      <c r="AH30" s="756"/>
    </row>
    <row r="31" spans="1:34" hidden="1" outlineLevel="1">
      <c r="A31" s="756"/>
      <c r="B31" s="769" t="s">
        <v>424</v>
      </c>
      <c r="C31" s="770"/>
      <c r="D31" s="770"/>
      <c r="E31" s="770"/>
      <c r="F31" s="770"/>
      <c r="G31" s="770"/>
      <c r="H31" s="770"/>
      <c r="I31" s="771">
        <f>I27*0.8+I25*0.05</f>
        <v>994.38000000000011</v>
      </c>
      <c r="J31" s="771">
        <f t="shared" ref="J31:Y31" si="23">J27*0.8+J25*0.05</f>
        <v>1011.4376400000003</v>
      </c>
      <c r="K31" s="771">
        <f t="shared" si="23"/>
        <v>1029.2607178080002</v>
      </c>
      <c r="L31" s="771">
        <f t="shared" si="23"/>
        <v>1047.8519270338179</v>
      </c>
      <c r="M31" s="771">
        <f t="shared" si="23"/>
        <v>1067.2149061651339</v>
      </c>
      <c r="N31" s="771">
        <f t="shared" si="23"/>
        <v>1087.3542207670396</v>
      </c>
      <c r="O31" s="771">
        <f t="shared" si="23"/>
        <v>1108.2753473969244</v>
      </c>
      <c r="P31" s="771">
        <f t="shared" si="23"/>
        <v>1129.9846591725588</v>
      </c>
      <c r="Q31" s="771">
        <f t="shared" si="23"/>
        <v>1152.4894129350123</v>
      </c>
      <c r="R31" s="771">
        <f t="shared" si="23"/>
        <v>1175.7977379516765</v>
      </c>
      <c r="S31" s="771">
        <f t="shared" si="23"/>
        <v>1199.9186261081222</v>
      </c>
      <c r="T31" s="771">
        <f t="shared" si="23"/>
        <v>1224.8619235408373</v>
      </c>
      <c r="U31" s="771">
        <f t="shared" si="23"/>
        <v>1250.6383236660508</v>
      </c>
      <c r="V31" s="771">
        <f t="shared" si="23"/>
        <v>1277.2593615628907</v>
      </c>
      <c r="W31" s="771">
        <f t="shared" si="23"/>
        <v>1304.7374096720223</v>
      </c>
      <c r="X31" s="771">
        <f t="shared" si="23"/>
        <v>1333.0856747736939</v>
      </c>
      <c r="Y31" s="771">
        <f t="shared" si="23"/>
        <v>1362.3181962117924</v>
      </c>
      <c r="Z31" s="765"/>
      <c r="AA31" s="765"/>
      <c r="AB31" s="765"/>
      <c r="AC31" s="765"/>
      <c r="AD31" s="756"/>
      <c r="AE31" s="756"/>
      <c r="AF31" s="756"/>
      <c r="AG31" s="756"/>
      <c r="AH31" s="756"/>
    </row>
    <row r="32" spans="1:34" hidden="1" outlineLevel="1">
      <c r="A32" s="756"/>
      <c r="B32" s="769" t="s">
        <v>425</v>
      </c>
      <c r="C32" s="770"/>
      <c r="D32" s="770"/>
      <c r="E32" s="770"/>
      <c r="F32" s="770"/>
      <c r="G32" s="770"/>
      <c r="H32" s="770"/>
      <c r="I32" s="771">
        <f>I27</f>
        <v>864</v>
      </c>
      <c r="J32" s="771">
        <f t="shared" ref="J32:Y32" si="24">J27</f>
        <v>881.02080000000024</v>
      </c>
      <c r="K32" s="771">
        <f t="shared" si="24"/>
        <v>898.37690976000022</v>
      </c>
      <c r="L32" s="771">
        <f t="shared" si="24"/>
        <v>916.07493488227237</v>
      </c>
      <c r="M32" s="771">
        <f t="shared" si="24"/>
        <v>934.12161109945282</v>
      </c>
      <c r="N32" s="771">
        <f t="shared" si="24"/>
        <v>952.52380683811214</v>
      </c>
      <c r="O32" s="771">
        <f t="shared" si="24"/>
        <v>971.28852583282298</v>
      </c>
      <c r="P32" s="771">
        <f t="shared" si="24"/>
        <v>990.42290979172981</v>
      </c>
      <c r="Q32" s="771">
        <f t="shared" si="24"/>
        <v>1009.9342411146267</v>
      </c>
      <c r="R32" s="771">
        <f t="shared" si="24"/>
        <v>1029.829945664585</v>
      </c>
      <c r="S32" s="771">
        <f t="shared" si="24"/>
        <v>1050.1175955941771</v>
      </c>
      <c r="T32" s="771">
        <f t="shared" si="24"/>
        <v>1070.8049122273824</v>
      </c>
      <c r="U32" s="771">
        <f t="shared" si="24"/>
        <v>1091.8997689982618</v>
      </c>
      <c r="V32" s="771">
        <f t="shared" si="24"/>
        <v>1113.4101944475276</v>
      </c>
      <c r="W32" s="771">
        <f t="shared" si="24"/>
        <v>1135.3443752781438</v>
      </c>
      <c r="X32" s="771">
        <f t="shared" si="24"/>
        <v>1157.7106594711233</v>
      </c>
      <c r="Y32" s="771">
        <f t="shared" si="24"/>
        <v>1180.5175594627044</v>
      </c>
      <c r="Z32" s="765"/>
      <c r="AA32" s="765"/>
      <c r="AB32" s="765"/>
      <c r="AC32" s="765"/>
      <c r="AD32" s="756"/>
      <c r="AE32" s="756"/>
      <c r="AF32" s="756"/>
      <c r="AG32" s="756"/>
      <c r="AH32" s="756"/>
    </row>
    <row r="33" spans="1:34" collapsed="1">
      <c r="A33" s="797" t="s">
        <v>578</v>
      </c>
      <c r="B33" s="777" t="s">
        <v>972</v>
      </c>
      <c r="C33" s="798"/>
      <c r="D33" s="798"/>
      <c r="E33" s="798"/>
      <c r="F33" s="798"/>
      <c r="G33" s="798"/>
      <c r="H33" s="798"/>
      <c r="I33" s="773">
        <f>CHOOSE(DCF!$C$25,I30,I31,I32)</f>
        <v>994.38000000000011</v>
      </c>
      <c r="J33" s="773">
        <f>CHOOSE(DCF!$C$25,J30,J31,J32)</f>
        <v>1011.4376400000003</v>
      </c>
      <c r="K33" s="773">
        <f>CHOOSE(DCF!$C$25,K30,K31,K32)</f>
        <v>1029.2607178080002</v>
      </c>
      <c r="L33" s="773">
        <f>CHOOSE(DCF!$C$25,L30,L31,L32)</f>
        <v>1047.8519270338179</v>
      </c>
      <c r="M33" s="773">
        <f>CHOOSE(DCF!$C$25,M30,M31,M32)</f>
        <v>1067.2149061651339</v>
      </c>
      <c r="N33" s="773">
        <f>CHOOSE(DCF!$C$25,N30,N31,N32)</f>
        <v>1087.3542207670396</v>
      </c>
      <c r="O33" s="773">
        <f>CHOOSE(DCF!$C$25,O30,O31,O32)</f>
        <v>1108.2753473969244</v>
      </c>
      <c r="P33" s="773">
        <f>CHOOSE(DCF!$C$25,P30,P31,P32)</f>
        <v>1129.9846591725588</v>
      </c>
      <c r="Q33" s="773">
        <f>CHOOSE(DCF!$C$25,Q30,Q31,Q32)</f>
        <v>1152.4894129350123</v>
      </c>
      <c r="R33" s="773">
        <f>CHOOSE(DCF!$C$25,R30,R31,R32)</f>
        <v>1175.7977379516765</v>
      </c>
      <c r="S33" s="773">
        <f>CHOOSE(DCF!$C$25,S30,S31,S32)</f>
        <v>1199.9186261081222</v>
      </c>
      <c r="T33" s="773">
        <f>CHOOSE(DCF!$C$25,T30,T31,T32)</f>
        <v>1224.8619235408373</v>
      </c>
      <c r="U33" s="773">
        <f>CHOOSE(DCF!$C$25,U30,U31,U32)</f>
        <v>1250.6383236660508</v>
      </c>
      <c r="V33" s="773">
        <f>CHOOSE(DCF!$C$25,V30,V31,V32)</f>
        <v>1277.2593615628907</v>
      </c>
      <c r="W33" s="773">
        <f>CHOOSE(DCF!$C$25,W30,W31,W32)</f>
        <v>1304.7374096720223</v>
      </c>
      <c r="X33" s="773">
        <f>CHOOSE(DCF!$C$25,X30,X31,X32)</f>
        <v>1333.0856747736939</v>
      </c>
      <c r="Y33" s="773">
        <f>CHOOSE(DCF!$C$25,Y30,Y31,Y32)</f>
        <v>1362.3181962117924</v>
      </c>
      <c r="Z33" s="765"/>
      <c r="AA33" s="765" t="s">
        <v>991</v>
      </c>
      <c r="AB33" s="765"/>
      <c r="AC33" s="765"/>
      <c r="AD33" s="756"/>
      <c r="AE33" s="756"/>
      <c r="AF33" s="756"/>
      <c r="AG33" s="756"/>
      <c r="AH33" s="756"/>
    </row>
    <row r="34" spans="1:34">
      <c r="A34" s="756"/>
      <c r="B34" s="756"/>
      <c r="C34" s="756"/>
      <c r="D34" s="756"/>
      <c r="E34" s="756"/>
      <c r="F34" s="756"/>
      <c r="G34" s="756"/>
      <c r="H34" s="756"/>
      <c r="I34" s="756"/>
      <c r="J34" s="756"/>
      <c r="K34" s="756"/>
      <c r="L34" s="756"/>
      <c r="M34" s="756"/>
      <c r="N34" s="756"/>
      <c r="O34" s="756"/>
      <c r="P34" s="756"/>
      <c r="Q34" s="756"/>
      <c r="R34" s="756"/>
      <c r="S34" s="756"/>
      <c r="T34" s="756"/>
      <c r="U34" s="756"/>
      <c r="V34" s="756"/>
      <c r="W34" s="756"/>
      <c r="X34" s="756"/>
      <c r="Y34" s="756"/>
      <c r="Z34" s="756"/>
      <c r="AA34" s="756"/>
      <c r="AB34" s="756"/>
      <c r="AC34" s="756"/>
      <c r="AD34" s="756"/>
      <c r="AE34" s="756"/>
      <c r="AF34" s="756"/>
      <c r="AG34" s="756"/>
      <c r="AH34" s="756"/>
    </row>
    <row r="35" spans="1:34">
      <c r="A35" s="756"/>
      <c r="B35" s="758" t="s">
        <v>973</v>
      </c>
      <c r="C35" s="759"/>
      <c r="D35" s="759"/>
      <c r="E35" s="759"/>
      <c r="F35" s="759"/>
      <c r="G35" s="759"/>
      <c r="H35" s="759"/>
      <c r="I35" s="759"/>
      <c r="J35" s="759"/>
      <c r="K35" s="759"/>
      <c r="L35" s="759"/>
      <c r="M35" s="759"/>
      <c r="N35" s="759"/>
      <c r="O35" s="759"/>
      <c r="P35" s="759"/>
      <c r="Q35" s="759"/>
      <c r="R35" s="759"/>
      <c r="S35" s="759"/>
      <c r="T35" s="759"/>
      <c r="U35" s="759"/>
      <c r="V35" s="759"/>
      <c r="W35" s="759"/>
      <c r="X35" s="759"/>
      <c r="Y35" s="759"/>
      <c r="Z35" s="756"/>
      <c r="AA35" s="756"/>
      <c r="AB35" s="756"/>
      <c r="AC35" s="756"/>
      <c r="AD35" s="756"/>
      <c r="AE35" s="756"/>
      <c r="AF35" s="756"/>
      <c r="AG35" s="756"/>
      <c r="AH35" s="756"/>
    </row>
    <row r="36" spans="1:34">
      <c r="A36" s="756"/>
      <c r="B36" s="815" t="s">
        <v>950</v>
      </c>
      <c r="C36" s="756"/>
      <c r="D36" s="756"/>
      <c r="E36" s="756"/>
      <c r="F36" s="756"/>
      <c r="G36" s="766"/>
      <c r="H36" s="766"/>
      <c r="I36" s="766"/>
      <c r="J36" s="766"/>
      <c r="K36" s="766"/>
      <c r="L36" s="774">
        <v>0</v>
      </c>
      <c r="M36" s="775">
        <f>L36</f>
        <v>0</v>
      </c>
      <c r="N36" s="775">
        <f t="shared" ref="N36:Y36" si="25">M36</f>
        <v>0</v>
      </c>
      <c r="O36" s="775">
        <f t="shared" si="25"/>
        <v>0</v>
      </c>
      <c r="P36" s="775">
        <f t="shared" si="25"/>
        <v>0</v>
      </c>
      <c r="Q36" s="775">
        <f t="shared" si="25"/>
        <v>0</v>
      </c>
      <c r="R36" s="775">
        <f t="shared" si="25"/>
        <v>0</v>
      </c>
      <c r="S36" s="775">
        <f t="shared" si="25"/>
        <v>0</v>
      </c>
      <c r="T36" s="775">
        <f t="shared" si="25"/>
        <v>0</v>
      </c>
      <c r="U36" s="775">
        <f t="shared" si="25"/>
        <v>0</v>
      </c>
      <c r="V36" s="775">
        <f t="shared" si="25"/>
        <v>0</v>
      </c>
      <c r="W36" s="775">
        <f t="shared" si="25"/>
        <v>0</v>
      </c>
      <c r="X36" s="775">
        <f t="shared" si="25"/>
        <v>0</v>
      </c>
      <c r="Y36" s="775">
        <f t="shared" si="25"/>
        <v>0</v>
      </c>
      <c r="Z36" s="756"/>
      <c r="AA36" s="756"/>
      <c r="AB36" s="756"/>
      <c r="AC36" s="756"/>
      <c r="AD36" s="756"/>
      <c r="AE36" s="756"/>
      <c r="AF36" s="756"/>
      <c r="AG36" s="756"/>
      <c r="AH36" s="756"/>
    </row>
    <row r="37" spans="1:34" hidden="1" outlineLevel="1">
      <c r="A37" s="756"/>
      <c r="B37" s="769" t="s">
        <v>423</v>
      </c>
      <c r="C37" s="846"/>
      <c r="D37" s="846"/>
      <c r="E37" s="846"/>
      <c r="F37" s="846"/>
      <c r="G37" s="846"/>
      <c r="H37" s="846"/>
      <c r="I37" s="846"/>
      <c r="J37" s="846"/>
      <c r="K37" s="846"/>
      <c r="L37" s="846"/>
      <c r="M37" s="846"/>
      <c r="N37" s="984">
        <f>N38*2</f>
        <v>0.2</v>
      </c>
      <c r="O37" s="984">
        <f t="shared" ref="O37:Y37" si="26">O38*2</f>
        <v>0.4</v>
      </c>
      <c r="P37" s="984">
        <f t="shared" si="26"/>
        <v>0.6</v>
      </c>
      <c r="Q37" s="984">
        <f t="shared" si="26"/>
        <v>0.8</v>
      </c>
      <c r="R37" s="984">
        <f t="shared" si="26"/>
        <v>0.8</v>
      </c>
      <c r="S37" s="984">
        <f t="shared" si="26"/>
        <v>0.8</v>
      </c>
      <c r="T37" s="984">
        <f t="shared" si="26"/>
        <v>0.8</v>
      </c>
      <c r="U37" s="984">
        <f t="shared" si="26"/>
        <v>0.8</v>
      </c>
      <c r="V37" s="984">
        <f t="shared" si="26"/>
        <v>0.8</v>
      </c>
      <c r="W37" s="984">
        <f t="shared" si="26"/>
        <v>0.8</v>
      </c>
      <c r="X37" s="984">
        <f t="shared" si="26"/>
        <v>0.8</v>
      </c>
      <c r="Y37" s="984">
        <f t="shared" si="26"/>
        <v>0.8</v>
      </c>
      <c r="Z37" s="756"/>
      <c r="AA37" s="756"/>
      <c r="AB37" s="756"/>
      <c r="AC37" s="756"/>
      <c r="AD37" s="756"/>
      <c r="AE37" s="756"/>
      <c r="AF37" s="756"/>
      <c r="AG37" s="756"/>
      <c r="AH37" s="756"/>
    </row>
    <row r="38" spans="1:34" hidden="1" outlineLevel="1">
      <c r="A38" s="756"/>
      <c r="B38" s="769" t="s">
        <v>424</v>
      </c>
      <c r="C38" s="846"/>
      <c r="D38" s="846"/>
      <c r="E38" s="846"/>
      <c r="F38" s="846"/>
      <c r="G38" s="846"/>
      <c r="H38" s="846"/>
      <c r="I38" s="846"/>
      <c r="J38" s="846"/>
      <c r="K38" s="846"/>
      <c r="L38" s="846"/>
      <c r="M38" s="846"/>
      <c r="N38" s="985">
        <v>0.1</v>
      </c>
      <c r="O38" s="985">
        <v>0.2</v>
      </c>
      <c r="P38" s="985">
        <v>0.3</v>
      </c>
      <c r="Q38" s="985">
        <v>0.4</v>
      </c>
      <c r="R38" s="985">
        <f>Q38</f>
        <v>0.4</v>
      </c>
      <c r="S38" s="985">
        <f t="shared" ref="S38:Y38" si="27">R38</f>
        <v>0.4</v>
      </c>
      <c r="T38" s="985">
        <f t="shared" si="27"/>
        <v>0.4</v>
      </c>
      <c r="U38" s="985">
        <f t="shared" si="27"/>
        <v>0.4</v>
      </c>
      <c r="V38" s="985">
        <f t="shared" si="27"/>
        <v>0.4</v>
      </c>
      <c r="W38" s="985">
        <f t="shared" si="27"/>
        <v>0.4</v>
      </c>
      <c r="X38" s="985">
        <f t="shared" si="27"/>
        <v>0.4</v>
      </c>
      <c r="Y38" s="985">
        <f t="shared" si="27"/>
        <v>0.4</v>
      </c>
      <c r="Z38" s="756"/>
      <c r="AA38" s="756"/>
      <c r="AB38" s="756"/>
      <c r="AC38" s="756"/>
      <c r="AD38" s="756"/>
      <c r="AE38" s="756"/>
      <c r="AF38" s="756"/>
      <c r="AG38" s="756"/>
      <c r="AH38" s="756"/>
    </row>
    <row r="39" spans="1:34" hidden="1" outlineLevel="1">
      <c r="A39" s="756"/>
      <c r="B39" s="769" t="s">
        <v>425</v>
      </c>
      <c r="C39" s="846"/>
      <c r="D39" s="846"/>
      <c r="E39" s="846"/>
      <c r="F39" s="846"/>
      <c r="G39" s="846"/>
      <c r="H39" s="846"/>
      <c r="I39" s="846"/>
      <c r="J39" s="846"/>
      <c r="K39" s="846"/>
      <c r="L39" s="846"/>
      <c r="M39" s="846"/>
      <c r="N39" s="985">
        <v>0</v>
      </c>
      <c r="O39" s="985">
        <f>N39</f>
        <v>0</v>
      </c>
      <c r="P39" s="985">
        <f t="shared" ref="P39:Y39" si="28">O39</f>
        <v>0</v>
      </c>
      <c r="Q39" s="985">
        <f t="shared" si="28"/>
        <v>0</v>
      </c>
      <c r="R39" s="985">
        <f t="shared" si="28"/>
        <v>0</v>
      </c>
      <c r="S39" s="985">
        <f t="shared" si="28"/>
        <v>0</v>
      </c>
      <c r="T39" s="985">
        <f t="shared" si="28"/>
        <v>0</v>
      </c>
      <c r="U39" s="985">
        <f t="shared" si="28"/>
        <v>0</v>
      </c>
      <c r="V39" s="985">
        <f t="shared" si="28"/>
        <v>0</v>
      </c>
      <c r="W39" s="985">
        <f t="shared" si="28"/>
        <v>0</v>
      </c>
      <c r="X39" s="985">
        <f t="shared" si="28"/>
        <v>0</v>
      </c>
      <c r="Y39" s="985">
        <f t="shared" si="28"/>
        <v>0</v>
      </c>
      <c r="Z39" s="756"/>
      <c r="AA39" s="756"/>
      <c r="AB39" s="756"/>
      <c r="AC39" s="756"/>
      <c r="AD39" s="756"/>
      <c r="AE39" s="756"/>
      <c r="AF39" s="756"/>
      <c r="AG39" s="756"/>
      <c r="AH39" s="756"/>
    </row>
    <row r="40" spans="1:34" collapsed="1">
      <c r="A40" s="756"/>
      <c r="B40" s="815" t="s">
        <v>1016</v>
      </c>
      <c r="C40" s="756"/>
      <c r="D40" s="756"/>
      <c r="E40" s="756"/>
      <c r="F40" s="756"/>
      <c r="G40" s="766"/>
      <c r="H40" s="766"/>
      <c r="I40" s="766"/>
      <c r="J40" s="766"/>
      <c r="K40" s="766"/>
      <c r="L40" s="775">
        <f>CHOOSE(DCF!$C$25,'US ALL'!L37,'US ALL'!L38,'US ALL'!L39)</f>
        <v>0</v>
      </c>
      <c r="M40" s="775">
        <f>CHOOSE(DCF!$C$25,'US ALL'!M37,'US ALL'!M38,'US ALL'!M39)</f>
        <v>0</v>
      </c>
      <c r="N40" s="775">
        <f>CHOOSE(DCF!$C$25,'US ALL'!N37,'US ALL'!N38,'US ALL'!N39)</f>
        <v>0.1</v>
      </c>
      <c r="O40" s="775">
        <f>CHOOSE(DCF!$C$25,'US ALL'!O37,'US ALL'!O38,'US ALL'!O39)</f>
        <v>0.2</v>
      </c>
      <c r="P40" s="775">
        <f>CHOOSE(DCF!$C$25,'US ALL'!P37,'US ALL'!P38,'US ALL'!P39)</f>
        <v>0.3</v>
      </c>
      <c r="Q40" s="775">
        <f>CHOOSE(DCF!$C$25,'US ALL'!Q37,'US ALL'!Q38,'US ALL'!Q39)</f>
        <v>0.4</v>
      </c>
      <c r="R40" s="775">
        <f>CHOOSE(DCF!$C$25,'US ALL'!R37,'US ALL'!R38,'US ALL'!R39)</f>
        <v>0.4</v>
      </c>
      <c r="S40" s="775">
        <f>CHOOSE(DCF!$C$25,'US ALL'!S37,'US ALL'!S38,'US ALL'!S39)</f>
        <v>0.4</v>
      </c>
      <c r="T40" s="775">
        <f>CHOOSE(DCF!$C$25,'US ALL'!T37,'US ALL'!T38,'US ALL'!T39)</f>
        <v>0.4</v>
      </c>
      <c r="U40" s="775">
        <f>CHOOSE(DCF!$C$25,'US ALL'!U37,'US ALL'!U38,'US ALL'!U39)</f>
        <v>0.4</v>
      </c>
      <c r="V40" s="775">
        <f>CHOOSE(DCF!$C$25,'US ALL'!V37,'US ALL'!V38,'US ALL'!V39)</f>
        <v>0.4</v>
      </c>
      <c r="W40" s="775">
        <f>CHOOSE(DCF!$C$25,'US ALL'!W37,'US ALL'!W38,'US ALL'!W39)</f>
        <v>0.4</v>
      </c>
      <c r="X40" s="775">
        <f>CHOOSE(DCF!$C$25,'US ALL'!X37,'US ALL'!X38,'US ALL'!X39)</f>
        <v>0.4</v>
      </c>
      <c r="Y40" s="775">
        <f>CHOOSE(DCF!$C$25,'US ALL'!Y37,'US ALL'!Y38,'US ALL'!Y39)</f>
        <v>0.4</v>
      </c>
      <c r="Z40" s="756"/>
      <c r="AA40" s="756"/>
      <c r="AB40" s="756"/>
      <c r="AC40" s="756"/>
      <c r="AD40" s="756"/>
      <c r="AE40" s="756"/>
      <c r="AF40" s="756"/>
      <c r="AG40" s="756"/>
      <c r="AH40" s="756"/>
    </row>
    <row r="41" spans="1:34">
      <c r="A41" s="756"/>
      <c r="B41" s="815" t="s">
        <v>68</v>
      </c>
      <c r="C41" s="756"/>
      <c r="D41" s="756"/>
      <c r="E41" s="756"/>
      <c r="F41" s="756"/>
      <c r="G41" s="766"/>
      <c r="H41" s="766"/>
      <c r="I41" s="766"/>
      <c r="J41" s="766"/>
      <c r="K41" s="766"/>
      <c r="L41" s="766">
        <f>1-L40-L36</f>
        <v>1</v>
      </c>
      <c r="M41" s="766">
        <f t="shared" ref="M41:Y41" si="29">1-M40-M36</f>
        <v>1</v>
      </c>
      <c r="N41" s="766">
        <f t="shared" si="29"/>
        <v>0.9</v>
      </c>
      <c r="O41" s="766">
        <f t="shared" si="29"/>
        <v>0.8</v>
      </c>
      <c r="P41" s="766">
        <f t="shared" si="29"/>
        <v>0.7</v>
      </c>
      <c r="Q41" s="766">
        <f t="shared" si="29"/>
        <v>0.6</v>
      </c>
      <c r="R41" s="766">
        <f t="shared" si="29"/>
        <v>0.6</v>
      </c>
      <c r="S41" s="766">
        <f t="shared" si="29"/>
        <v>0.6</v>
      </c>
      <c r="T41" s="766">
        <f t="shared" si="29"/>
        <v>0.6</v>
      </c>
      <c r="U41" s="766">
        <f t="shared" si="29"/>
        <v>0.6</v>
      </c>
      <c r="V41" s="766">
        <f t="shared" si="29"/>
        <v>0.6</v>
      </c>
      <c r="W41" s="766">
        <f t="shared" si="29"/>
        <v>0.6</v>
      </c>
      <c r="X41" s="766">
        <f t="shared" si="29"/>
        <v>0.6</v>
      </c>
      <c r="Y41" s="766">
        <f t="shared" si="29"/>
        <v>0.6</v>
      </c>
      <c r="Z41" s="756"/>
      <c r="AA41" s="756"/>
      <c r="AB41" s="756"/>
      <c r="AC41" s="756"/>
      <c r="AD41" s="756"/>
      <c r="AE41" s="756"/>
      <c r="AF41" s="756"/>
      <c r="AG41" s="756"/>
      <c r="AH41" s="756"/>
    </row>
    <row r="42" spans="1:34">
      <c r="A42" s="756"/>
      <c r="B42" s="756" t="s">
        <v>951</v>
      </c>
      <c r="C42" s="756"/>
      <c r="D42" s="756"/>
      <c r="E42" s="756"/>
      <c r="F42" s="756"/>
      <c r="G42" s="765"/>
      <c r="H42" s="756"/>
      <c r="I42" s="756"/>
      <c r="J42" s="756"/>
      <c r="K42" s="756"/>
      <c r="L42" s="774">
        <v>0.1</v>
      </c>
      <c r="M42" s="774">
        <v>0.25</v>
      </c>
      <c r="N42" s="774">
        <v>0.4</v>
      </c>
      <c r="O42" s="774">
        <v>0.5</v>
      </c>
      <c r="P42" s="774">
        <v>0.6</v>
      </c>
      <c r="Q42" s="774">
        <v>0.7</v>
      </c>
      <c r="R42" s="774">
        <f>Q42*1.025</f>
        <v>0.71749999999999992</v>
      </c>
      <c r="S42" s="774">
        <f t="shared" ref="S42:Y42" si="30">R42*1.025</f>
        <v>0.73543749999999986</v>
      </c>
      <c r="T42" s="774">
        <f t="shared" si="30"/>
        <v>0.7538234374999998</v>
      </c>
      <c r="U42" s="774">
        <f t="shared" si="30"/>
        <v>0.77266902343749977</v>
      </c>
      <c r="V42" s="774">
        <f t="shared" si="30"/>
        <v>0.79198574902343721</v>
      </c>
      <c r="W42" s="774">
        <f t="shared" si="30"/>
        <v>0.81178539274902306</v>
      </c>
      <c r="X42" s="774">
        <f t="shared" si="30"/>
        <v>0.83208002756774857</v>
      </c>
      <c r="Y42" s="774">
        <f t="shared" si="30"/>
        <v>0.85288202825694226</v>
      </c>
      <c r="Z42" s="756"/>
      <c r="AA42" s="756"/>
      <c r="AB42" s="756"/>
      <c r="AC42" s="756"/>
      <c r="AD42" s="756"/>
      <c r="AE42" s="756"/>
      <c r="AF42" s="756"/>
      <c r="AG42" s="756"/>
      <c r="AH42" s="756"/>
    </row>
    <row r="43" spans="1:34">
      <c r="A43" s="756"/>
      <c r="B43" s="756"/>
      <c r="C43" s="756"/>
      <c r="D43" s="756"/>
      <c r="E43" s="756"/>
      <c r="F43" s="756"/>
      <c r="G43" s="756"/>
      <c r="H43" s="756"/>
      <c r="I43" s="756"/>
      <c r="J43" s="756"/>
      <c r="K43" s="756"/>
      <c r="L43" s="756"/>
      <c r="M43" s="756"/>
      <c r="N43" s="756"/>
      <c r="O43" s="756"/>
      <c r="P43" s="756"/>
      <c r="Q43" s="756"/>
      <c r="R43" s="756"/>
      <c r="S43" s="756"/>
      <c r="T43" s="756"/>
      <c r="U43" s="756"/>
      <c r="V43" s="756"/>
      <c r="W43" s="756"/>
      <c r="X43" s="756"/>
      <c r="Y43" s="756"/>
      <c r="Z43" s="756"/>
      <c r="AA43" s="756"/>
      <c r="AB43" s="756"/>
      <c r="AC43" s="756"/>
      <c r="AD43" s="756"/>
      <c r="AE43" s="756"/>
      <c r="AF43" s="756"/>
      <c r="AG43" s="756"/>
      <c r="AH43" s="756"/>
    </row>
    <row r="44" spans="1:34">
      <c r="A44" s="756"/>
      <c r="B44" s="756" t="s">
        <v>952</v>
      </c>
      <c r="C44" s="756"/>
      <c r="D44" s="756"/>
      <c r="E44" s="756"/>
      <c r="F44" s="756"/>
      <c r="G44" s="756"/>
      <c r="H44" s="756"/>
      <c r="I44" s="756"/>
      <c r="J44" s="756"/>
      <c r="K44" s="756"/>
      <c r="L44" s="779">
        <f>C72</f>
        <v>1</v>
      </c>
      <c r="M44" s="756">
        <f>L44</f>
        <v>1</v>
      </c>
      <c r="N44" s="756">
        <f>M44</f>
        <v>1</v>
      </c>
      <c r="O44" s="756">
        <f>N44</f>
        <v>1</v>
      </c>
      <c r="P44" s="756">
        <f t="shared" ref="P44:Y44" si="31">O44</f>
        <v>1</v>
      </c>
      <c r="Q44" s="756">
        <f t="shared" si="31"/>
        <v>1</v>
      </c>
      <c r="R44" s="756">
        <f t="shared" si="31"/>
        <v>1</v>
      </c>
      <c r="S44" s="756">
        <f t="shared" si="31"/>
        <v>1</v>
      </c>
      <c r="T44" s="756">
        <f t="shared" si="31"/>
        <v>1</v>
      </c>
      <c r="U44" s="756">
        <f t="shared" si="31"/>
        <v>1</v>
      </c>
      <c r="V44" s="756">
        <f t="shared" si="31"/>
        <v>1</v>
      </c>
      <c r="W44" s="756">
        <f t="shared" si="31"/>
        <v>1</v>
      </c>
      <c r="X44" s="756">
        <f t="shared" si="31"/>
        <v>1</v>
      </c>
      <c r="Y44" s="756">
        <f t="shared" si="31"/>
        <v>1</v>
      </c>
      <c r="Z44" s="756"/>
      <c r="AA44" s="756"/>
      <c r="AB44" s="756"/>
      <c r="AC44" s="756"/>
      <c r="AD44" s="756"/>
      <c r="AE44" s="756"/>
      <c r="AF44" s="756"/>
      <c r="AG44" s="756"/>
      <c r="AH44" s="756"/>
    </row>
    <row r="45" spans="1:34">
      <c r="A45" s="756"/>
      <c r="B45" s="756"/>
      <c r="C45" s="756"/>
      <c r="D45" s="756"/>
      <c r="E45" s="756"/>
      <c r="F45" s="756"/>
      <c r="G45" s="756"/>
      <c r="H45" s="756"/>
      <c r="I45" s="756"/>
      <c r="J45" s="756"/>
      <c r="K45" s="756"/>
      <c r="L45" s="756"/>
      <c r="M45" s="756"/>
      <c r="N45" s="756"/>
      <c r="O45" s="756"/>
      <c r="P45" s="756"/>
      <c r="Q45" s="756"/>
      <c r="R45" s="756"/>
      <c r="S45" s="756"/>
      <c r="T45" s="756"/>
      <c r="U45" s="756"/>
      <c r="V45" s="756"/>
      <c r="W45" s="756"/>
      <c r="X45" s="756"/>
      <c r="Y45" s="756"/>
    </row>
    <row r="46" spans="1:34">
      <c r="A46" s="756"/>
      <c r="B46" s="780" t="s">
        <v>953</v>
      </c>
      <c r="C46" s="756"/>
      <c r="D46" s="756"/>
      <c r="E46" s="756"/>
      <c r="F46" s="756"/>
      <c r="G46" s="756"/>
      <c r="H46" s="756"/>
      <c r="I46" s="781"/>
      <c r="J46" s="761"/>
      <c r="K46" s="761"/>
      <c r="L46" s="781">
        <f>C68</f>
        <v>400</v>
      </c>
      <c r="M46" s="799">
        <f>L46*(1+M47)</f>
        <v>409.99999999999994</v>
      </c>
      <c r="N46" s="799">
        <f>M46*(1+N47)</f>
        <v>420.24999999999989</v>
      </c>
      <c r="O46" s="799">
        <f>N46*(1+O47)</f>
        <v>430.75624999999985</v>
      </c>
      <c r="P46" s="799">
        <f t="shared" ref="P46:Y46" si="32">O46*(1+P47)</f>
        <v>441.52515624999984</v>
      </c>
      <c r="Q46" s="799">
        <f t="shared" si="32"/>
        <v>452.56328515624978</v>
      </c>
      <c r="R46" s="799">
        <f t="shared" si="32"/>
        <v>463.87736728515597</v>
      </c>
      <c r="S46" s="799">
        <f t="shared" si="32"/>
        <v>475.47430146728482</v>
      </c>
      <c r="T46" s="799">
        <f t="shared" si="32"/>
        <v>487.36115900396692</v>
      </c>
      <c r="U46" s="799">
        <f t="shared" si="32"/>
        <v>499.54518797906604</v>
      </c>
      <c r="V46" s="799">
        <f t="shared" si="32"/>
        <v>512.03381767854262</v>
      </c>
      <c r="W46" s="799">
        <f t="shared" si="32"/>
        <v>524.83466312050609</v>
      </c>
      <c r="X46" s="799">
        <f t="shared" si="32"/>
        <v>537.95552969851872</v>
      </c>
      <c r="Y46" s="799">
        <f t="shared" si="32"/>
        <v>551.4044179409816</v>
      </c>
    </row>
    <row r="47" spans="1:34">
      <c r="A47" s="756"/>
      <c r="B47" s="783" t="s">
        <v>954</v>
      </c>
      <c r="C47" s="784"/>
      <c r="D47" s="784"/>
      <c r="E47" s="784"/>
      <c r="F47" s="784"/>
      <c r="G47" s="784"/>
      <c r="H47" s="784"/>
      <c r="I47" s="784"/>
      <c r="J47" s="785"/>
      <c r="K47" s="786"/>
      <c r="L47" s="786"/>
      <c r="M47" s="785">
        <f>C69</f>
        <v>2.5000000000000001E-2</v>
      </c>
      <c r="N47" s="786">
        <f>M47</f>
        <v>2.5000000000000001E-2</v>
      </c>
      <c r="O47" s="786">
        <f>N47</f>
        <v>2.5000000000000001E-2</v>
      </c>
      <c r="P47" s="786">
        <f t="shared" ref="P47:Y47" si="33">O47</f>
        <v>2.5000000000000001E-2</v>
      </c>
      <c r="Q47" s="786">
        <f t="shared" si="33"/>
        <v>2.5000000000000001E-2</v>
      </c>
      <c r="R47" s="786">
        <f t="shared" si="33"/>
        <v>2.5000000000000001E-2</v>
      </c>
      <c r="S47" s="786">
        <f t="shared" si="33"/>
        <v>2.5000000000000001E-2</v>
      </c>
      <c r="T47" s="786">
        <f t="shared" si="33"/>
        <v>2.5000000000000001E-2</v>
      </c>
      <c r="U47" s="786">
        <f t="shared" si="33"/>
        <v>2.5000000000000001E-2</v>
      </c>
      <c r="V47" s="786">
        <f t="shared" si="33"/>
        <v>2.5000000000000001E-2</v>
      </c>
      <c r="W47" s="786">
        <f t="shared" si="33"/>
        <v>2.5000000000000001E-2</v>
      </c>
      <c r="X47" s="786">
        <f t="shared" si="33"/>
        <v>2.5000000000000001E-2</v>
      </c>
      <c r="Y47" s="786">
        <f t="shared" si="33"/>
        <v>2.5000000000000001E-2</v>
      </c>
    </row>
    <row r="48" spans="1:34">
      <c r="A48" s="756"/>
      <c r="B48" s="783"/>
      <c r="C48" s="784"/>
      <c r="D48" s="784"/>
      <c r="E48" s="784"/>
      <c r="F48" s="784"/>
      <c r="G48" s="784"/>
      <c r="H48" s="784"/>
      <c r="I48" s="784"/>
      <c r="J48" s="785"/>
      <c r="K48" s="786"/>
      <c r="L48" s="786"/>
      <c r="M48" s="786"/>
      <c r="N48" s="786"/>
      <c r="O48" s="786"/>
      <c r="P48" s="786"/>
      <c r="Q48" s="786"/>
      <c r="R48" s="786"/>
      <c r="S48" s="786"/>
      <c r="T48" s="786"/>
      <c r="U48" s="786"/>
      <c r="V48" s="786"/>
      <c r="W48" s="786"/>
      <c r="X48" s="786"/>
      <c r="Y48" s="786"/>
    </row>
    <row r="49" spans="1:25" ht="15.75" thickBot="1">
      <c r="A49" s="756"/>
      <c r="B49" s="788" t="s">
        <v>974</v>
      </c>
      <c r="C49" s="789"/>
      <c r="D49" s="789"/>
      <c r="E49" s="789"/>
      <c r="F49" s="789"/>
      <c r="G49" s="789"/>
      <c r="H49" s="789"/>
      <c r="I49" s="790"/>
      <c r="J49" s="790"/>
      <c r="K49" s="790"/>
      <c r="L49" s="791">
        <f t="shared" ref="L49:Y49" si="34">L46*L44*L40*L33*L42/1000</f>
        <v>0</v>
      </c>
      <c r="M49" s="791">
        <f t="shared" si="34"/>
        <v>0</v>
      </c>
      <c r="N49" s="791">
        <f t="shared" si="34"/>
        <v>18.278424451093933</v>
      </c>
      <c r="O49" s="791">
        <f t="shared" si="34"/>
        <v>47.739653261214627</v>
      </c>
      <c r="P49" s="791">
        <f t="shared" si="34"/>
        <v>89.804997576228018</v>
      </c>
      <c r="Q49" s="791">
        <f t="shared" si="34"/>
        <v>146.04083055118673</v>
      </c>
      <c r="R49" s="791">
        <f t="shared" si="34"/>
        <v>156.53725027342836</v>
      </c>
      <c r="S49" s="791">
        <f t="shared" si="34"/>
        <v>167.83580117885407</v>
      </c>
      <c r="T49" s="791">
        <f t="shared" si="34"/>
        <v>179.99799860299339</v>
      </c>
      <c r="U49" s="791">
        <f t="shared" si="34"/>
        <v>193.0900991364139</v>
      </c>
      <c r="V49" s="791">
        <f t="shared" si="34"/>
        <v>207.18346784733706</v>
      </c>
      <c r="W49" s="791">
        <f t="shared" si="34"/>
        <v>222.35497408295637</v>
      </c>
      <c r="X49" s="791">
        <f t="shared" si="34"/>
        <v>238.68741808387935</v>
      </c>
      <c r="Y49" s="791">
        <f t="shared" si="34"/>
        <v>256.26999082158687</v>
      </c>
    </row>
    <row r="50" spans="1:25" ht="15.75" thickTop="1">
      <c r="A50" s="756"/>
      <c r="B50" s="756"/>
      <c r="C50" s="756"/>
      <c r="D50" s="756"/>
      <c r="E50" s="756"/>
      <c r="F50" s="756"/>
      <c r="G50" s="756"/>
      <c r="H50" s="756"/>
      <c r="I50" s="756"/>
      <c r="J50" s="756"/>
      <c r="K50" s="756"/>
      <c r="L50" s="756"/>
      <c r="M50" s="756"/>
      <c r="N50" s="756"/>
      <c r="O50" s="756"/>
      <c r="P50" s="756"/>
      <c r="Q50" s="756"/>
      <c r="R50" s="756"/>
      <c r="S50" s="756"/>
      <c r="T50" s="756"/>
      <c r="U50" s="756"/>
      <c r="V50" s="756"/>
      <c r="W50" s="756"/>
      <c r="X50" s="756"/>
      <c r="Y50" s="756"/>
    </row>
    <row r="51" spans="1:25">
      <c r="A51" s="756"/>
      <c r="B51" s="758" t="s">
        <v>975</v>
      </c>
      <c r="C51" s="759"/>
      <c r="D51" s="759"/>
      <c r="E51" s="759"/>
      <c r="F51" s="759"/>
      <c r="G51" s="759"/>
      <c r="H51" s="759"/>
      <c r="I51" s="759"/>
      <c r="J51" s="759"/>
      <c r="K51" s="759"/>
      <c r="L51" s="759"/>
      <c r="M51" s="759"/>
      <c r="N51" s="759"/>
      <c r="O51" s="759"/>
      <c r="P51" s="759"/>
      <c r="Q51" s="759"/>
      <c r="R51" s="759"/>
      <c r="S51" s="759"/>
      <c r="T51" s="759"/>
      <c r="U51" s="759"/>
      <c r="V51" s="759"/>
      <c r="W51" s="759"/>
      <c r="X51" s="759"/>
      <c r="Y51" s="759"/>
    </row>
    <row r="52" spans="1:25">
      <c r="A52" s="756"/>
      <c r="B52" s="815" t="s">
        <v>950</v>
      </c>
      <c r="C52" s="756"/>
      <c r="D52" s="756"/>
      <c r="E52" s="756"/>
      <c r="F52" s="756"/>
      <c r="G52" s="766"/>
      <c r="H52" s="766"/>
      <c r="I52" s="766"/>
      <c r="J52" s="766"/>
      <c r="K52" s="766"/>
      <c r="L52" s="774"/>
      <c r="M52" s="853">
        <v>0</v>
      </c>
      <c r="N52" s="853">
        <v>0</v>
      </c>
      <c r="O52" s="853">
        <v>0</v>
      </c>
      <c r="P52" s="853">
        <f>O52</f>
        <v>0</v>
      </c>
      <c r="Q52" s="853">
        <f t="shared" ref="Q52:Y52" si="35">P52</f>
        <v>0</v>
      </c>
      <c r="R52" s="853">
        <f t="shared" si="35"/>
        <v>0</v>
      </c>
      <c r="S52" s="853">
        <f t="shared" si="35"/>
        <v>0</v>
      </c>
      <c r="T52" s="853">
        <f t="shared" si="35"/>
        <v>0</v>
      </c>
      <c r="U52" s="853">
        <f t="shared" si="35"/>
        <v>0</v>
      </c>
      <c r="V52" s="853">
        <f t="shared" si="35"/>
        <v>0</v>
      </c>
      <c r="W52" s="853">
        <f t="shared" si="35"/>
        <v>0</v>
      </c>
      <c r="X52" s="853">
        <f t="shared" si="35"/>
        <v>0</v>
      </c>
      <c r="Y52" s="853">
        <f t="shared" si="35"/>
        <v>0</v>
      </c>
    </row>
    <row r="53" spans="1:25" hidden="1" outlineLevel="1">
      <c r="A53" s="756"/>
      <c r="B53" s="846"/>
      <c r="C53" s="846"/>
      <c r="D53" s="846"/>
      <c r="E53" s="846"/>
      <c r="F53" s="846"/>
      <c r="G53" s="846"/>
      <c r="H53" s="846"/>
      <c r="I53" s="846"/>
      <c r="J53" s="846"/>
      <c r="K53" s="846"/>
      <c r="L53" s="846"/>
      <c r="M53" s="852">
        <v>0</v>
      </c>
      <c r="N53" s="852">
        <f>M53</f>
        <v>0</v>
      </c>
      <c r="O53" s="852">
        <v>0.1</v>
      </c>
      <c r="P53" s="852">
        <v>0.2</v>
      </c>
      <c r="Q53" s="852">
        <v>0.4</v>
      </c>
      <c r="R53" s="852">
        <f>Q53</f>
        <v>0.4</v>
      </c>
      <c r="S53" s="852">
        <f t="shared" ref="S53:Y53" si="36">R53</f>
        <v>0.4</v>
      </c>
      <c r="T53" s="852">
        <f t="shared" si="36"/>
        <v>0.4</v>
      </c>
      <c r="U53" s="852">
        <f t="shared" si="36"/>
        <v>0.4</v>
      </c>
      <c r="V53" s="852">
        <f t="shared" si="36"/>
        <v>0.4</v>
      </c>
      <c r="W53" s="852">
        <f t="shared" si="36"/>
        <v>0.4</v>
      </c>
      <c r="X53" s="852">
        <f t="shared" si="36"/>
        <v>0.4</v>
      </c>
      <c r="Y53" s="852">
        <f t="shared" si="36"/>
        <v>0.4</v>
      </c>
    </row>
    <row r="54" spans="1:25" hidden="1" outlineLevel="1">
      <c r="A54" s="756"/>
      <c r="B54" s="846"/>
      <c r="C54" s="846"/>
      <c r="D54" s="846"/>
      <c r="E54" s="846"/>
      <c r="F54" s="846"/>
      <c r="G54" s="846"/>
      <c r="H54" s="846"/>
      <c r="I54" s="846"/>
      <c r="J54" s="846"/>
      <c r="K54" s="846"/>
      <c r="L54" s="851"/>
      <c r="M54" s="852">
        <v>0</v>
      </c>
      <c r="N54" s="852">
        <f>M54</f>
        <v>0</v>
      </c>
      <c r="O54" s="852">
        <f t="shared" ref="O54:Y54" si="37">N54</f>
        <v>0</v>
      </c>
      <c r="P54" s="852">
        <f t="shared" si="37"/>
        <v>0</v>
      </c>
      <c r="Q54" s="852">
        <f t="shared" si="37"/>
        <v>0</v>
      </c>
      <c r="R54" s="852">
        <f t="shared" si="37"/>
        <v>0</v>
      </c>
      <c r="S54" s="852">
        <f t="shared" si="37"/>
        <v>0</v>
      </c>
      <c r="T54" s="852">
        <f t="shared" si="37"/>
        <v>0</v>
      </c>
      <c r="U54" s="852">
        <f t="shared" si="37"/>
        <v>0</v>
      </c>
      <c r="V54" s="852">
        <f t="shared" si="37"/>
        <v>0</v>
      </c>
      <c r="W54" s="852">
        <f t="shared" si="37"/>
        <v>0</v>
      </c>
      <c r="X54" s="852">
        <f t="shared" si="37"/>
        <v>0</v>
      </c>
      <c r="Y54" s="852">
        <f t="shared" si="37"/>
        <v>0</v>
      </c>
    </row>
    <row r="55" spans="1:25" hidden="1" outlineLevel="1">
      <c r="A55" s="756"/>
      <c r="B55" s="846"/>
      <c r="C55" s="846"/>
      <c r="D55" s="846"/>
      <c r="E55" s="846"/>
      <c r="F55" s="846"/>
      <c r="G55" s="846"/>
      <c r="H55" s="846"/>
      <c r="I55" s="846"/>
      <c r="J55" s="846"/>
      <c r="K55" s="846"/>
      <c r="L55" s="846"/>
      <c r="M55" s="852">
        <f>M54</f>
        <v>0</v>
      </c>
      <c r="N55" s="852">
        <f t="shared" ref="N55:Y55" si="38">N54</f>
        <v>0</v>
      </c>
      <c r="O55" s="852">
        <f t="shared" si="38"/>
        <v>0</v>
      </c>
      <c r="P55" s="852">
        <f t="shared" si="38"/>
        <v>0</v>
      </c>
      <c r="Q55" s="852">
        <f t="shared" si="38"/>
        <v>0</v>
      </c>
      <c r="R55" s="852">
        <f t="shared" si="38"/>
        <v>0</v>
      </c>
      <c r="S55" s="852">
        <f t="shared" si="38"/>
        <v>0</v>
      </c>
      <c r="T55" s="852">
        <f t="shared" si="38"/>
        <v>0</v>
      </c>
      <c r="U55" s="852">
        <f t="shared" si="38"/>
        <v>0</v>
      </c>
      <c r="V55" s="852">
        <f t="shared" si="38"/>
        <v>0</v>
      </c>
      <c r="W55" s="852">
        <f t="shared" si="38"/>
        <v>0</v>
      </c>
      <c r="X55" s="852">
        <f t="shared" si="38"/>
        <v>0</v>
      </c>
      <c r="Y55" s="852">
        <f t="shared" si="38"/>
        <v>0</v>
      </c>
    </row>
    <row r="56" spans="1:25" collapsed="1">
      <c r="A56" s="756"/>
      <c r="B56" s="815" t="s">
        <v>1016</v>
      </c>
      <c r="C56" s="756"/>
      <c r="D56" s="756"/>
      <c r="E56" s="756"/>
      <c r="F56" s="756"/>
      <c r="G56" s="766"/>
      <c r="H56" s="766"/>
      <c r="I56" s="766"/>
      <c r="J56" s="766"/>
      <c r="K56" s="766"/>
      <c r="L56" s="775">
        <f>CHOOSE(DCF!$C$25,'US ALL'!L53,'US ALL'!L54,'US ALL'!L55)</f>
        <v>0</v>
      </c>
      <c r="M56" s="853">
        <f>CHOOSE(DCF!$C$25,'US ALL'!M53,'US ALL'!M54,'US ALL'!M55)</f>
        <v>0</v>
      </c>
      <c r="N56" s="853">
        <f>CHOOSE(DCF!$C$25,'US ALL'!N53,'US ALL'!N54,'US ALL'!N55)</f>
        <v>0</v>
      </c>
      <c r="O56" s="853">
        <f>CHOOSE(DCF!$C$25,'US ALL'!O53,'US ALL'!O54,'US ALL'!O55)</f>
        <v>0</v>
      </c>
      <c r="P56" s="853">
        <f>CHOOSE(DCF!$C$25,'US ALL'!P53,'US ALL'!P54,'US ALL'!P55)</f>
        <v>0</v>
      </c>
      <c r="Q56" s="853">
        <f>CHOOSE(DCF!$C$25,'US ALL'!Q53,'US ALL'!Q54,'US ALL'!Q55)</f>
        <v>0</v>
      </c>
      <c r="R56" s="853">
        <f>CHOOSE(DCF!$C$25,'US ALL'!R53,'US ALL'!R54,'US ALL'!R55)</f>
        <v>0</v>
      </c>
      <c r="S56" s="853">
        <f>CHOOSE(DCF!$C$25,'US ALL'!S53,'US ALL'!S54,'US ALL'!S55)</f>
        <v>0</v>
      </c>
      <c r="T56" s="853">
        <f>CHOOSE(DCF!$C$25,'US ALL'!T53,'US ALL'!T54,'US ALL'!T55)</f>
        <v>0</v>
      </c>
      <c r="U56" s="853">
        <f>CHOOSE(DCF!$C$25,'US ALL'!U53,'US ALL'!U54,'US ALL'!U55)</f>
        <v>0</v>
      </c>
      <c r="V56" s="853">
        <f>CHOOSE(DCF!$C$25,'US ALL'!V53,'US ALL'!V54,'US ALL'!V55)</f>
        <v>0</v>
      </c>
      <c r="W56" s="853">
        <f>CHOOSE(DCF!$C$25,'US ALL'!W53,'US ALL'!W54,'US ALL'!W55)</f>
        <v>0</v>
      </c>
      <c r="X56" s="853">
        <f>CHOOSE(DCF!$C$25,'US ALL'!X53,'US ALL'!X54,'US ALL'!X55)</f>
        <v>0</v>
      </c>
      <c r="Y56" s="853">
        <f>CHOOSE(DCF!$C$25,'US ALL'!Y53,'US ALL'!Y54,'US ALL'!Y55)</f>
        <v>0</v>
      </c>
    </row>
    <row r="57" spans="1:25">
      <c r="A57" s="756"/>
      <c r="B57" s="815" t="s">
        <v>68</v>
      </c>
      <c r="C57" s="756"/>
      <c r="D57" s="756"/>
      <c r="E57" s="756"/>
      <c r="F57" s="756"/>
      <c r="G57" s="766"/>
      <c r="H57" s="766"/>
      <c r="I57" s="766"/>
      <c r="J57" s="766"/>
      <c r="K57" s="766"/>
      <c r="L57" s="766"/>
      <c r="M57" s="854">
        <f>1-M56-M52</f>
        <v>1</v>
      </c>
      <c r="N57" s="854">
        <f t="shared" ref="N57:Y57" si="39">1-N56-N52</f>
        <v>1</v>
      </c>
      <c r="O57" s="854">
        <f t="shared" si="39"/>
        <v>1</v>
      </c>
      <c r="P57" s="854">
        <f t="shared" si="39"/>
        <v>1</v>
      </c>
      <c r="Q57" s="854">
        <f t="shared" si="39"/>
        <v>1</v>
      </c>
      <c r="R57" s="854">
        <f t="shared" si="39"/>
        <v>1</v>
      </c>
      <c r="S57" s="854">
        <f t="shared" si="39"/>
        <v>1</v>
      </c>
      <c r="T57" s="854">
        <f t="shared" si="39"/>
        <v>1</v>
      </c>
      <c r="U57" s="854">
        <f t="shared" si="39"/>
        <v>1</v>
      </c>
      <c r="V57" s="854">
        <f t="shared" si="39"/>
        <v>1</v>
      </c>
      <c r="W57" s="854">
        <f t="shared" si="39"/>
        <v>1</v>
      </c>
      <c r="X57" s="854">
        <f t="shared" si="39"/>
        <v>1</v>
      </c>
      <c r="Y57" s="854">
        <f t="shared" si="39"/>
        <v>1</v>
      </c>
    </row>
    <row r="58" spans="1:25">
      <c r="A58" s="756"/>
      <c r="B58" s="756" t="s">
        <v>951</v>
      </c>
      <c r="C58" s="756"/>
      <c r="D58" s="756"/>
      <c r="E58" s="756"/>
      <c r="F58" s="756"/>
      <c r="G58" s="765"/>
      <c r="H58" s="756"/>
      <c r="I58" s="756"/>
      <c r="J58" s="756"/>
      <c r="K58" s="756"/>
      <c r="L58" s="765"/>
      <c r="M58" s="774">
        <v>0.15</v>
      </c>
      <c r="N58" s="774">
        <v>0.25</v>
      </c>
      <c r="O58" s="774">
        <v>0.4</v>
      </c>
      <c r="P58" s="774">
        <v>0.5</v>
      </c>
      <c r="Q58" s="774">
        <v>0.6</v>
      </c>
      <c r="R58" s="774">
        <v>0.7</v>
      </c>
      <c r="S58" s="774">
        <v>0.8</v>
      </c>
      <c r="T58" s="774">
        <f t="shared" ref="T58:Y58" si="40">S58*1.025</f>
        <v>0.82</v>
      </c>
      <c r="U58" s="774">
        <f t="shared" si="40"/>
        <v>0.84049999999999991</v>
      </c>
      <c r="V58" s="774">
        <f t="shared" si="40"/>
        <v>0.86151249999999979</v>
      </c>
      <c r="W58" s="774">
        <f t="shared" si="40"/>
        <v>0.88305031249999966</v>
      </c>
      <c r="X58" s="774">
        <f t="shared" si="40"/>
        <v>0.90512657031249955</v>
      </c>
      <c r="Y58" s="774">
        <f t="shared" si="40"/>
        <v>0.92775473457031199</v>
      </c>
    </row>
    <row r="59" spans="1:25">
      <c r="A59" s="756"/>
      <c r="B59" s="756"/>
      <c r="C59" s="756"/>
      <c r="D59" s="756"/>
      <c r="E59" s="756"/>
      <c r="F59" s="756"/>
      <c r="G59" s="756"/>
      <c r="H59" s="756"/>
      <c r="I59" s="756"/>
      <c r="J59" s="756"/>
      <c r="K59" s="756"/>
      <c r="L59" s="756"/>
      <c r="M59" s="756"/>
      <c r="N59" s="756"/>
      <c r="O59" s="756"/>
      <c r="P59" s="756"/>
      <c r="Q59" s="756"/>
      <c r="R59" s="756"/>
      <c r="S59" s="756"/>
      <c r="T59" s="756"/>
      <c r="U59" s="756"/>
      <c r="V59" s="756"/>
      <c r="W59" s="756"/>
      <c r="X59" s="756"/>
      <c r="Y59" s="756"/>
    </row>
    <row r="60" spans="1:25">
      <c r="A60" s="756"/>
      <c r="B60" s="756" t="s">
        <v>952</v>
      </c>
      <c r="C60" s="756"/>
      <c r="D60" s="756"/>
      <c r="E60" s="756"/>
      <c r="F60" s="756"/>
      <c r="G60" s="756"/>
      <c r="H60" s="756"/>
      <c r="I60" s="756"/>
      <c r="J60" s="756"/>
      <c r="K60" s="756"/>
      <c r="L60" s="779"/>
      <c r="M60" s="779">
        <f>L44</f>
        <v>1</v>
      </c>
      <c r="N60" s="756">
        <f t="shared" ref="N60:Y60" si="41">M60</f>
        <v>1</v>
      </c>
      <c r="O60" s="756">
        <f t="shared" si="41"/>
        <v>1</v>
      </c>
      <c r="P60" s="756">
        <f t="shared" si="41"/>
        <v>1</v>
      </c>
      <c r="Q60" s="756">
        <f t="shared" si="41"/>
        <v>1</v>
      </c>
      <c r="R60" s="756">
        <f t="shared" si="41"/>
        <v>1</v>
      </c>
      <c r="S60" s="756">
        <f t="shared" si="41"/>
        <v>1</v>
      </c>
      <c r="T60" s="756">
        <f t="shared" si="41"/>
        <v>1</v>
      </c>
      <c r="U60" s="756">
        <f t="shared" si="41"/>
        <v>1</v>
      </c>
      <c r="V60" s="756">
        <f t="shared" si="41"/>
        <v>1</v>
      </c>
      <c r="W60" s="756">
        <f t="shared" si="41"/>
        <v>1</v>
      </c>
      <c r="X60" s="756">
        <f t="shared" si="41"/>
        <v>1</v>
      </c>
      <c r="Y60" s="756">
        <f t="shared" si="41"/>
        <v>1</v>
      </c>
    </row>
    <row r="61" spans="1:25">
      <c r="A61" s="756"/>
      <c r="B61" s="756"/>
      <c r="C61" s="756"/>
      <c r="D61" s="756"/>
      <c r="E61" s="756"/>
      <c r="F61" s="756"/>
      <c r="G61" s="756"/>
      <c r="H61" s="756"/>
      <c r="I61" s="756"/>
      <c r="J61" s="756"/>
      <c r="K61" s="756"/>
      <c r="L61" s="756"/>
      <c r="M61" s="756"/>
      <c r="N61" s="756"/>
      <c r="O61" s="756"/>
      <c r="P61" s="756"/>
      <c r="Q61" s="756"/>
      <c r="R61" s="756"/>
      <c r="S61" s="756"/>
      <c r="T61" s="756"/>
      <c r="U61" s="756"/>
      <c r="V61" s="756"/>
      <c r="W61" s="756"/>
      <c r="X61" s="756"/>
      <c r="Y61" s="756"/>
    </row>
    <row r="62" spans="1:25">
      <c r="A62" s="756"/>
      <c r="B62" s="780" t="s">
        <v>953</v>
      </c>
      <c r="C62" s="756"/>
      <c r="D62" s="756"/>
      <c r="E62" s="756"/>
      <c r="F62" s="756"/>
      <c r="G62" s="756"/>
      <c r="H62" s="756"/>
      <c r="I62" s="781"/>
      <c r="J62" s="761"/>
      <c r="K62" s="761"/>
      <c r="L62" s="762"/>
      <c r="M62" s="782">
        <f>M46</f>
        <v>409.99999999999994</v>
      </c>
      <c r="N62" s="799">
        <f t="shared" ref="N62:Y62" si="42">M62*(1+N63)</f>
        <v>420.24999999999989</v>
      </c>
      <c r="O62" s="799">
        <f t="shared" si="42"/>
        <v>430.75624999999985</v>
      </c>
      <c r="P62" s="799">
        <f t="shared" si="42"/>
        <v>441.52515624999984</v>
      </c>
      <c r="Q62" s="799">
        <f t="shared" si="42"/>
        <v>452.56328515624978</v>
      </c>
      <c r="R62" s="799">
        <f t="shared" si="42"/>
        <v>463.87736728515597</v>
      </c>
      <c r="S62" s="799">
        <f t="shared" si="42"/>
        <v>475.47430146728482</v>
      </c>
      <c r="T62" s="799">
        <f t="shared" si="42"/>
        <v>487.36115900396692</v>
      </c>
      <c r="U62" s="799">
        <f t="shared" si="42"/>
        <v>499.54518797906604</v>
      </c>
      <c r="V62" s="799">
        <f t="shared" si="42"/>
        <v>512.03381767854262</v>
      </c>
      <c r="W62" s="799">
        <f t="shared" si="42"/>
        <v>524.83466312050609</v>
      </c>
      <c r="X62" s="799">
        <f t="shared" si="42"/>
        <v>537.95552969851872</v>
      </c>
      <c r="Y62" s="799">
        <f t="shared" si="42"/>
        <v>551.4044179409816</v>
      </c>
    </row>
    <row r="63" spans="1:25">
      <c r="A63" s="756"/>
      <c r="B63" s="783" t="s">
        <v>954</v>
      </c>
      <c r="C63" s="784"/>
      <c r="D63" s="784"/>
      <c r="E63" s="784"/>
      <c r="F63" s="784"/>
      <c r="G63" s="784"/>
      <c r="H63" s="784"/>
      <c r="I63" s="784"/>
      <c r="J63" s="785"/>
      <c r="K63" s="786"/>
      <c r="L63" s="786"/>
      <c r="M63" s="785"/>
      <c r="N63" s="785">
        <f>M47</f>
        <v>2.5000000000000001E-2</v>
      </c>
      <c r="O63" s="785">
        <f>C69</f>
        <v>2.5000000000000001E-2</v>
      </c>
      <c r="P63" s="786">
        <f t="shared" ref="P63:Y63" si="43">O63</f>
        <v>2.5000000000000001E-2</v>
      </c>
      <c r="Q63" s="786">
        <f t="shared" si="43"/>
        <v>2.5000000000000001E-2</v>
      </c>
      <c r="R63" s="786">
        <f t="shared" si="43"/>
        <v>2.5000000000000001E-2</v>
      </c>
      <c r="S63" s="786">
        <f t="shared" si="43"/>
        <v>2.5000000000000001E-2</v>
      </c>
      <c r="T63" s="786">
        <f t="shared" si="43"/>
        <v>2.5000000000000001E-2</v>
      </c>
      <c r="U63" s="786">
        <f t="shared" si="43"/>
        <v>2.5000000000000001E-2</v>
      </c>
      <c r="V63" s="786">
        <f t="shared" si="43"/>
        <v>2.5000000000000001E-2</v>
      </c>
      <c r="W63" s="786">
        <f t="shared" si="43"/>
        <v>2.5000000000000001E-2</v>
      </c>
      <c r="X63" s="786">
        <f t="shared" si="43"/>
        <v>2.5000000000000001E-2</v>
      </c>
      <c r="Y63" s="786">
        <f t="shared" si="43"/>
        <v>2.5000000000000001E-2</v>
      </c>
    </row>
    <row r="64" spans="1:25">
      <c r="A64" s="756"/>
      <c r="B64" s="783"/>
      <c r="C64" s="784"/>
      <c r="D64" s="784"/>
      <c r="E64" s="784"/>
      <c r="F64" s="784"/>
      <c r="G64" s="784"/>
      <c r="H64" s="784"/>
      <c r="I64" s="784"/>
      <c r="J64" s="785"/>
      <c r="K64" s="786"/>
      <c r="L64" s="786"/>
      <c r="M64" s="786"/>
      <c r="N64" s="786"/>
      <c r="O64" s="786"/>
      <c r="P64" s="786"/>
      <c r="Q64" s="786"/>
      <c r="R64" s="786"/>
      <c r="S64" s="786"/>
      <c r="T64" s="786"/>
      <c r="U64" s="786"/>
      <c r="V64" s="786"/>
      <c r="W64" s="786"/>
      <c r="X64" s="786"/>
      <c r="Y64" s="786"/>
    </row>
    <row r="65" spans="1:25" ht="15.75" thickBot="1">
      <c r="A65" s="756"/>
      <c r="B65" s="788" t="s">
        <v>976</v>
      </c>
      <c r="C65" s="789"/>
      <c r="D65" s="789"/>
      <c r="E65" s="789"/>
      <c r="F65" s="789"/>
      <c r="G65" s="789"/>
      <c r="H65" s="789"/>
      <c r="I65" s="790"/>
      <c r="J65" s="790"/>
      <c r="K65" s="790"/>
      <c r="L65" s="790"/>
      <c r="M65" s="791">
        <f t="shared" ref="M65:Y65" si="44">M62*M60*M56*M17*M58/1000</f>
        <v>0</v>
      </c>
      <c r="N65" s="791">
        <f t="shared" si="44"/>
        <v>0</v>
      </c>
      <c r="O65" s="791">
        <f t="shared" si="44"/>
        <v>0</v>
      </c>
      <c r="P65" s="791">
        <f t="shared" si="44"/>
        <v>0</v>
      </c>
      <c r="Q65" s="791">
        <f t="shared" si="44"/>
        <v>0</v>
      </c>
      <c r="R65" s="791">
        <f t="shared" si="44"/>
        <v>0</v>
      </c>
      <c r="S65" s="791">
        <f t="shared" si="44"/>
        <v>0</v>
      </c>
      <c r="T65" s="791">
        <f t="shared" si="44"/>
        <v>0</v>
      </c>
      <c r="U65" s="791">
        <f t="shared" si="44"/>
        <v>0</v>
      </c>
      <c r="V65" s="791">
        <f t="shared" si="44"/>
        <v>0</v>
      </c>
      <c r="W65" s="791">
        <f t="shared" si="44"/>
        <v>0</v>
      </c>
      <c r="X65" s="791">
        <f t="shared" si="44"/>
        <v>0</v>
      </c>
      <c r="Y65" s="791">
        <f t="shared" si="44"/>
        <v>0</v>
      </c>
    </row>
    <row r="66" spans="1:25" ht="15.75" thickTop="1"/>
    <row r="67" spans="1:25" ht="15.75" thickBot="1"/>
    <row r="68" spans="1:25">
      <c r="B68" s="800" t="s">
        <v>977</v>
      </c>
      <c r="C68" s="801">
        <v>400</v>
      </c>
      <c r="D68" s="802">
        <v>400</v>
      </c>
      <c r="E68" s="756"/>
      <c r="F68" s="756"/>
      <c r="G68" s="756"/>
      <c r="H68" s="756"/>
      <c r="I68" s="756"/>
      <c r="J68" s="756"/>
      <c r="K68" s="756"/>
      <c r="L68" s="756"/>
      <c r="M68" s="756"/>
      <c r="N68" s="756"/>
      <c r="O68" s="756"/>
      <c r="P68" s="756"/>
      <c r="Q68" s="756"/>
      <c r="R68" s="756"/>
      <c r="S68" s="756"/>
      <c r="T68" s="756"/>
      <c r="U68" s="756"/>
      <c r="V68" s="756"/>
      <c r="W68" s="756"/>
      <c r="X68" s="756"/>
      <c r="Y68" s="756"/>
    </row>
    <row r="69" spans="1:25">
      <c r="B69" s="803" t="s">
        <v>978</v>
      </c>
      <c r="C69" s="804">
        <v>2.5000000000000001E-2</v>
      </c>
      <c r="D69" s="805"/>
      <c r="E69" s="756"/>
      <c r="F69" s="756"/>
      <c r="G69" s="756"/>
      <c r="H69" s="756"/>
      <c r="I69" s="756"/>
      <c r="J69" s="756"/>
      <c r="K69" s="756"/>
      <c r="L69" s="756"/>
      <c r="M69" s="756"/>
      <c r="N69" s="756"/>
      <c r="O69" s="756"/>
      <c r="P69" s="756"/>
      <c r="Q69" s="756"/>
      <c r="R69" s="756"/>
      <c r="S69" s="756"/>
      <c r="T69" s="756"/>
      <c r="U69" s="756"/>
      <c r="V69" s="756"/>
      <c r="W69" s="756"/>
      <c r="X69" s="756"/>
      <c r="Y69" s="756"/>
    </row>
    <row r="70" spans="1:25">
      <c r="B70" s="803" t="s">
        <v>979</v>
      </c>
      <c r="C70" s="806">
        <v>0.6</v>
      </c>
      <c r="D70" s="805"/>
      <c r="E70" s="756"/>
      <c r="F70" s="756"/>
      <c r="G70" s="756"/>
      <c r="H70" s="756"/>
      <c r="I70" s="756"/>
      <c r="J70" s="756"/>
      <c r="K70" s="756"/>
      <c r="L70" s="756"/>
      <c r="M70" s="756"/>
      <c r="N70" s="756"/>
      <c r="O70" s="756"/>
      <c r="P70" s="756"/>
      <c r="Q70" s="756"/>
      <c r="R70" s="756"/>
      <c r="S70" s="756"/>
      <c r="T70" s="756"/>
      <c r="U70" s="756"/>
      <c r="V70" s="756"/>
      <c r="W70" s="756"/>
      <c r="X70" s="756"/>
      <c r="Y70" s="756"/>
    </row>
    <row r="71" spans="1:25">
      <c r="B71" s="803" t="s">
        <v>980</v>
      </c>
      <c r="C71" s="806">
        <v>-0.02</v>
      </c>
      <c r="D71" s="805"/>
      <c r="E71" s="756"/>
      <c r="F71" s="756"/>
      <c r="G71" s="756"/>
      <c r="H71" s="756"/>
      <c r="I71" s="756"/>
      <c r="J71" s="756"/>
      <c r="K71" s="756"/>
      <c r="L71" s="756"/>
      <c r="M71" s="756"/>
      <c r="N71" s="756"/>
      <c r="O71" s="756"/>
      <c r="P71" s="756"/>
      <c r="Q71" s="756"/>
      <c r="R71" s="756"/>
      <c r="S71" s="756"/>
      <c r="T71" s="756"/>
      <c r="U71" s="756"/>
      <c r="V71" s="756"/>
      <c r="W71" s="756"/>
      <c r="X71" s="756"/>
      <c r="Y71" s="756"/>
    </row>
    <row r="72" spans="1:25" ht="15.75" thickBot="1">
      <c r="B72" s="807" t="s">
        <v>952</v>
      </c>
      <c r="C72" s="808">
        <v>1</v>
      </c>
      <c r="D72" s="809">
        <v>1</v>
      </c>
      <c r="E72" s="756"/>
      <c r="F72" s="756"/>
      <c r="G72" s="756"/>
      <c r="H72" s="756"/>
      <c r="I72" s="756"/>
      <c r="J72" s="756"/>
      <c r="K72" s="756"/>
      <c r="L72" s="756"/>
      <c r="M72" s="756"/>
      <c r="N72" s="756"/>
      <c r="O72" s="756"/>
      <c r="P72" s="756"/>
      <c r="Q72" s="756"/>
      <c r="R72" s="756"/>
      <c r="S72" s="756"/>
      <c r="T72" s="756"/>
      <c r="U72" s="756"/>
      <c r="V72" s="756"/>
      <c r="W72" s="756"/>
      <c r="X72" s="756"/>
      <c r="Y72" s="756"/>
    </row>
    <row r="73" spans="1:25">
      <c r="B73" s="756"/>
      <c r="C73" s="756"/>
      <c r="D73" s="810"/>
      <c r="E73" s="756"/>
      <c r="F73" s="756"/>
      <c r="G73" s="756"/>
      <c r="H73" s="756"/>
      <c r="I73" s="756"/>
      <c r="J73" s="756"/>
      <c r="K73" s="756"/>
      <c r="L73" s="756"/>
      <c r="M73" s="756"/>
      <c r="N73" s="756"/>
      <c r="O73" s="756"/>
      <c r="P73" s="756"/>
      <c r="Q73" s="756"/>
      <c r="R73" s="756"/>
      <c r="S73" s="756"/>
      <c r="T73" s="756"/>
      <c r="U73" s="756"/>
      <c r="V73" s="756"/>
      <c r="W73" s="756"/>
      <c r="X73" s="756"/>
      <c r="Y73" s="756"/>
    </row>
    <row r="74" spans="1:25">
      <c r="B74" s="756"/>
      <c r="C74" s="756"/>
      <c r="D74" s="810"/>
      <c r="E74" s="756"/>
      <c r="F74" s="756"/>
      <c r="G74" s="756"/>
      <c r="H74" s="756"/>
      <c r="I74" s="756"/>
      <c r="J74" s="756"/>
      <c r="K74" s="756"/>
      <c r="L74" s="756"/>
      <c r="M74" s="756"/>
      <c r="N74" s="756"/>
      <c r="O74" s="756"/>
      <c r="P74" s="756"/>
      <c r="Q74" s="756"/>
      <c r="R74" s="756"/>
      <c r="S74" s="756"/>
      <c r="T74" s="756"/>
      <c r="U74" s="756"/>
      <c r="V74" s="756"/>
      <c r="W74" s="756"/>
      <c r="X74" s="756"/>
      <c r="Y74" s="756"/>
    </row>
    <row r="75" spans="1:25">
      <c r="B75" s="756"/>
      <c r="C75" s="756"/>
      <c r="D75" s="756"/>
      <c r="E75" s="756"/>
      <c r="F75" s="756"/>
      <c r="G75" s="756"/>
      <c r="H75" s="756"/>
      <c r="I75" s="756"/>
      <c r="J75" s="756"/>
      <c r="K75" s="756"/>
      <c r="L75" s="756"/>
      <c r="M75" s="756"/>
      <c r="N75" s="756"/>
      <c r="O75" s="756"/>
      <c r="P75" s="756"/>
      <c r="Q75" s="756"/>
      <c r="R75" s="756"/>
      <c r="S75" s="756"/>
      <c r="T75" s="756"/>
      <c r="U75" s="756"/>
      <c r="V75" s="756"/>
      <c r="W75" s="756"/>
      <c r="X75" s="756"/>
      <c r="Y75" s="756"/>
    </row>
    <row r="76" spans="1:25">
      <c r="B76" s="756"/>
      <c r="C76" s="756"/>
      <c r="D76" s="756"/>
      <c r="E76" s="756"/>
      <c r="F76" s="756"/>
      <c r="G76" s="756"/>
      <c r="H76" s="756"/>
      <c r="I76" s="756"/>
      <c r="J76" s="756"/>
      <c r="K76" s="756"/>
      <c r="L76" s="756"/>
      <c r="M76" s="756"/>
      <c r="N76" s="756"/>
      <c r="O76" s="756"/>
      <c r="P76" s="756"/>
      <c r="Q76" s="756"/>
      <c r="R76" s="756"/>
      <c r="S76" s="756"/>
      <c r="T76" s="756"/>
      <c r="U76" s="756"/>
      <c r="V76" s="756"/>
      <c r="W76" s="756"/>
      <c r="X76" s="756"/>
      <c r="Y76" s="756"/>
    </row>
    <row r="77" spans="1:25">
      <c r="B77" s="756" t="s">
        <v>981</v>
      </c>
      <c r="C77" s="756"/>
      <c r="D77" s="756"/>
      <c r="E77" s="756"/>
      <c r="F77" s="756"/>
      <c r="G77" s="756"/>
      <c r="H77" s="756"/>
      <c r="I77" s="792">
        <f>I6/I5</f>
        <v>0.23376623376623376</v>
      </c>
      <c r="J77" s="792">
        <f>I77*0.99</f>
        <v>0.23142857142857143</v>
      </c>
      <c r="K77" s="792">
        <f t="shared" ref="K77:Y78" si="45">J77*0.99</f>
        <v>0.22911428571428571</v>
      </c>
      <c r="L77" s="792">
        <f t="shared" si="45"/>
        <v>0.22682314285714286</v>
      </c>
      <c r="M77" s="792">
        <f t="shared" si="45"/>
        <v>0.22455491142857142</v>
      </c>
      <c r="N77" s="792">
        <f t="shared" si="45"/>
        <v>0.22230936231428572</v>
      </c>
      <c r="O77" s="792">
        <f t="shared" si="45"/>
        <v>0.22008626869114287</v>
      </c>
      <c r="P77" s="792">
        <f t="shared" si="45"/>
        <v>0.21788540600423142</v>
      </c>
      <c r="Q77" s="792">
        <f t="shared" si="45"/>
        <v>0.21570655194418911</v>
      </c>
      <c r="R77" s="792">
        <f t="shared" si="45"/>
        <v>0.21354948642474722</v>
      </c>
      <c r="S77" s="792">
        <f t="shared" si="45"/>
        <v>0.21141399156049975</v>
      </c>
      <c r="T77" s="792">
        <f t="shared" si="45"/>
        <v>0.20929985164489476</v>
      </c>
      <c r="U77" s="792">
        <f t="shared" si="45"/>
        <v>0.20720685312844581</v>
      </c>
      <c r="V77" s="792">
        <f t="shared" si="45"/>
        <v>0.20513478459716133</v>
      </c>
      <c r="W77" s="792">
        <f t="shared" si="45"/>
        <v>0.20308343675118973</v>
      </c>
      <c r="X77" s="792">
        <f t="shared" si="45"/>
        <v>0.20105260238367784</v>
      </c>
      <c r="Y77" s="792">
        <f t="shared" si="45"/>
        <v>0.19904207635984106</v>
      </c>
    </row>
    <row r="78" spans="1:25">
      <c r="B78" s="756" t="s">
        <v>982</v>
      </c>
      <c r="C78" s="756"/>
      <c r="D78" s="756"/>
      <c r="E78" s="756"/>
      <c r="F78" s="756"/>
      <c r="G78" s="756"/>
      <c r="H78" s="756"/>
      <c r="I78" s="792">
        <f>I22/I21</f>
        <v>0.36734693877551022</v>
      </c>
      <c r="J78" s="792">
        <f>I78*0.99</f>
        <v>0.36367346938775513</v>
      </c>
      <c r="K78" s="792">
        <f t="shared" si="45"/>
        <v>0.36003673469387759</v>
      </c>
      <c r="L78" s="792">
        <f t="shared" si="45"/>
        <v>0.35643636734693879</v>
      </c>
      <c r="M78" s="792">
        <f t="shared" si="45"/>
        <v>0.35287200367346938</v>
      </c>
      <c r="N78" s="792">
        <f t="shared" si="45"/>
        <v>0.34934328363673467</v>
      </c>
      <c r="O78" s="792">
        <f t="shared" si="45"/>
        <v>0.34584985080036734</v>
      </c>
      <c r="P78" s="792">
        <f t="shared" si="45"/>
        <v>0.34239135229236367</v>
      </c>
      <c r="Q78" s="792">
        <f t="shared" si="45"/>
        <v>0.33896743876944002</v>
      </c>
      <c r="R78" s="792">
        <f t="shared" si="45"/>
        <v>0.33557776438174564</v>
      </c>
      <c r="S78" s="792">
        <f t="shared" si="45"/>
        <v>0.33222198673792819</v>
      </c>
      <c r="T78" s="792">
        <f t="shared" si="45"/>
        <v>0.32889976687054889</v>
      </c>
      <c r="U78" s="792">
        <f t="shared" si="45"/>
        <v>0.3256107692018434</v>
      </c>
      <c r="V78" s="792">
        <f t="shared" si="45"/>
        <v>0.32235466150982495</v>
      </c>
      <c r="W78" s="792">
        <f t="shared" si="45"/>
        <v>0.31913111489472668</v>
      </c>
      <c r="X78" s="792">
        <f t="shared" si="45"/>
        <v>0.3159398037457794</v>
      </c>
      <c r="Y78" s="792">
        <f t="shared" si="45"/>
        <v>0.31278040570832161</v>
      </c>
    </row>
    <row r="79" spans="1:25">
      <c r="B79" s="756"/>
      <c r="C79" s="756"/>
      <c r="D79" s="756"/>
      <c r="E79" s="756"/>
      <c r="F79" s="756"/>
      <c r="G79" s="756"/>
      <c r="H79" s="756"/>
      <c r="I79" s="756"/>
      <c r="J79" s="756"/>
      <c r="K79" s="756"/>
      <c r="L79" s="756"/>
      <c r="M79" s="756"/>
      <c r="N79" s="756"/>
      <c r="O79" s="756"/>
      <c r="P79" s="756"/>
      <c r="Q79" s="756"/>
      <c r="R79" s="756"/>
      <c r="S79" s="756"/>
      <c r="T79" s="756"/>
      <c r="U79" s="756"/>
      <c r="V79" s="756"/>
      <c r="W79" s="756"/>
      <c r="X79" s="756"/>
      <c r="Y79" s="756"/>
    </row>
    <row r="80" spans="1:25">
      <c r="B80" s="756"/>
      <c r="C80" s="756"/>
      <c r="D80" s="756"/>
      <c r="E80" s="756"/>
      <c r="F80" s="756"/>
      <c r="G80" s="756"/>
      <c r="H80" s="756"/>
      <c r="I80" s="756"/>
      <c r="J80" s="756"/>
      <c r="K80" s="756"/>
      <c r="L80" s="756"/>
      <c r="M80" s="756"/>
      <c r="N80" s="756"/>
      <c r="O80" s="756"/>
      <c r="P80" s="756"/>
      <c r="Q80" s="756"/>
      <c r="R80" s="756"/>
      <c r="S80" s="756"/>
      <c r="T80" s="756"/>
      <c r="U80" s="756"/>
      <c r="V80" s="756"/>
      <c r="W80" s="756"/>
      <c r="X80" s="756"/>
      <c r="Y80" s="756"/>
    </row>
    <row r="81" spans="2:25">
      <c r="B81" s="756" t="s">
        <v>983</v>
      </c>
      <c r="C81" s="756"/>
      <c r="D81" s="756"/>
      <c r="E81" s="756"/>
      <c r="F81" s="756"/>
      <c r="G81" s="756"/>
      <c r="H81" s="756"/>
      <c r="I81" s="756"/>
      <c r="J81" s="756"/>
      <c r="K81" s="756"/>
      <c r="L81" s="756"/>
      <c r="M81" s="756"/>
      <c r="N81" s="756"/>
      <c r="O81" s="756"/>
      <c r="P81" s="756"/>
      <c r="Q81" s="756"/>
      <c r="R81" s="756"/>
      <c r="S81" s="756"/>
      <c r="T81" s="756"/>
      <c r="U81" s="756"/>
      <c r="V81" s="756"/>
      <c r="W81" s="756"/>
      <c r="X81" s="756"/>
      <c r="Y81" s="756"/>
    </row>
    <row r="82" spans="2:25">
      <c r="B82" s="756" t="s">
        <v>423</v>
      </c>
      <c r="C82" s="756">
        <v>300</v>
      </c>
      <c r="D82" s="756"/>
      <c r="E82" s="756"/>
      <c r="F82" s="756"/>
      <c r="G82" s="756"/>
      <c r="H82" s="756"/>
      <c r="I82" s="756"/>
      <c r="J82" s="756"/>
      <c r="K82" s="756"/>
      <c r="L82" s="756"/>
      <c r="M82" s="756"/>
      <c r="N82" s="756"/>
      <c r="O82" s="756"/>
      <c r="P82" s="756"/>
      <c r="Q82" s="756"/>
      <c r="R82" s="756"/>
      <c r="S82" s="756"/>
      <c r="T82" s="756"/>
      <c r="U82" s="756"/>
      <c r="V82" s="756"/>
      <c r="W82" s="756"/>
      <c r="X82" s="756"/>
      <c r="Y82" s="756"/>
    </row>
    <row r="83" spans="2:25">
      <c r="B83" s="756" t="s">
        <v>424</v>
      </c>
      <c r="C83" s="756">
        <v>225</v>
      </c>
      <c r="D83" s="756"/>
      <c r="E83" s="756"/>
      <c r="F83" s="756"/>
      <c r="G83" s="756"/>
      <c r="H83" s="756"/>
      <c r="I83" s="756"/>
      <c r="J83" s="756"/>
      <c r="K83" s="756"/>
      <c r="L83" s="756"/>
      <c r="M83" s="756"/>
      <c r="N83" s="756"/>
      <c r="O83" s="756"/>
      <c r="P83" s="756"/>
      <c r="Q83" s="756"/>
      <c r="R83" s="756"/>
      <c r="S83" s="756"/>
      <c r="T83" s="756"/>
      <c r="U83" s="756"/>
      <c r="V83" s="756"/>
      <c r="W83" s="756"/>
      <c r="X83" s="756"/>
      <c r="Y83" s="756"/>
    </row>
    <row r="84" spans="2:25">
      <c r="B84" s="756" t="s">
        <v>425</v>
      </c>
      <c r="C84" s="756">
        <v>500</v>
      </c>
      <c r="D84" s="756"/>
      <c r="E84" s="756"/>
      <c r="F84" s="756"/>
      <c r="G84" s="756"/>
      <c r="H84" s="756"/>
      <c r="I84" s="756"/>
      <c r="J84" s="756"/>
      <c r="K84" s="756"/>
      <c r="L84" s="756"/>
      <c r="M84" s="756"/>
      <c r="N84" s="756"/>
      <c r="O84" s="756"/>
      <c r="P84" s="756"/>
      <c r="Q84" s="756"/>
      <c r="R84" s="756"/>
      <c r="S84" s="756"/>
      <c r="T84" s="756"/>
      <c r="U84" s="756"/>
      <c r="V84" s="756"/>
      <c r="W84" s="756"/>
      <c r="X84" s="756"/>
      <c r="Y84" s="756"/>
    </row>
    <row r="85" spans="2:25">
      <c r="B85" s="756"/>
      <c r="C85" s="756"/>
      <c r="D85" s="756"/>
      <c r="E85" s="756"/>
      <c r="F85" s="756"/>
      <c r="G85" s="756"/>
      <c r="H85" s="756"/>
      <c r="I85" s="756"/>
      <c r="J85" s="756"/>
      <c r="K85" s="756"/>
      <c r="L85" s="756"/>
      <c r="M85" s="756"/>
      <c r="N85" s="756"/>
      <c r="O85" s="756"/>
      <c r="P85" s="756"/>
      <c r="Q85" s="756"/>
      <c r="R85" s="756"/>
      <c r="S85" s="756"/>
      <c r="T85" s="756"/>
      <c r="U85" s="756"/>
      <c r="V85" s="756"/>
      <c r="W85" s="756"/>
      <c r="X85" s="756"/>
      <c r="Y85" s="756"/>
    </row>
    <row r="86" spans="2:25">
      <c r="B86" s="756" t="s">
        <v>984</v>
      </c>
      <c r="C86" s="756"/>
      <c r="D86" s="756"/>
      <c r="E86" s="756"/>
      <c r="F86" s="756"/>
      <c r="G86" s="756"/>
      <c r="H86" s="756"/>
      <c r="I86" s="756"/>
      <c r="J86" s="756"/>
      <c r="K86" s="756"/>
      <c r="L86" s="756"/>
      <c r="M86" s="756"/>
      <c r="N86" s="756"/>
      <c r="O86" s="756"/>
      <c r="P86" s="756"/>
      <c r="Q86" s="756"/>
      <c r="R86" s="756"/>
      <c r="S86" s="756"/>
      <c r="T86" s="756"/>
      <c r="U86" s="756"/>
      <c r="V86" s="756"/>
      <c r="W86" s="756"/>
      <c r="X86" s="756"/>
      <c r="Y86" s="756"/>
    </row>
    <row r="87" spans="2:25">
      <c r="B87" s="756" t="s">
        <v>423</v>
      </c>
      <c r="C87" s="756">
        <v>1.5</v>
      </c>
      <c r="D87" s="756"/>
      <c r="E87" s="756"/>
      <c r="F87" s="756"/>
      <c r="G87" s="756"/>
      <c r="H87" s="756"/>
      <c r="I87" s="756"/>
      <c r="J87" s="756"/>
      <c r="K87" s="756"/>
      <c r="L87" s="756"/>
      <c r="M87" s="756"/>
      <c r="N87" s="756"/>
      <c r="O87" s="756"/>
      <c r="P87" s="756"/>
      <c r="Q87" s="756"/>
      <c r="R87" s="756"/>
      <c r="S87" s="756"/>
      <c r="T87" s="756"/>
      <c r="U87" s="756"/>
      <c r="V87" s="756"/>
      <c r="W87" s="756"/>
      <c r="X87" s="756"/>
      <c r="Y87" s="756"/>
    </row>
    <row r="88" spans="2:25">
      <c r="B88" s="756" t="s">
        <v>424</v>
      </c>
      <c r="C88" s="756">
        <v>1.1000000000000001</v>
      </c>
      <c r="D88" s="756"/>
      <c r="E88" s="756"/>
      <c r="F88" s="756"/>
      <c r="G88" s="756"/>
      <c r="H88" s="756"/>
      <c r="I88" s="756"/>
      <c r="J88" s="756"/>
      <c r="K88" s="756"/>
      <c r="L88" s="756"/>
      <c r="M88" s="756"/>
      <c r="N88" s="756"/>
      <c r="O88" s="756"/>
      <c r="P88" s="756"/>
      <c r="Q88" s="756"/>
      <c r="R88" s="756"/>
      <c r="S88" s="756"/>
      <c r="T88" s="756"/>
      <c r="U88" s="756"/>
      <c r="V88" s="756"/>
      <c r="W88" s="756"/>
      <c r="X88" s="756"/>
      <c r="Y88" s="756"/>
    </row>
    <row r="89" spans="2:25">
      <c r="B89" s="756" t="s">
        <v>425</v>
      </c>
      <c r="C89" s="756">
        <v>1</v>
      </c>
      <c r="D89" s="756"/>
      <c r="E89" s="756"/>
      <c r="F89" s="756"/>
      <c r="G89" s="756"/>
      <c r="H89" s="756"/>
      <c r="I89" s="756"/>
      <c r="J89" s="756"/>
      <c r="K89" s="756"/>
      <c r="L89" s="756"/>
      <c r="M89" s="756"/>
      <c r="N89" s="756"/>
      <c r="O89" s="756"/>
      <c r="P89" s="756"/>
      <c r="Q89" s="756"/>
      <c r="R89" s="756"/>
      <c r="S89" s="756"/>
      <c r="T89" s="756"/>
      <c r="U89" s="756"/>
      <c r="V89" s="756"/>
      <c r="W89" s="756"/>
      <c r="X89" s="756"/>
      <c r="Y89" s="756"/>
    </row>
    <row r="90" spans="2:25">
      <c r="B90" s="756"/>
      <c r="C90" s="756"/>
      <c r="D90" s="756"/>
      <c r="E90" s="756"/>
      <c r="F90" s="756"/>
      <c r="G90" s="756"/>
      <c r="H90" s="756"/>
      <c r="I90" s="756"/>
      <c r="J90" s="756"/>
      <c r="K90" s="756"/>
      <c r="L90" s="756"/>
      <c r="M90" s="756"/>
      <c r="N90" s="756"/>
      <c r="O90" s="756"/>
      <c r="P90" s="756"/>
      <c r="Q90" s="756"/>
      <c r="R90" s="756"/>
      <c r="S90" s="756"/>
      <c r="T90" s="756"/>
      <c r="U90" s="756"/>
      <c r="V90" s="756"/>
      <c r="W90" s="756"/>
      <c r="X90" s="756"/>
      <c r="Y90" s="756"/>
    </row>
    <row r="91" spans="2:25">
      <c r="B91" s="811" t="s">
        <v>985</v>
      </c>
      <c r="C91" s="756"/>
      <c r="D91" s="756"/>
      <c r="E91" s="756"/>
      <c r="F91" s="756"/>
      <c r="G91" s="756"/>
      <c r="H91" s="756"/>
      <c r="I91" s="756"/>
      <c r="J91" s="756"/>
      <c r="K91" s="756"/>
      <c r="L91" s="756"/>
      <c r="M91" s="756"/>
      <c r="N91" s="756"/>
      <c r="O91" s="756"/>
      <c r="P91" s="756"/>
      <c r="Q91" s="756"/>
      <c r="R91" s="756"/>
      <c r="S91" s="756"/>
      <c r="T91" s="756"/>
      <c r="U91" s="756"/>
      <c r="V91" s="756"/>
      <c r="W91" s="756"/>
      <c r="X91" s="756"/>
      <c r="Y91" s="756"/>
    </row>
    <row r="92" spans="2:25">
      <c r="B92" s="812">
        <f>DCF!C25</f>
        <v>2</v>
      </c>
      <c r="C92" s="756"/>
      <c r="D92" s="756"/>
      <c r="E92" s="756"/>
      <c r="F92" s="756"/>
      <c r="G92" s="756"/>
      <c r="H92" s="756"/>
      <c r="I92" s="756"/>
      <c r="J92" s="756"/>
      <c r="K92" s="756"/>
      <c r="L92" s="756"/>
      <c r="M92" s="756"/>
      <c r="N92" s="756"/>
      <c r="O92" s="756"/>
      <c r="P92" s="756"/>
      <c r="Q92" s="756"/>
      <c r="R92" s="756"/>
      <c r="S92" s="756"/>
      <c r="T92" s="756"/>
      <c r="U92" s="756"/>
      <c r="V92" s="756"/>
      <c r="W92" s="756"/>
      <c r="X92" s="756"/>
      <c r="Y92" s="756"/>
    </row>
  </sheetData>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D49"/>
  <sheetViews>
    <sheetView zoomScale="85" zoomScaleNormal="85" workbookViewId="0">
      <pane xSplit="2" ySplit="2" topLeftCell="I3" activePane="bottomRight" state="frozen"/>
      <selection pane="topRight" activeCell="C1" sqref="C1"/>
      <selection pane="bottomLeft" activeCell="A3" sqref="A3"/>
      <selection pane="bottomRight" activeCell="Q30" sqref="Q30"/>
    </sheetView>
  </sheetViews>
  <sheetFormatPr defaultRowHeight="15" outlineLevelRow="1" outlineLevelCol="1"/>
  <cols>
    <col min="1" max="1" width="2.140625" customWidth="1"/>
    <col min="2" max="2" width="35.140625" customWidth="1"/>
    <col min="3" max="8" width="9.140625" outlineLevel="1"/>
    <col min="13" max="13" width="9.85546875" bestFit="1" customWidth="1"/>
  </cols>
  <sheetData>
    <row r="1" spans="1:30">
      <c r="A1" s="756"/>
      <c r="B1" s="756"/>
      <c r="C1" s="756"/>
      <c r="D1" s="756"/>
      <c r="E1" s="756"/>
      <c r="F1" s="756"/>
      <c r="G1" s="756"/>
      <c r="H1" s="756"/>
      <c r="I1" s="756"/>
      <c r="J1" s="756"/>
      <c r="K1" s="756"/>
      <c r="L1" s="756"/>
      <c r="M1" s="756"/>
      <c r="N1" s="756"/>
      <c r="O1" s="756"/>
      <c r="P1" s="756"/>
      <c r="Q1" s="756"/>
      <c r="R1" s="756"/>
      <c r="S1" s="756"/>
      <c r="T1" s="756"/>
      <c r="U1" s="756"/>
      <c r="V1" s="756"/>
      <c r="W1" s="756"/>
      <c r="X1" s="756"/>
      <c r="Y1" s="756"/>
    </row>
    <row r="2" spans="1:30">
      <c r="A2" s="756"/>
      <c r="B2" s="757"/>
      <c r="C2" s="757">
        <v>2008</v>
      </c>
      <c r="D2" s="757">
        <f>C2+1</f>
        <v>2009</v>
      </c>
      <c r="E2" s="757">
        <f t="shared" ref="E2:U2" si="0">D2+1</f>
        <v>2010</v>
      </c>
      <c r="F2" s="757">
        <f t="shared" si="0"/>
        <v>2011</v>
      </c>
      <c r="G2" s="757">
        <f t="shared" si="0"/>
        <v>2012</v>
      </c>
      <c r="H2" s="757">
        <f t="shared" si="0"/>
        <v>2013</v>
      </c>
      <c r="I2" s="757">
        <f t="shared" si="0"/>
        <v>2014</v>
      </c>
      <c r="J2" s="757">
        <f t="shared" si="0"/>
        <v>2015</v>
      </c>
      <c r="K2" s="757">
        <f t="shared" si="0"/>
        <v>2016</v>
      </c>
      <c r="L2" s="757">
        <f t="shared" si="0"/>
        <v>2017</v>
      </c>
      <c r="M2" s="757">
        <f t="shared" si="0"/>
        <v>2018</v>
      </c>
      <c r="N2" s="757">
        <f t="shared" si="0"/>
        <v>2019</v>
      </c>
      <c r="O2" s="757">
        <f t="shared" si="0"/>
        <v>2020</v>
      </c>
      <c r="P2" s="757">
        <f t="shared" si="0"/>
        <v>2021</v>
      </c>
      <c r="Q2" s="757">
        <f t="shared" si="0"/>
        <v>2022</v>
      </c>
      <c r="R2" s="757">
        <f t="shared" si="0"/>
        <v>2023</v>
      </c>
      <c r="S2" s="757">
        <f t="shared" si="0"/>
        <v>2024</v>
      </c>
      <c r="T2" s="757">
        <f t="shared" si="0"/>
        <v>2025</v>
      </c>
      <c r="U2" s="757">
        <f t="shared" si="0"/>
        <v>2026</v>
      </c>
      <c r="V2" s="757">
        <f>U2+1</f>
        <v>2027</v>
      </c>
      <c r="W2" s="757">
        <f>V2+1</f>
        <v>2028</v>
      </c>
      <c r="X2" s="757">
        <f>W2+1</f>
        <v>2029</v>
      </c>
      <c r="Y2" s="757">
        <f>X2+1</f>
        <v>2030</v>
      </c>
      <c r="Z2" s="756"/>
      <c r="AA2" s="756"/>
      <c r="AB2" s="756"/>
      <c r="AC2" s="756"/>
      <c r="AD2" s="756"/>
    </row>
    <row r="3" spans="1:30">
      <c r="A3" s="756"/>
      <c r="B3" s="758" t="s">
        <v>934</v>
      </c>
      <c r="C3" s="759"/>
      <c r="D3" s="759"/>
      <c r="E3" s="759"/>
      <c r="F3" s="759"/>
      <c r="G3" s="759"/>
      <c r="H3" s="759"/>
      <c r="I3" s="759"/>
      <c r="J3" s="759"/>
      <c r="K3" s="759"/>
      <c r="L3" s="759"/>
      <c r="M3" s="759"/>
      <c r="N3" s="759"/>
      <c r="O3" s="759"/>
      <c r="P3" s="759"/>
      <c r="Q3" s="759"/>
      <c r="R3" s="759"/>
      <c r="S3" s="759"/>
      <c r="T3" s="759"/>
      <c r="U3" s="759"/>
      <c r="V3" s="760"/>
      <c r="W3" s="760"/>
      <c r="X3" s="760"/>
      <c r="Y3" s="760"/>
      <c r="Z3" s="756"/>
      <c r="AA3" s="756"/>
      <c r="AB3" s="756"/>
      <c r="AC3" s="756"/>
      <c r="AD3" s="756"/>
    </row>
    <row r="4" spans="1:30">
      <c r="A4" s="756"/>
      <c r="B4" s="756" t="s">
        <v>935</v>
      </c>
      <c r="C4" s="761">
        <f>D4-C5+C6+C7</f>
        <v>127693.25483978717</v>
      </c>
      <c r="D4" s="761">
        <f>E4-D5+D6+D7</f>
        <v>139586.59650788078</v>
      </c>
      <c r="E4" s="761">
        <f>F4-E5+E6+E7</f>
        <v>152258.9227731172</v>
      </c>
      <c r="F4" s="761">
        <f>G4-F5+F6+F7</f>
        <v>165724.95145631069</v>
      </c>
      <c r="G4" s="762">
        <v>180000</v>
      </c>
      <c r="H4" s="761">
        <f>G4+G5-G6-G7</f>
        <v>195100</v>
      </c>
      <c r="I4" s="761">
        <f t="shared" ref="I4:U4" si="1">H4+H5-H6-H7</f>
        <v>210332.79999999999</v>
      </c>
      <c r="J4" s="761">
        <f>I4+I5-I6-I7</f>
        <v>225719.94312000001</v>
      </c>
      <c r="K4" s="761">
        <f t="shared" si="1"/>
        <v>241282.75537932801</v>
      </c>
      <c r="L4" s="761">
        <f t="shared" si="1"/>
        <v>257042.3824902137</v>
      </c>
      <c r="M4" s="761">
        <f t="shared" si="1"/>
        <v>273019.82559112628</v>
      </c>
      <c r="N4" s="761">
        <f t="shared" si="1"/>
        <v>289235.97599628387</v>
      </c>
      <c r="O4" s="761">
        <f t="shared" si="1"/>
        <v>305711.64903462265</v>
      </c>
      <c r="P4" s="761">
        <f t="shared" si="1"/>
        <v>322467.61704857397</v>
      </c>
      <c r="Q4" s="761">
        <f t="shared" si="1"/>
        <v>339524.64162022353</v>
      </c>
      <c r="R4" s="761">
        <f t="shared" si="1"/>
        <v>356903.50508981588</v>
      </c>
      <c r="S4" s="761">
        <f t="shared" si="1"/>
        <v>374625.04142910935</v>
      </c>
      <c r="T4" s="761">
        <f t="shared" si="1"/>
        <v>392710.16652977496</v>
      </c>
      <c r="U4" s="761">
        <f t="shared" si="1"/>
        <v>411179.9079648612</v>
      </c>
      <c r="V4" s="761">
        <f>U4+U5-U6-U7</f>
        <v>430055.43427930883</v>
      </c>
      <c r="W4" s="761">
        <f>V4+V5-V6-V7</f>
        <v>449358.08386359108</v>
      </c>
      <c r="X4" s="761">
        <f>W4+W5-W6-W7</f>
        <v>469109.39346276416</v>
      </c>
      <c r="Y4" s="761">
        <f>X4+X5-X6-X7</f>
        <v>489331.12637154519</v>
      </c>
      <c r="Z4" s="756"/>
      <c r="AA4" s="756" t="s">
        <v>957</v>
      </c>
      <c r="AB4" s="756"/>
      <c r="AC4" s="756"/>
      <c r="AD4" s="756"/>
    </row>
    <row r="5" spans="1:30">
      <c r="A5" s="756"/>
      <c r="B5" s="756" t="s">
        <v>535</v>
      </c>
      <c r="C5" s="761">
        <f>D5/1.03</f>
        <v>28520.434238093614</v>
      </c>
      <c r="D5" s="761">
        <f>E5/1.03</f>
        <v>29376.047265236422</v>
      </c>
      <c r="E5" s="761">
        <f>F5/1.03</f>
        <v>30257.328683193515</v>
      </c>
      <c r="F5" s="761">
        <f>G5/1.03</f>
        <v>31165.048543689321</v>
      </c>
      <c r="G5" s="762">
        <v>32100</v>
      </c>
      <c r="H5" s="761">
        <f>G5*1.03</f>
        <v>33063</v>
      </c>
      <c r="I5" s="761">
        <f t="shared" ref="I5:U5" si="2">H5*1.03</f>
        <v>34054.89</v>
      </c>
      <c r="J5" s="761">
        <f t="shared" si="2"/>
        <v>35076.536699999997</v>
      </c>
      <c r="K5" s="761">
        <f t="shared" si="2"/>
        <v>36128.832800999997</v>
      </c>
      <c r="L5" s="761">
        <f t="shared" si="2"/>
        <v>37212.697785029995</v>
      </c>
      <c r="M5" s="761">
        <f t="shared" si="2"/>
        <v>38329.078718580895</v>
      </c>
      <c r="N5" s="761">
        <f t="shared" si="2"/>
        <v>39478.951080138322</v>
      </c>
      <c r="O5" s="761">
        <f t="shared" si="2"/>
        <v>40663.319612542473</v>
      </c>
      <c r="P5" s="761">
        <f t="shared" si="2"/>
        <v>41883.219200918749</v>
      </c>
      <c r="Q5" s="761">
        <f t="shared" si="2"/>
        <v>43139.715776946316</v>
      </c>
      <c r="R5" s="761">
        <f t="shared" si="2"/>
        <v>44433.907250254706</v>
      </c>
      <c r="S5" s="761">
        <f t="shared" si="2"/>
        <v>45766.92446776235</v>
      </c>
      <c r="T5" s="761">
        <f t="shared" si="2"/>
        <v>47139.932201795222</v>
      </c>
      <c r="U5" s="761">
        <f t="shared" si="2"/>
        <v>48554.130167849078</v>
      </c>
      <c r="V5" s="761">
        <f>U5*1.03</f>
        <v>50010.754072884549</v>
      </c>
      <c r="W5" s="761">
        <f>V5*1.03</f>
        <v>51511.076695071089</v>
      </c>
      <c r="X5" s="761">
        <f>W5*1.03</f>
        <v>53056.408995923222</v>
      </c>
      <c r="Y5" s="761">
        <f>X5*1.03</f>
        <v>54648.10126580092</v>
      </c>
      <c r="Z5" s="756"/>
      <c r="AA5" s="756" t="s">
        <v>958</v>
      </c>
      <c r="AB5" s="756"/>
      <c r="AC5" s="756"/>
      <c r="AD5" s="756"/>
    </row>
    <row r="6" spans="1:30">
      <c r="A6" s="756"/>
      <c r="B6" s="756" t="s">
        <v>936</v>
      </c>
      <c r="C6" s="761">
        <f>D6*1.02</f>
        <v>8659.4572800000005</v>
      </c>
      <c r="D6" s="761">
        <f>E6*1.02</f>
        <v>8489.6640000000007</v>
      </c>
      <c r="E6" s="761">
        <f>F6*1.02</f>
        <v>8323.2000000000007</v>
      </c>
      <c r="F6" s="761">
        <f>G6*1.02</f>
        <v>8160</v>
      </c>
      <c r="G6" s="762">
        <v>8000</v>
      </c>
      <c r="H6" s="761">
        <f t="shared" ref="H6:Y6" si="3">H5*H49</f>
        <v>8075.2</v>
      </c>
      <c r="I6" s="761">
        <f t="shared" si="3"/>
        <v>8151.1068799999994</v>
      </c>
      <c r="J6" s="761">
        <f t="shared" si="3"/>
        <v>8227.7272846719989</v>
      </c>
      <c r="K6" s="761">
        <f t="shared" si="3"/>
        <v>8305.0679211479164</v>
      </c>
      <c r="L6" s="761">
        <f t="shared" si="3"/>
        <v>8383.135559606706</v>
      </c>
      <c r="M6" s="761">
        <f t="shared" si="3"/>
        <v>8461.9370338670087</v>
      </c>
      <c r="N6" s="761">
        <f t="shared" si="3"/>
        <v>8541.4792419853584</v>
      </c>
      <c r="O6" s="761">
        <f t="shared" si="3"/>
        <v>8621.7691468600206</v>
      </c>
      <c r="P6" s="761">
        <f t="shared" si="3"/>
        <v>8702.8137768405049</v>
      </c>
      <c r="Q6" s="761">
        <f t="shared" si="3"/>
        <v>8784.6202263428058</v>
      </c>
      <c r="R6" s="761">
        <f t="shared" si="3"/>
        <v>8867.1956564704269</v>
      </c>
      <c r="S6" s="761">
        <f t="shared" si="3"/>
        <v>8950.5472956412486</v>
      </c>
      <c r="T6" s="761">
        <f t="shared" si="3"/>
        <v>9034.6824402202783</v>
      </c>
      <c r="U6" s="761">
        <f t="shared" si="3"/>
        <v>9119.6084551583481</v>
      </c>
      <c r="V6" s="761">
        <f t="shared" si="3"/>
        <v>9205.3327746368359</v>
      </c>
      <c r="W6" s="761">
        <f t="shared" si="3"/>
        <v>9291.8629027184215</v>
      </c>
      <c r="X6" s="761">
        <f t="shared" si="3"/>
        <v>9379.2064140039747</v>
      </c>
      <c r="Y6" s="761">
        <f t="shared" si="3"/>
        <v>9467.3709542956112</v>
      </c>
      <c r="Z6" s="756"/>
      <c r="AA6" s="756" t="s">
        <v>959</v>
      </c>
      <c r="AB6" s="756"/>
      <c r="AC6" s="756"/>
      <c r="AD6" s="756"/>
    </row>
    <row r="7" spans="1:30">
      <c r="A7" s="756"/>
      <c r="B7" s="756" t="s">
        <v>937</v>
      </c>
      <c r="C7" s="763">
        <f>D7*0.97</f>
        <v>7967.6352900000002</v>
      </c>
      <c r="D7" s="763">
        <f>E7*0.97</f>
        <v>8214.0570000000007</v>
      </c>
      <c r="E7" s="763">
        <f>F7*0.97</f>
        <v>8468.1</v>
      </c>
      <c r="F7" s="763">
        <f>G7*0.97</f>
        <v>8730</v>
      </c>
      <c r="G7" s="763">
        <f>G4*0.05</f>
        <v>9000</v>
      </c>
      <c r="H7" s="763">
        <f t="shared" ref="H7:U7" si="4">H4*0.05</f>
        <v>9755</v>
      </c>
      <c r="I7" s="763">
        <f t="shared" si="4"/>
        <v>10516.64</v>
      </c>
      <c r="J7" s="763">
        <f t="shared" si="4"/>
        <v>11285.997156000001</v>
      </c>
      <c r="K7" s="763">
        <f t="shared" si="4"/>
        <v>12064.1377689664</v>
      </c>
      <c r="L7" s="763">
        <f t="shared" si="4"/>
        <v>12852.119124510686</v>
      </c>
      <c r="M7" s="763">
        <f t="shared" si="4"/>
        <v>13650.991279556314</v>
      </c>
      <c r="N7" s="763">
        <f t="shared" si="4"/>
        <v>14461.798799814194</v>
      </c>
      <c r="O7" s="763">
        <f t="shared" si="4"/>
        <v>15285.582451731134</v>
      </c>
      <c r="P7" s="763">
        <f t="shared" si="4"/>
        <v>16123.3808524287</v>
      </c>
      <c r="Q7" s="763">
        <f t="shared" si="4"/>
        <v>16976.232081011178</v>
      </c>
      <c r="R7" s="763">
        <f t="shared" si="4"/>
        <v>17845.175254490794</v>
      </c>
      <c r="S7" s="763">
        <f t="shared" si="4"/>
        <v>18731.252071455467</v>
      </c>
      <c r="T7" s="763">
        <f t="shared" si="4"/>
        <v>19635.508326488747</v>
      </c>
      <c r="U7" s="763">
        <f t="shared" si="4"/>
        <v>20558.99539824306</v>
      </c>
      <c r="V7" s="763">
        <f>V4*0.05</f>
        <v>21502.771713965441</v>
      </c>
      <c r="W7" s="763">
        <f>W4*0.05</f>
        <v>22467.904193179555</v>
      </c>
      <c r="X7" s="763">
        <f>X4*0.05</f>
        <v>23455.46967313821</v>
      </c>
      <c r="Y7" s="763">
        <f>Y4*0.05</f>
        <v>24466.556318577263</v>
      </c>
      <c r="Z7" s="756"/>
      <c r="AA7" s="756"/>
      <c r="AB7" s="756"/>
      <c r="AC7" s="756"/>
      <c r="AD7" s="756"/>
    </row>
    <row r="8" spans="1:30">
      <c r="B8" s="756"/>
      <c r="C8" s="756"/>
      <c r="D8" s="756"/>
      <c r="E8" s="756"/>
      <c r="F8" s="756"/>
      <c r="G8" s="756"/>
      <c r="H8" s="756"/>
      <c r="I8" s="756"/>
      <c r="J8" s="756"/>
      <c r="K8" s="756"/>
      <c r="L8" s="756"/>
      <c r="M8" s="756"/>
      <c r="N8" s="756"/>
      <c r="O8" s="756"/>
      <c r="P8" s="756"/>
      <c r="Q8" s="756"/>
      <c r="R8" s="756"/>
      <c r="S8" s="756"/>
      <c r="T8" s="756"/>
      <c r="U8" s="756"/>
      <c r="V8" s="756"/>
      <c r="W8" s="756"/>
      <c r="X8" s="756"/>
      <c r="Y8" s="756"/>
      <c r="Z8" s="756"/>
      <c r="AA8" s="756"/>
      <c r="AB8" s="756"/>
      <c r="AC8" s="756"/>
      <c r="AD8" s="756"/>
    </row>
    <row r="9" spans="1:30">
      <c r="B9" s="756" t="s">
        <v>938</v>
      </c>
      <c r="C9" s="761">
        <f>C10*C5</f>
        <v>18569.379301437897</v>
      </c>
      <c r="D9" s="761">
        <f>D10*D5</f>
        <v>19126.460680481036</v>
      </c>
      <c r="E9" s="761">
        <f>E10*E5</f>
        <v>19700.254500895466</v>
      </c>
      <c r="F9" s="761">
        <f>F10*F5</f>
        <v>20291.26213592233</v>
      </c>
      <c r="G9" s="762">
        <v>20900</v>
      </c>
      <c r="H9" s="761">
        <f t="shared" ref="H9:U9" si="5">H10*H5</f>
        <v>21527</v>
      </c>
      <c r="I9" s="761">
        <f t="shared" si="5"/>
        <v>22172.809999999998</v>
      </c>
      <c r="J9" s="761">
        <f t="shared" si="5"/>
        <v>22837.994299999995</v>
      </c>
      <c r="K9" s="761">
        <f t="shared" si="5"/>
        <v>23523.134128999998</v>
      </c>
      <c r="L9" s="761">
        <f t="shared" si="5"/>
        <v>24228.828152869995</v>
      </c>
      <c r="M9" s="761">
        <f t="shared" si="5"/>
        <v>24955.692997456095</v>
      </c>
      <c r="N9" s="761">
        <f t="shared" si="5"/>
        <v>25704.363787379778</v>
      </c>
      <c r="O9" s="761">
        <f t="shared" si="5"/>
        <v>26475.494701001171</v>
      </c>
      <c r="P9" s="761">
        <f t="shared" si="5"/>
        <v>27269.75954203121</v>
      </c>
      <c r="Q9" s="761">
        <f t="shared" si="5"/>
        <v>28087.852328292149</v>
      </c>
      <c r="R9" s="761">
        <f t="shared" si="5"/>
        <v>28930.487898140913</v>
      </c>
      <c r="S9" s="761">
        <f t="shared" si="5"/>
        <v>29798.402535085141</v>
      </c>
      <c r="T9" s="761">
        <f t="shared" si="5"/>
        <v>30692.354611137696</v>
      </c>
      <c r="U9" s="761">
        <f t="shared" si="5"/>
        <v>31613.125249471828</v>
      </c>
      <c r="V9" s="761">
        <f>V10*V5</f>
        <v>32561.519006955983</v>
      </c>
      <c r="W9" s="761">
        <f>W10*W5</f>
        <v>33538.364577164662</v>
      </c>
      <c r="X9" s="761">
        <f>X10*X5</f>
        <v>34544.515514479601</v>
      </c>
      <c r="Y9" s="761">
        <f>Y10*Y5</f>
        <v>35580.850979913994</v>
      </c>
      <c r="Z9" s="756"/>
      <c r="AA9" s="756" t="s">
        <v>960</v>
      </c>
      <c r="AB9" s="756"/>
      <c r="AC9" s="756"/>
      <c r="AD9" s="756"/>
    </row>
    <row r="10" spans="1:30">
      <c r="B10" s="764" t="s">
        <v>939</v>
      </c>
      <c r="C10" s="765">
        <f>D10</f>
        <v>0.65109034267912769</v>
      </c>
      <c r="D10" s="765">
        <f>E10</f>
        <v>0.65109034267912769</v>
      </c>
      <c r="E10" s="765">
        <f>F10</f>
        <v>0.65109034267912769</v>
      </c>
      <c r="F10" s="765">
        <f>G10</f>
        <v>0.65109034267912769</v>
      </c>
      <c r="G10" s="766">
        <f>G9/G5</f>
        <v>0.65109034267912769</v>
      </c>
      <c r="H10" s="765">
        <f>G10</f>
        <v>0.65109034267912769</v>
      </c>
      <c r="I10" s="765">
        <f t="shared" ref="I10:U10" si="6">H10</f>
        <v>0.65109034267912769</v>
      </c>
      <c r="J10" s="765">
        <f t="shared" si="6"/>
        <v>0.65109034267912769</v>
      </c>
      <c r="K10" s="765">
        <f t="shared" si="6"/>
        <v>0.65109034267912769</v>
      </c>
      <c r="L10" s="765">
        <f t="shared" si="6"/>
        <v>0.65109034267912769</v>
      </c>
      <c r="M10" s="765">
        <f t="shared" si="6"/>
        <v>0.65109034267912769</v>
      </c>
      <c r="N10" s="765">
        <f t="shared" si="6"/>
        <v>0.65109034267912769</v>
      </c>
      <c r="O10" s="765">
        <f t="shared" si="6"/>
        <v>0.65109034267912769</v>
      </c>
      <c r="P10" s="765">
        <f t="shared" si="6"/>
        <v>0.65109034267912769</v>
      </c>
      <c r="Q10" s="765">
        <f t="shared" si="6"/>
        <v>0.65109034267912769</v>
      </c>
      <c r="R10" s="765">
        <f t="shared" si="6"/>
        <v>0.65109034267912769</v>
      </c>
      <c r="S10" s="765">
        <f t="shared" si="6"/>
        <v>0.65109034267912769</v>
      </c>
      <c r="T10" s="765">
        <f t="shared" si="6"/>
        <v>0.65109034267912769</v>
      </c>
      <c r="U10" s="765">
        <f t="shared" si="6"/>
        <v>0.65109034267912769</v>
      </c>
      <c r="V10" s="765">
        <f>U10</f>
        <v>0.65109034267912769</v>
      </c>
      <c r="W10" s="765">
        <f>V10</f>
        <v>0.65109034267912769</v>
      </c>
      <c r="X10" s="765">
        <f>W10</f>
        <v>0.65109034267912769</v>
      </c>
      <c r="Y10" s="765">
        <f>X10</f>
        <v>0.65109034267912769</v>
      </c>
      <c r="Z10" s="756"/>
      <c r="AA10" s="756"/>
      <c r="AB10" s="756"/>
      <c r="AC10" s="756"/>
      <c r="AD10" s="756"/>
    </row>
    <row r="11" spans="1:30">
      <c r="B11" s="764"/>
      <c r="C11" s="765"/>
      <c r="D11" s="765"/>
      <c r="E11" s="765"/>
      <c r="F11" s="765"/>
      <c r="G11" s="766"/>
      <c r="H11" s="765"/>
      <c r="I11" s="765"/>
      <c r="J11" s="765"/>
      <c r="K11" s="765"/>
      <c r="L11" s="765"/>
      <c r="M11" s="765"/>
      <c r="N11" s="765"/>
      <c r="O11" s="765"/>
      <c r="P11" s="765"/>
      <c r="Q11" s="765"/>
      <c r="R11" s="765"/>
      <c r="S11" s="765"/>
      <c r="T11" s="765"/>
      <c r="U11" s="765"/>
      <c r="V11" s="765"/>
      <c r="W11" s="765"/>
      <c r="X11" s="765"/>
      <c r="Y11" s="765"/>
      <c r="Z11" s="756"/>
      <c r="AA11" s="756"/>
      <c r="AB11" s="756"/>
      <c r="AC11" s="756"/>
      <c r="AD11" s="756"/>
    </row>
    <row r="12" spans="1:30">
      <c r="B12" s="756" t="s">
        <v>940</v>
      </c>
      <c r="C12" s="761"/>
      <c r="D12" s="767">
        <f>E12*0.95</f>
        <v>4887.0374999999995</v>
      </c>
      <c r="E12" s="767">
        <f>F12*0.95</f>
        <v>5144.25</v>
      </c>
      <c r="F12" s="767">
        <f>G12*0.95</f>
        <v>5415</v>
      </c>
      <c r="G12" s="762">
        <v>5700</v>
      </c>
      <c r="H12" s="761">
        <f>H13*H19</f>
        <v>6699.2292459968121</v>
      </c>
      <c r="I12" s="761">
        <f t="shared" ref="I12:U12" si="7">I13*I19</f>
        <v>7701.0952658097967</v>
      </c>
      <c r="J12" s="761">
        <f t="shared" si="7"/>
        <v>8707.1764386037521</v>
      </c>
      <c r="K12" s="761">
        <f t="shared" si="7"/>
        <v>9719.0247744661483</v>
      </c>
      <c r="L12" s="761">
        <f t="shared" si="7"/>
        <v>10738.168821044892</v>
      </c>
      <c r="M12" s="761">
        <f t="shared" si="7"/>
        <v>11766.116472609539</v>
      </c>
      <c r="N12" s="761">
        <f t="shared" si="7"/>
        <v>12804.357687848544</v>
      </c>
      <c r="O12" s="761">
        <f t="shared" si="7"/>
        <v>13854.367122442425</v>
      </c>
      <c r="P12" s="761">
        <f t="shared" si="7"/>
        <v>14917.606682195077</v>
      </c>
      <c r="Q12" s="761">
        <f t="shared" si="7"/>
        <v>15995.528002262012</v>
      </c>
      <c r="R12" s="761">
        <f t="shared" si="7"/>
        <v>17089.574857784344</v>
      </c>
      <c r="S12" s="761">
        <f t="shared" si="7"/>
        <v>18201.185511020285</v>
      </c>
      <c r="T12" s="761">
        <f t="shared" si="7"/>
        <v>19331.794999861369</v>
      </c>
      <c r="U12" s="761">
        <f t="shared" si="7"/>
        <v>20482.837372427355</v>
      </c>
      <c r="V12" s="761">
        <f>V13*V19</f>
        <v>21655.74787225221</v>
      </c>
      <c r="W12" s="761">
        <f>W13*W19</f>
        <v>22851.965078402383</v>
      </c>
      <c r="X12" s="761">
        <f>X13*X19</f>
        <v>24072.933004707571</v>
      </c>
      <c r="Y12" s="761">
        <f>Y13*Y19</f>
        <v>25320.103162133131</v>
      </c>
      <c r="Z12" s="756"/>
      <c r="AA12" s="756" t="s">
        <v>960</v>
      </c>
      <c r="AB12" s="756"/>
      <c r="AC12" s="756"/>
      <c r="AD12" s="756"/>
    </row>
    <row r="13" spans="1:30">
      <c r="B13" s="764" t="s">
        <v>941</v>
      </c>
      <c r="C13" s="765"/>
      <c r="D13" s="765"/>
      <c r="E13" s="765"/>
      <c r="F13" s="765"/>
      <c r="G13" s="766">
        <f>G12/G19</f>
        <v>8.5384458350186876E-2</v>
      </c>
      <c r="H13" s="765">
        <f>G13</f>
        <v>8.5384458350186876E-2</v>
      </c>
      <c r="I13" s="765">
        <f t="shared" ref="I13:U13" si="8">H13</f>
        <v>8.5384458350186876E-2</v>
      </c>
      <c r="J13" s="765">
        <f t="shared" si="8"/>
        <v>8.5384458350186876E-2</v>
      </c>
      <c r="K13" s="765">
        <f t="shared" si="8"/>
        <v>8.5384458350186876E-2</v>
      </c>
      <c r="L13" s="765">
        <f t="shared" si="8"/>
        <v>8.5384458350186876E-2</v>
      </c>
      <c r="M13" s="765">
        <f t="shared" si="8"/>
        <v>8.5384458350186876E-2</v>
      </c>
      <c r="N13" s="765">
        <f t="shared" si="8"/>
        <v>8.5384458350186876E-2</v>
      </c>
      <c r="O13" s="765">
        <f t="shared" si="8"/>
        <v>8.5384458350186876E-2</v>
      </c>
      <c r="P13" s="765">
        <f t="shared" si="8"/>
        <v>8.5384458350186876E-2</v>
      </c>
      <c r="Q13" s="765">
        <f t="shared" si="8"/>
        <v>8.5384458350186876E-2</v>
      </c>
      <c r="R13" s="765">
        <f t="shared" si="8"/>
        <v>8.5384458350186876E-2</v>
      </c>
      <c r="S13" s="765">
        <f t="shared" si="8"/>
        <v>8.5384458350186876E-2</v>
      </c>
      <c r="T13" s="765">
        <f t="shared" si="8"/>
        <v>8.5384458350186876E-2</v>
      </c>
      <c r="U13" s="765">
        <f t="shared" si="8"/>
        <v>8.5384458350186876E-2</v>
      </c>
      <c r="V13" s="765">
        <f>U13</f>
        <v>8.5384458350186876E-2</v>
      </c>
      <c r="W13" s="765">
        <f>V13</f>
        <v>8.5384458350186876E-2</v>
      </c>
      <c r="X13" s="765">
        <f>W13</f>
        <v>8.5384458350186876E-2</v>
      </c>
      <c r="Y13" s="765">
        <f>X13</f>
        <v>8.5384458350186876E-2</v>
      </c>
    </row>
    <row r="14" spans="1:30">
      <c r="B14" s="764"/>
      <c r="C14" s="765"/>
      <c r="D14" s="765"/>
      <c r="E14" s="765"/>
      <c r="F14" s="765"/>
      <c r="G14" s="766"/>
      <c r="H14" s="765"/>
      <c r="I14" s="765"/>
      <c r="J14" s="765"/>
      <c r="K14" s="765"/>
      <c r="L14" s="765"/>
      <c r="M14" s="765"/>
      <c r="N14" s="765"/>
      <c r="O14" s="765"/>
      <c r="P14" s="765"/>
      <c r="Q14" s="765"/>
      <c r="R14" s="765"/>
      <c r="S14" s="765"/>
      <c r="T14" s="765"/>
      <c r="U14" s="765"/>
      <c r="V14" s="765"/>
      <c r="W14" s="765"/>
      <c r="X14" s="765"/>
      <c r="Y14" s="765"/>
    </row>
    <row r="15" spans="1:30">
      <c r="B15" s="756" t="s">
        <v>942</v>
      </c>
      <c r="C15" s="756"/>
      <c r="D15" s="756"/>
      <c r="E15" s="756"/>
      <c r="F15" s="756"/>
      <c r="G15" s="756"/>
      <c r="H15" s="756"/>
      <c r="I15" s="756"/>
      <c r="J15" s="756"/>
      <c r="K15" s="756"/>
      <c r="L15" s="756"/>
      <c r="M15" s="756"/>
      <c r="N15" s="756"/>
      <c r="O15" s="756"/>
      <c r="P15" s="756"/>
      <c r="Q15" s="756"/>
      <c r="R15" s="756"/>
      <c r="S15" s="756"/>
      <c r="T15" s="756"/>
      <c r="U15" s="756"/>
      <c r="V15" s="756"/>
      <c r="W15" s="756"/>
      <c r="X15" s="756"/>
      <c r="Y15" s="756"/>
    </row>
    <row r="16" spans="1:30">
      <c r="B16" s="768" t="s">
        <v>496</v>
      </c>
      <c r="C16" s="756"/>
      <c r="D16" s="756"/>
      <c r="E16" s="756"/>
      <c r="F16" s="756"/>
      <c r="G16" s="756"/>
      <c r="H16" s="756"/>
      <c r="I16" s="756"/>
      <c r="J16" s="756"/>
      <c r="K16" s="756"/>
      <c r="L16" s="756"/>
      <c r="M16" s="756"/>
      <c r="N16" s="756"/>
      <c r="O16" s="756"/>
      <c r="P16" s="756"/>
      <c r="Q16" s="756"/>
      <c r="R16" s="756"/>
      <c r="S16" s="756"/>
      <c r="T16" s="756"/>
      <c r="U16" s="756"/>
      <c r="V16" s="756"/>
      <c r="W16" s="756"/>
      <c r="X16" s="756"/>
      <c r="Y16" s="756"/>
    </row>
    <row r="17" spans="2:25">
      <c r="B17" s="764" t="s">
        <v>943</v>
      </c>
      <c r="C17" s="761">
        <f t="shared" ref="C17:Y17" si="9">C5-C9</f>
        <v>9951.054936655717</v>
      </c>
      <c r="D17" s="761">
        <f t="shared" si="9"/>
        <v>10249.586584755387</v>
      </c>
      <c r="E17" s="761">
        <f t="shared" si="9"/>
        <v>10557.074182298049</v>
      </c>
      <c r="F17" s="761">
        <f t="shared" si="9"/>
        <v>10873.786407766991</v>
      </c>
      <c r="G17" s="761">
        <f t="shared" si="9"/>
        <v>11200</v>
      </c>
      <c r="H17" s="761">
        <f t="shared" si="9"/>
        <v>11536</v>
      </c>
      <c r="I17" s="761">
        <f t="shared" si="9"/>
        <v>11882.080000000002</v>
      </c>
      <c r="J17" s="761">
        <f t="shared" si="9"/>
        <v>12238.542400000002</v>
      </c>
      <c r="K17" s="761">
        <f t="shared" si="9"/>
        <v>12605.698671999999</v>
      </c>
      <c r="L17" s="761">
        <f t="shared" si="9"/>
        <v>12983.86963216</v>
      </c>
      <c r="M17" s="761">
        <f t="shared" si="9"/>
        <v>13373.3857211248</v>
      </c>
      <c r="N17" s="761">
        <f t="shared" si="9"/>
        <v>13774.587292758544</v>
      </c>
      <c r="O17" s="761">
        <f t="shared" si="9"/>
        <v>14187.824911541302</v>
      </c>
      <c r="P17" s="761">
        <f t="shared" si="9"/>
        <v>14613.459658887539</v>
      </c>
      <c r="Q17" s="761">
        <f t="shared" si="9"/>
        <v>15051.863448654167</v>
      </c>
      <c r="R17" s="761">
        <f t="shared" si="9"/>
        <v>15503.419352113793</v>
      </c>
      <c r="S17" s="761">
        <f t="shared" si="9"/>
        <v>15968.521932677209</v>
      </c>
      <c r="T17" s="761">
        <f t="shared" si="9"/>
        <v>16447.577590657525</v>
      </c>
      <c r="U17" s="761">
        <f t="shared" si="9"/>
        <v>16941.00491837725</v>
      </c>
      <c r="V17" s="761">
        <f t="shared" si="9"/>
        <v>17449.235065928566</v>
      </c>
      <c r="W17" s="761">
        <f t="shared" si="9"/>
        <v>17972.712117906427</v>
      </c>
      <c r="X17" s="761">
        <f t="shared" si="9"/>
        <v>18511.893481443622</v>
      </c>
      <c r="Y17" s="761">
        <f t="shared" si="9"/>
        <v>19067.250285886927</v>
      </c>
    </row>
    <row r="18" spans="2:25">
      <c r="B18" s="764" t="s">
        <v>944</v>
      </c>
      <c r="C18" s="761"/>
      <c r="D18" s="761"/>
      <c r="E18" s="761"/>
      <c r="F18" s="761"/>
      <c r="G18" s="761">
        <f>G17+F17+E17+D17+C17</f>
        <v>52831.50211147614</v>
      </c>
      <c r="H18" s="761">
        <f t="shared" ref="H18:U18" si="10">H17+G17+F17+E17+D17</f>
        <v>54416.447174820431</v>
      </c>
      <c r="I18" s="761">
        <f t="shared" si="10"/>
        <v>56048.940590065045</v>
      </c>
      <c r="J18" s="761">
        <f t="shared" si="10"/>
        <v>57730.408807767002</v>
      </c>
      <c r="K18" s="761">
        <f t="shared" si="10"/>
        <v>59462.321072000006</v>
      </c>
      <c r="L18" s="761">
        <f t="shared" si="10"/>
        <v>61246.190704160006</v>
      </c>
      <c r="M18" s="761">
        <f t="shared" si="10"/>
        <v>63083.576425284802</v>
      </c>
      <c r="N18" s="761">
        <f t="shared" si="10"/>
        <v>64976.083718043345</v>
      </c>
      <c r="O18" s="761">
        <f t="shared" si="10"/>
        <v>66925.366229584644</v>
      </c>
      <c r="P18" s="761">
        <f t="shared" si="10"/>
        <v>68933.127216472189</v>
      </c>
      <c r="Q18" s="761">
        <f t="shared" si="10"/>
        <v>71001.121032966345</v>
      </c>
      <c r="R18" s="761">
        <f t="shared" si="10"/>
        <v>73131.154663955342</v>
      </c>
      <c r="S18" s="761">
        <f t="shared" si="10"/>
        <v>75325.089303874018</v>
      </c>
      <c r="T18" s="761">
        <f t="shared" si="10"/>
        <v>77584.841982990241</v>
      </c>
      <c r="U18" s="761">
        <f t="shared" si="10"/>
        <v>79912.387242479948</v>
      </c>
      <c r="V18" s="761">
        <f>V17+U17+T17+S17+R17</f>
        <v>82309.758859754336</v>
      </c>
      <c r="W18" s="761">
        <f>W17+V17+U17+T17+S17</f>
        <v>84779.05162554697</v>
      </c>
      <c r="X18" s="761">
        <f>X17+W17+V17+U17+T17</f>
        <v>87322.423174313401</v>
      </c>
      <c r="Y18" s="761">
        <f>Y17+X17+W17+V17+U17</f>
        <v>89942.095869542783</v>
      </c>
    </row>
    <row r="19" spans="2:25">
      <c r="B19" s="764" t="s">
        <v>945</v>
      </c>
      <c r="C19" s="761"/>
      <c r="D19" s="761"/>
      <c r="E19" s="761"/>
      <c r="F19" s="761"/>
      <c r="G19" s="761">
        <f t="shared" ref="G19:Y19" si="11">G4-G5-G18*G5/G9</f>
        <v>66756.879532134728</v>
      </c>
      <c r="H19" s="761">
        <f t="shared" si="11"/>
        <v>78459.585918098761</v>
      </c>
      <c r="I19" s="761">
        <f t="shared" si="11"/>
        <v>90193.173495641691</v>
      </c>
      <c r="J19" s="761">
        <f t="shared" si="11"/>
        <v>101976.12782051097</v>
      </c>
      <c r="K19" s="761">
        <f t="shared" si="11"/>
        <v>113826.62562085431</v>
      </c>
      <c r="L19" s="761">
        <f t="shared" si="11"/>
        <v>125762.56883898578</v>
      </c>
      <c r="M19" s="761">
        <f t="shared" si="11"/>
        <v>137801.61753036157</v>
      </c>
      <c r="N19" s="761">
        <f t="shared" si="11"/>
        <v>149961.22169369619</v>
      </c>
      <c r="O19" s="761">
        <f t="shared" si="11"/>
        <v>162258.65210295736</v>
      </c>
      <c r="P19" s="761">
        <f t="shared" si="11"/>
        <v>174711.03020895872</v>
      </c>
      <c r="Q19" s="761">
        <f t="shared" si="11"/>
        <v>187335.35717541978</v>
      </c>
      <c r="R19" s="761">
        <f t="shared" si="11"/>
        <v>200148.54211166804</v>
      </c>
      <c r="S19" s="761">
        <f t="shared" si="11"/>
        <v>213167.42956161703</v>
      </c>
      <c r="T19" s="761">
        <f t="shared" si="11"/>
        <v>226408.82630625786</v>
      </c>
      <c r="U19" s="761">
        <f t="shared" si="11"/>
        <v>239889.52753463859</v>
      </c>
      <c r="V19" s="761">
        <f t="shared" si="11"/>
        <v>253626.34243617958</v>
      </c>
      <c r="W19" s="761">
        <f t="shared" si="11"/>
        <v>267636.11926516797</v>
      </c>
      <c r="X19" s="761">
        <f t="shared" si="11"/>
        <v>281935.76992638828</v>
      </c>
      <c r="Y19" s="761">
        <f t="shared" si="11"/>
        <v>296542.29412907804</v>
      </c>
    </row>
    <row r="20" spans="2:25">
      <c r="B20" s="756"/>
      <c r="C20" s="756"/>
      <c r="D20" s="756"/>
      <c r="E20" s="756"/>
      <c r="F20" s="756"/>
      <c r="G20" s="756"/>
      <c r="H20" s="756"/>
      <c r="I20" s="756"/>
      <c r="J20" s="756"/>
      <c r="K20" s="756"/>
      <c r="L20" s="756"/>
      <c r="M20" s="756"/>
      <c r="N20" s="756"/>
      <c r="O20" s="756"/>
      <c r="P20" s="756"/>
      <c r="Q20" s="756"/>
      <c r="R20" s="756"/>
      <c r="S20" s="756"/>
      <c r="T20" s="756"/>
      <c r="U20" s="756"/>
      <c r="V20" s="756"/>
      <c r="W20" s="756"/>
      <c r="X20" s="756"/>
      <c r="Y20" s="756"/>
    </row>
    <row r="21" spans="2:25">
      <c r="B21" s="756" t="s">
        <v>946</v>
      </c>
      <c r="C21" s="761">
        <f t="shared" ref="C21:Y21" si="12">C6*80%</f>
        <v>6927.5658240000012</v>
      </c>
      <c r="D21" s="761">
        <f t="shared" si="12"/>
        <v>6791.7312000000011</v>
      </c>
      <c r="E21" s="761">
        <f t="shared" si="12"/>
        <v>6658.5600000000013</v>
      </c>
      <c r="F21" s="761">
        <f t="shared" si="12"/>
        <v>6528</v>
      </c>
      <c r="G21" s="761">
        <f t="shared" si="12"/>
        <v>6400</v>
      </c>
      <c r="H21" s="761">
        <f t="shared" si="12"/>
        <v>6460.16</v>
      </c>
      <c r="I21" s="761">
        <f t="shared" si="12"/>
        <v>6520.8855039999999</v>
      </c>
      <c r="J21" s="761">
        <f t="shared" si="12"/>
        <v>6582.1818277375996</v>
      </c>
      <c r="K21" s="761">
        <f t="shared" si="12"/>
        <v>6644.0543369183333</v>
      </c>
      <c r="L21" s="761">
        <f t="shared" si="12"/>
        <v>6706.5084476853654</v>
      </c>
      <c r="M21" s="761">
        <f t="shared" si="12"/>
        <v>6769.5496270936073</v>
      </c>
      <c r="N21" s="761">
        <f t="shared" si="12"/>
        <v>6833.1833935882869</v>
      </c>
      <c r="O21" s="761">
        <f t="shared" si="12"/>
        <v>6897.4153174880166</v>
      </c>
      <c r="P21" s="761">
        <f t="shared" si="12"/>
        <v>6962.2510214724043</v>
      </c>
      <c r="Q21" s="761">
        <f t="shared" si="12"/>
        <v>7027.696181074245</v>
      </c>
      <c r="R21" s="761">
        <f t="shared" si="12"/>
        <v>7093.7565251763417</v>
      </c>
      <c r="S21" s="761">
        <f t="shared" si="12"/>
        <v>7160.4378365129996</v>
      </c>
      <c r="T21" s="761">
        <f t="shared" si="12"/>
        <v>7227.745952176223</v>
      </c>
      <c r="U21" s="761">
        <f t="shared" si="12"/>
        <v>7295.686764126679</v>
      </c>
      <c r="V21" s="761">
        <f t="shared" si="12"/>
        <v>7364.2662197094687</v>
      </c>
      <c r="W21" s="761">
        <f t="shared" si="12"/>
        <v>7433.4903221747372</v>
      </c>
      <c r="X21" s="761">
        <f t="shared" si="12"/>
        <v>7503.3651312031798</v>
      </c>
      <c r="Y21" s="761">
        <f t="shared" si="12"/>
        <v>7573.896763436489</v>
      </c>
    </row>
    <row r="22" spans="2:25">
      <c r="B22" s="764" t="s">
        <v>947</v>
      </c>
      <c r="C22" s="765"/>
      <c r="D22" s="765"/>
      <c r="E22" s="765"/>
      <c r="F22" s="765"/>
      <c r="G22" s="765">
        <f>G21/G12</f>
        <v>1.1228070175438596</v>
      </c>
      <c r="H22" s="765">
        <f t="shared" ref="H22:Y22" si="13">H21/H12</f>
        <v>0.96431391773319741</v>
      </c>
      <c r="I22" s="765">
        <f t="shared" si="13"/>
        <v>0.84674780390660531</v>
      </c>
      <c r="J22" s="765">
        <f t="shared" si="13"/>
        <v>0.75594905813038649</v>
      </c>
      <c r="K22" s="765">
        <f t="shared" si="13"/>
        <v>0.68361327304912456</v>
      </c>
      <c r="L22" s="765">
        <f t="shared" si="13"/>
        <v>0.62454861340434575</v>
      </c>
      <c r="M22" s="765">
        <f t="shared" si="13"/>
        <v>0.57534273461022678</v>
      </c>
      <c r="N22" s="765">
        <f t="shared" si="13"/>
        <v>0.53366077082281471</v>
      </c>
      <c r="O22" s="765">
        <f t="shared" si="13"/>
        <v>0.49785134582690715</v>
      </c>
      <c r="P22" s="765">
        <f t="shared" si="13"/>
        <v>0.46671367396904256</v>
      </c>
      <c r="Q22" s="765">
        <f t="shared" si="13"/>
        <v>0.43935381064510165</v>
      </c>
      <c r="R22" s="765">
        <f t="shared" si="13"/>
        <v>0.41509262718405882</v>
      </c>
      <c r="S22" s="765">
        <f t="shared" si="13"/>
        <v>0.39340502475388561</v>
      </c>
      <c r="T22" s="765">
        <f t="shared" si="13"/>
        <v>0.37387867770313382</v>
      </c>
      <c r="U22" s="765">
        <f t="shared" si="13"/>
        <v>0.35618535808655355</v>
      </c>
      <c r="V22" s="765">
        <f t="shared" si="13"/>
        <v>0.34006058175184972</v>
      </c>
      <c r="W22" s="765">
        <f t="shared" si="13"/>
        <v>0.32528888857791061</v>
      </c>
      <c r="X22" s="765">
        <f t="shared" si="13"/>
        <v>0.31169301762007406</v>
      </c>
      <c r="Y22" s="765">
        <f t="shared" si="13"/>
        <v>0.29912582563105222</v>
      </c>
    </row>
    <row r="23" spans="2:25">
      <c r="B23" s="764"/>
      <c r="C23" s="765"/>
      <c r="D23" s="765"/>
      <c r="E23" s="765"/>
      <c r="F23" s="765"/>
      <c r="G23" s="765"/>
      <c r="H23" s="765"/>
      <c r="I23" s="765"/>
      <c r="J23" s="765"/>
      <c r="K23" s="765"/>
      <c r="L23" s="765"/>
      <c r="M23" s="765"/>
      <c r="N23" s="765"/>
      <c r="O23" s="765"/>
      <c r="P23" s="765"/>
      <c r="Q23" s="765"/>
      <c r="R23" s="765"/>
      <c r="S23" s="765"/>
      <c r="T23" s="765"/>
      <c r="U23" s="765"/>
      <c r="V23" s="765"/>
      <c r="W23" s="765"/>
      <c r="X23" s="765"/>
      <c r="Y23" s="765"/>
    </row>
    <row r="24" spans="2:25">
      <c r="B24" s="769" t="s">
        <v>423</v>
      </c>
      <c r="C24" s="770"/>
      <c r="D24" s="770"/>
      <c r="E24" s="770"/>
      <c r="F24" s="770"/>
      <c r="G24" s="771">
        <f>G21+G12*0.35</f>
        <v>8395</v>
      </c>
      <c r="H24" s="771">
        <f t="shared" ref="H24:Y24" si="14">H21+H12*0.35</f>
        <v>8804.8902360988832</v>
      </c>
      <c r="I24" s="771">
        <f t="shared" si="14"/>
        <v>9216.2688470334288</v>
      </c>
      <c r="J24" s="771">
        <f t="shared" si="14"/>
        <v>9629.6935812489137</v>
      </c>
      <c r="K24" s="771">
        <f t="shared" si="14"/>
        <v>10045.713007981485</v>
      </c>
      <c r="L24" s="771">
        <f t="shared" si="14"/>
        <v>10464.867535051077</v>
      </c>
      <c r="M24" s="771">
        <f t="shared" si="14"/>
        <v>10887.690392506945</v>
      </c>
      <c r="N24" s="771">
        <f t="shared" si="14"/>
        <v>11314.708584335276</v>
      </c>
      <c r="O24" s="771">
        <f t="shared" si="14"/>
        <v>11746.443810342866</v>
      </c>
      <c r="P24" s="771">
        <f t="shared" si="14"/>
        <v>12183.41336024068</v>
      </c>
      <c r="Q24" s="771">
        <f t="shared" si="14"/>
        <v>12626.13098186595</v>
      </c>
      <c r="R24" s="771">
        <f t="shared" si="14"/>
        <v>13075.107725400861</v>
      </c>
      <c r="S24" s="771">
        <f t="shared" si="14"/>
        <v>13530.852765370098</v>
      </c>
      <c r="T24" s="771">
        <f t="shared" si="14"/>
        <v>13993.874202127703</v>
      </c>
      <c r="U24" s="771">
        <f t="shared" si="14"/>
        <v>14464.679844476253</v>
      </c>
      <c r="V24" s="771">
        <f t="shared" si="14"/>
        <v>14943.777974997742</v>
      </c>
      <c r="W24" s="771">
        <f t="shared" si="14"/>
        <v>15431.678099615572</v>
      </c>
      <c r="X24" s="771">
        <f t="shared" si="14"/>
        <v>15928.89168285083</v>
      </c>
      <c r="Y24" s="771">
        <f t="shared" si="14"/>
        <v>16435.932870183082</v>
      </c>
    </row>
    <row r="25" spans="2:25">
      <c r="B25" s="769" t="s">
        <v>424</v>
      </c>
      <c r="C25" s="770"/>
      <c r="D25" s="770"/>
      <c r="E25" s="770"/>
      <c r="F25" s="770"/>
      <c r="G25" s="771">
        <f>G21+G12*0.1</f>
        <v>6970</v>
      </c>
      <c r="H25" s="771">
        <f t="shared" ref="H25" si="15">H21+H12*0.1</f>
        <v>7130.0829245996811</v>
      </c>
      <c r="I25" s="771">
        <f>I21+I12*0.05</f>
        <v>6905.9402672904898</v>
      </c>
      <c r="J25" s="771">
        <f t="shared" ref="J25:Y25" si="16">J21+J12*0.05</f>
        <v>7017.540649667787</v>
      </c>
      <c r="K25" s="771">
        <f t="shared" si="16"/>
        <v>7130.0055756416405</v>
      </c>
      <c r="L25" s="771">
        <f t="shared" si="16"/>
        <v>7243.41688873761</v>
      </c>
      <c r="M25" s="771">
        <f t="shared" si="16"/>
        <v>7357.8554507240842</v>
      </c>
      <c r="N25" s="771">
        <f t="shared" si="16"/>
        <v>7473.4012779807144</v>
      </c>
      <c r="O25" s="771">
        <f t="shared" si="16"/>
        <v>7590.1336736101384</v>
      </c>
      <c r="P25" s="771">
        <f t="shared" si="16"/>
        <v>7708.131355582158</v>
      </c>
      <c r="Q25" s="771">
        <f t="shared" si="16"/>
        <v>7827.4725811873459</v>
      </c>
      <c r="R25" s="771">
        <f t="shared" si="16"/>
        <v>7948.2352680655586</v>
      </c>
      <c r="S25" s="771">
        <f t="shared" si="16"/>
        <v>8070.4971120640139</v>
      </c>
      <c r="T25" s="771">
        <f t="shared" si="16"/>
        <v>8194.3357021692918</v>
      </c>
      <c r="U25" s="771">
        <f t="shared" si="16"/>
        <v>8319.8286327480473</v>
      </c>
      <c r="V25" s="771">
        <f t="shared" si="16"/>
        <v>8447.0536133220794</v>
      </c>
      <c r="W25" s="771">
        <f t="shared" si="16"/>
        <v>8576.0885760948568</v>
      </c>
      <c r="X25" s="771">
        <f t="shared" si="16"/>
        <v>8707.0117814385576</v>
      </c>
      <c r="Y25" s="771">
        <f t="shared" si="16"/>
        <v>8839.9019215431454</v>
      </c>
    </row>
    <row r="26" spans="2:25">
      <c r="B26" s="769" t="s">
        <v>425</v>
      </c>
      <c r="C26" s="770"/>
      <c r="D26" s="770"/>
      <c r="E26" s="770"/>
      <c r="F26" s="770"/>
      <c r="G26" s="771">
        <f>G21</f>
        <v>6400</v>
      </c>
      <c r="H26" s="771">
        <f t="shared" ref="H26" si="17">H21</f>
        <v>6460.16</v>
      </c>
      <c r="I26" s="771">
        <f>I21*0.5</f>
        <v>3260.4427519999999</v>
      </c>
      <c r="J26" s="771">
        <f t="shared" ref="J26:Y26" si="18">J21*0.5</f>
        <v>3291.0909138687998</v>
      </c>
      <c r="K26" s="771">
        <f t="shared" si="18"/>
        <v>3322.0271684591667</v>
      </c>
      <c r="L26" s="771">
        <f t="shared" si="18"/>
        <v>3353.2542238426827</v>
      </c>
      <c r="M26" s="771">
        <f t="shared" si="18"/>
        <v>3384.7748135468037</v>
      </c>
      <c r="N26" s="771">
        <f t="shared" si="18"/>
        <v>3416.5916967941434</v>
      </c>
      <c r="O26" s="771">
        <f t="shared" si="18"/>
        <v>3448.7076587440083</v>
      </c>
      <c r="P26" s="771">
        <f t="shared" si="18"/>
        <v>3481.1255107362022</v>
      </c>
      <c r="Q26" s="771">
        <f t="shared" si="18"/>
        <v>3513.8480905371225</v>
      </c>
      <c r="R26" s="771">
        <f t="shared" si="18"/>
        <v>3546.8782625881709</v>
      </c>
      <c r="S26" s="771">
        <f t="shared" si="18"/>
        <v>3580.2189182564998</v>
      </c>
      <c r="T26" s="771">
        <f t="shared" si="18"/>
        <v>3613.8729760881115</v>
      </c>
      <c r="U26" s="771">
        <f t="shared" si="18"/>
        <v>3647.8433820633395</v>
      </c>
      <c r="V26" s="771">
        <f t="shared" si="18"/>
        <v>3682.1331098547344</v>
      </c>
      <c r="W26" s="771">
        <f t="shared" si="18"/>
        <v>3716.7451610873686</v>
      </c>
      <c r="X26" s="771">
        <f t="shared" si="18"/>
        <v>3751.6825656015899</v>
      </c>
      <c r="Y26" s="771">
        <f t="shared" si="18"/>
        <v>3786.9483817182445</v>
      </c>
    </row>
    <row r="27" spans="2:25">
      <c r="B27" s="772" t="s">
        <v>948</v>
      </c>
      <c r="C27" s="770"/>
      <c r="D27" s="770"/>
      <c r="E27" s="770"/>
      <c r="F27" s="770"/>
      <c r="G27" s="773">
        <f>CHOOSE(DCF!$C$25,'US DLBCL'!G24,'US DLBCL'!G25,'US DLBCL'!G26)</f>
        <v>6970</v>
      </c>
      <c r="H27" s="773">
        <f>CHOOSE(DCF!$C$25,'US DLBCL'!H24,'US DLBCL'!H25,'US DLBCL'!H26)</f>
        <v>7130.0829245996811</v>
      </c>
      <c r="I27" s="773">
        <f>CHOOSE(DCF!$C$25,'US DLBCL'!I24,'US DLBCL'!I25,'US DLBCL'!I26)</f>
        <v>6905.9402672904898</v>
      </c>
      <c r="J27" s="773">
        <f>CHOOSE(DCF!$C$25,'US DLBCL'!J24,'US DLBCL'!J25,'US DLBCL'!J26)</f>
        <v>7017.540649667787</v>
      </c>
      <c r="K27" s="773">
        <f>CHOOSE(DCF!$C$25,'US DLBCL'!K24,'US DLBCL'!K25,'US DLBCL'!K26)</f>
        <v>7130.0055756416405</v>
      </c>
      <c r="L27" s="773">
        <f>CHOOSE(DCF!$C$25,'US DLBCL'!L24,'US DLBCL'!L25,'US DLBCL'!L26)</f>
        <v>7243.41688873761</v>
      </c>
      <c r="M27" s="773">
        <f>CHOOSE(DCF!$C$25,'US DLBCL'!M24,'US DLBCL'!M25,'US DLBCL'!M26)</f>
        <v>7357.8554507240842</v>
      </c>
      <c r="N27" s="773">
        <f>CHOOSE(DCF!$C$25,'US DLBCL'!N24,'US DLBCL'!N25,'US DLBCL'!N26)</f>
        <v>7473.4012779807144</v>
      </c>
      <c r="O27" s="773">
        <f>CHOOSE(DCF!$C$25,'US DLBCL'!O24,'US DLBCL'!O25,'US DLBCL'!O26)</f>
        <v>7590.1336736101384</v>
      </c>
      <c r="P27" s="773">
        <f>CHOOSE(DCF!$C$25,'US DLBCL'!P24,'US DLBCL'!P25,'US DLBCL'!P26)</f>
        <v>7708.131355582158</v>
      </c>
      <c r="Q27" s="773">
        <f>CHOOSE(DCF!$C$25,'US DLBCL'!Q24,'US DLBCL'!Q25,'US DLBCL'!Q26)</f>
        <v>7827.4725811873459</v>
      </c>
      <c r="R27" s="773">
        <f>CHOOSE(DCF!$C$25,'US DLBCL'!R24,'US DLBCL'!R25,'US DLBCL'!R26)</f>
        <v>7948.2352680655586</v>
      </c>
      <c r="S27" s="773">
        <f>CHOOSE(DCF!$C$25,'US DLBCL'!S24,'US DLBCL'!S25,'US DLBCL'!S26)</f>
        <v>8070.4971120640139</v>
      </c>
      <c r="T27" s="773">
        <f>CHOOSE(DCF!$C$25,'US DLBCL'!T24,'US DLBCL'!T25,'US DLBCL'!T26)</f>
        <v>8194.3357021692918</v>
      </c>
      <c r="U27" s="773">
        <f>CHOOSE(DCF!$C$25,'US DLBCL'!U24,'US DLBCL'!U25,'US DLBCL'!U26)</f>
        <v>8319.8286327480473</v>
      </c>
      <c r="V27" s="773">
        <f>CHOOSE(DCF!$C$25,'US DLBCL'!V24,'US DLBCL'!V25,'US DLBCL'!V26)</f>
        <v>8447.0536133220794</v>
      </c>
      <c r="W27" s="773">
        <f>CHOOSE(DCF!$C$25,'US DLBCL'!W24,'US DLBCL'!W25,'US DLBCL'!W26)</f>
        <v>8576.0885760948568</v>
      </c>
      <c r="X27" s="773">
        <f>CHOOSE(DCF!$C$25,'US DLBCL'!X24,'US DLBCL'!X25,'US DLBCL'!X26)</f>
        <v>8707.0117814385576</v>
      </c>
      <c r="Y27" s="773">
        <f>CHOOSE(DCF!$C$25,'US DLBCL'!Y24,'US DLBCL'!Y25,'US DLBCL'!Y26)</f>
        <v>8839.9019215431454</v>
      </c>
    </row>
    <row r="28" spans="2:25">
      <c r="B28" s="756"/>
      <c r="C28" s="756"/>
      <c r="D28" s="756"/>
      <c r="E28" s="756"/>
      <c r="F28" s="756"/>
      <c r="G28" s="756"/>
      <c r="H28" s="756"/>
      <c r="I28" s="756"/>
      <c r="J28" s="756"/>
      <c r="K28" s="756"/>
      <c r="L28" s="756"/>
      <c r="M28" s="756"/>
      <c r="N28" s="756"/>
      <c r="O28" s="756"/>
      <c r="P28" s="756"/>
      <c r="Q28" s="756"/>
      <c r="R28" s="756"/>
      <c r="S28" s="756"/>
      <c r="T28" s="756"/>
      <c r="U28" s="756"/>
      <c r="V28" s="756"/>
      <c r="W28" s="756"/>
      <c r="X28" s="756"/>
      <c r="Y28" s="756"/>
    </row>
    <row r="29" spans="2:25">
      <c r="B29" s="758" t="s">
        <v>949</v>
      </c>
      <c r="C29" s="759"/>
      <c r="D29" s="759"/>
      <c r="E29" s="759"/>
      <c r="F29" s="759"/>
      <c r="G29" s="759"/>
      <c r="H29" s="759"/>
      <c r="I29" s="759"/>
      <c r="J29" s="759"/>
      <c r="K29" s="759"/>
      <c r="L29" s="759"/>
      <c r="M29" s="759"/>
      <c r="N29" s="759"/>
      <c r="O29" s="759"/>
      <c r="P29" s="759"/>
      <c r="Q29" s="759"/>
      <c r="R29" s="759"/>
      <c r="S29" s="759"/>
      <c r="T29" s="759"/>
      <c r="U29" s="759"/>
      <c r="V29" s="759"/>
      <c r="W29" s="759"/>
      <c r="X29" s="759"/>
      <c r="Y29" s="759"/>
    </row>
    <row r="30" spans="2:25">
      <c r="B30" s="768" t="s">
        <v>950</v>
      </c>
      <c r="C30" s="756"/>
      <c r="D30" s="756"/>
      <c r="E30" s="756"/>
      <c r="F30" s="756"/>
      <c r="G30" s="766"/>
      <c r="H30" s="766"/>
      <c r="I30" s="766"/>
      <c r="J30" s="766"/>
      <c r="K30" s="766"/>
      <c r="L30" s="766"/>
      <c r="M30" s="775">
        <v>0</v>
      </c>
      <c r="N30" s="775">
        <v>0.1</v>
      </c>
      <c r="O30" s="775">
        <v>0.15</v>
      </c>
      <c r="P30" s="775">
        <v>0.2</v>
      </c>
      <c r="Q30" s="775">
        <v>0.22500000000000001</v>
      </c>
      <c r="R30" s="775">
        <v>0.25</v>
      </c>
      <c r="S30" s="775">
        <v>0.3</v>
      </c>
      <c r="T30" s="775">
        <f>S30</f>
        <v>0.3</v>
      </c>
      <c r="U30" s="775">
        <f t="shared" ref="U30:Y30" si="19">T30</f>
        <v>0.3</v>
      </c>
      <c r="V30" s="775">
        <f t="shared" si="19"/>
        <v>0.3</v>
      </c>
      <c r="W30" s="775">
        <f t="shared" si="19"/>
        <v>0.3</v>
      </c>
      <c r="X30" s="775">
        <f t="shared" si="19"/>
        <v>0.3</v>
      </c>
      <c r="Y30" s="775">
        <f t="shared" si="19"/>
        <v>0.3</v>
      </c>
    </row>
    <row r="31" spans="2:25" hidden="1" outlineLevel="1">
      <c r="B31" s="776" t="s">
        <v>423</v>
      </c>
      <c r="C31" s="776"/>
      <c r="D31" s="776"/>
      <c r="E31" s="776"/>
      <c r="F31" s="776"/>
      <c r="G31" s="776"/>
      <c r="H31" s="776"/>
      <c r="I31" s="776"/>
      <c r="J31" s="776"/>
      <c r="K31" s="776"/>
      <c r="L31" s="776"/>
      <c r="M31" s="986">
        <v>1</v>
      </c>
      <c r="N31" s="986">
        <v>0.9</v>
      </c>
      <c r="O31" s="986">
        <v>0.8</v>
      </c>
      <c r="P31" s="986">
        <f>O31</f>
        <v>0.8</v>
      </c>
      <c r="Q31" s="986">
        <f t="shared" ref="Q31:Y31" si="20">P31</f>
        <v>0.8</v>
      </c>
      <c r="R31" s="986">
        <f t="shared" si="20"/>
        <v>0.8</v>
      </c>
      <c r="S31" s="986">
        <f t="shared" si="20"/>
        <v>0.8</v>
      </c>
      <c r="T31" s="986">
        <f t="shared" si="20"/>
        <v>0.8</v>
      </c>
      <c r="U31" s="986">
        <f t="shared" si="20"/>
        <v>0.8</v>
      </c>
      <c r="V31" s="986">
        <f t="shared" si="20"/>
        <v>0.8</v>
      </c>
      <c r="W31" s="986">
        <f t="shared" si="20"/>
        <v>0.8</v>
      </c>
      <c r="X31" s="986">
        <f t="shared" si="20"/>
        <v>0.8</v>
      </c>
      <c r="Y31" s="986">
        <f t="shared" si="20"/>
        <v>0.8</v>
      </c>
    </row>
    <row r="32" spans="2:25" hidden="1" outlineLevel="1">
      <c r="B32" s="776" t="s">
        <v>424</v>
      </c>
      <c r="C32" s="776"/>
      <c r="D32" s="776"/>
      <c r="E32" s="776"/>
      <c r="F32" s="776"/>
      <c r="G32" s="776"/>
      <c r="H32" s="776"/>
      <c r="I32" s="776"/>
      <c r="J32" s="776"/>
      <c r="K32" s="776"/>
      <c r="L32" s="776"/>
      <c r="M32" s="986">
        <v>0.75</v>
      </c>
      <c r="N32" s="986">
        <v>0.6</v>
      </c>
      <c r="O32" s="986">
        <v>0.55000000000000004</v>
      </c>
      <c r="P32" s="986">
        <v>0.5</v>
      </c>
      <c r="Q32" s="986">
        <f>P32</f>
        <v>0.5</v>
      </c>
      <c r="R32" s="986">
        <f t="shared" ref="R32:Y32" si="21">Q32</f>
        <v>0.5</v>
      </c>
      <c r="S32" s="986">
        <f t="shared" si="21"/>
        <v>0.5</v>
      </c>
      <c r="T32" s="986">
        <f t="shared" si="21"/>
        <v>0.5</v>
      </c>
      <c r="U32" s="986">
        <f t="shared" si="21"/>
        <v>0.5</v>
      </c>
      <c r="V32" s="986">
        <f t="shared" si="21"/>
        <v>0.5</v>
      </c>
      <c r="W32" s="986">
        <f t="shared" si="21"/>
        <v>0.5</v>
      </c>
      <c r="X32" s="986">
        <f t="shared" si="21"/>
        <v>0.5</v>
      </c>
      <c r="Y32" s="986">
        <f t="shared" si="21"/>
        <v>0.5</v>
      </c>
    </row>
    <row r="33" spans="2:25" hidden="1" outlineLevel="1">
      <c r="B33" s="776" t="s">
        <v>425</v>
      </c>
      <c r="C33" s="776"/>
      <c r="D33" s="776"/>
      <c r="E33" s="776"/>
      <c r="F33" s="776"/>
      <c r="G33" s="776"/>
      <c r="H33" s="776"/>
      <c r="I33" s="776"/>
      <c r="J33" s="776"/>
      <c r="K33" s="776"/>
      <c r="L33" s="776"/>
      <c r="M33" s="986">
        <v>0.25</v>
      </c>
      <c r="N33" s="986">
        <f>M33</f>
        <v>0.25</v>
      </c>
      <c r="O33" s="986">
        <f t="shared" ref="O33:Y33" si="22">N33</f>
        <v>0.25</v>
      </c>
      <c r="P33" s="986">
        <f t="shared" si="22"/>
        <v>0.25</v>
      </c>
      <c r="Q33" s="986">
        <f t="shared" si="22"/>
        <v>0.25</v>
      </c>
      <c r="R33" s="986">
        <f t="shared" si="22"/>
        <v>0.25</v>
      </c>
      <c r="S33" s="986">
        <f t="shared" si="22"/>
        <v>0.25</v>
      </c>
      <c r="T33" s="986">
        <f t="shared" si="22"/>
        <v>0.25</v>
      </c>
      <c r="U33" s="986">
        <f t="shared" si="22"/>
        <v>0.25</v>
      </c>
      <c r="V33" s="986">
        <f t="shared" si="22"/>
        <v>0.25</v>
      </c>
      <c r="W33" s="986">
        <f t="shared" si="22"/>
        <v>0.25</v>
      </c>
      <c r="X33" s="986">
        <f t="shared" si="22"/>
        <v>0.25</v>
      </c>
      <c r="Y33" s="986">
        <f t="shared" si="22"/>
        <v>0.25</v>
      </c>
    </row>
    <row r="34" spans="2:25" collapsed="1">
      <c r="B34" s="768" t="s">
        <v>966</v>
      </c>
      <c r="C34" s="756"/>
      <c r="D34" s="756"/>
      <c r="E34" s="756"/>
      <c r="F34" s="756"/>
      <c r="G34" s="766"/>
      <c r="H34" s="766"/>
      <c r="I34" s="766"/>
      <c r="J34" s="766"/>
      <c r="K34" s="766"/>
      <c r="L34" s="766"/>
      <c r="M34" s="775">
        <f>CHOOSE(DCF!$C$25,'US DLBCL'!M31,'US DLBCL'!M32,'US DLBCL'!M33)</f>
        <v>0.75</v>
      </c>
      <c r="N34" s="775">
        <f>CHOOSE(DCF!$C$25,'US DLBCL'!N31,'US DLBCL'!N32,'US DLBCL'!N33)</f>
        <v>0.6</v>
      </c>
      <c r="O34" s="775">
        <f>CHOOSE(DCF!$C$25,'US DLBCL'!O31,'US DLBCL'!O32,'US DLBCL'!O33)</f>
        <v>0.55000000000000004</v>
      </c>
      <c r="P34" s="775">
        <f>CHOOSE(DCF!$C$25,'US DLBCL'!P31,'US DLBCL'!P32,'US DLBCL'!P33)</f>
        <v>0.5</v>
      </c>
      <c r="Q34" s="775">
        <f>CHOOSE(DCF!$C$25,'US DLBCL'!Q31,'US DLBCL'!Q32,'US DLBCL'!Q33)</f>
        <v>0.5</v>
      </c>
      <c r="R34" s="775">
        <f>CHOOSE(DCF!$C$25,'US DLBCL'!R31,'US DLBCL'!R32,'US DLBCL'!R33)</f>
        <v>0.5</v>
      </c>
      <c r="S34" s="775">
        <f>CHOOSE(DCF!$C$25,'US DLBCL'!S31,'US DLBCL'!S32,'US DLBCL'!S33)</f>
        <v>0.5</v>
      </c>
      <c r="T34" s="775">
        <f>CHOOSE(DCF!$C$25,'US DLBCL'!T31,'US DLBCL'!T32,'US DLBCL'!T33)</f>
        <v>0.5</v>
      </c>
      <c r="U34" s="775">
        <f>CHOOSE(DCF!$C$25,'US DLBCL'!U31,'US DLBCL'!U32,'US DLBCL'!U33)</f>
        <v>0.5</v>
      </c>
      <c r="V34" s="775">
        <f>CHOOSE(DCF!$C$25,'US DLBCL'!V31,'US DLBCL'!V32,'US DLBCL'!V33)</f>
        <v>0.5</v>
      </c>
      <c r="W34" s="775">
        <f>CHOOSE(DCF!$C$25,'US DLBCL'!W31,'US DLBCL'!W32,'US DLBCL'!W33)</f>
        <v>0.5</v>
      </c>
      <c r="X34" s="775">
        <f>CHOOSE(DCF!$C$25,'US DLBCL'!X31,'US DLBCL'!X32,'US DLBCL'!X33)</f>
        <v>0.5</v>
      </c>
      <c r="Y34" s="775">
        <f>CHOOSE(DCF!$C$25,'US DLBCL'!Y31,'US DLBCL'!Y32,'US DLBCL'!Y33)</f>
        <v>0.5</v>
      </c>
    </row>
    <row r="35" spans="2:25">
      <c r="B35" s="768" t="s">
        <v>68</v>
      </c>
      <c r="C35" s="756"/>
      <c r="D35" s="756"/>
      <c r="E35" s="756"/>
      <c r="F35" s="756"/>
      <c r="G35" s="766"/>
      <c r="H35" s="766"/>
      <c r="I35" s="766"/>
      <c r="J35" s="766"/>
      <c r="K35" s="766"/>
      <c r="L35" s="766"/>
      <c r="M35" s="766">
        <f>1-M34-M30</f>
        <v>0.25</v>
      </c>
      <c r="N35" s="766">
        <f t="shared" ref="N35:Y35" si="23">1-N34-N30</f>
        <v>0.30000000000000004</v>
      </c>
      <c r="O35" s="766">
        <f t="shared" si="23"/>
        <v>0.29999999999999993</v>
      </c>
      <c r="P35" s="766">
        <f t="shared" si="23"/>
        <v>0.3</v>
      </c>
      <c r="Q35" s="766">
        <f t="shared" si="23"/>
        <v>0.27500000000000002</v>
      </c>
      <c r="R35" s="766">
        <f t="shared" si="23"/>
        <v>0.25</v>
      </c>
      <c r="S35" s="766">
        <f t="shared" si="23"/>
        <v>0.2</v>
      </c>
      <c r="T35" s="766">
        <f t="shared" si="23"/>
        <v>0.2</v>
      </c>
      <c r="U35" s="766">
        <f t="shared" si="23"/>
        <v>0.2</v>
      </c>
      <c r="V35" s="766">
        <f t="shared" si="23"/>
        <v>0.2</v>
      </c>
      <c r="W35" s="766">
        <f t="shared" si="23"/>
        <v>0.2</v>
      </c>
      <c r="X35" s="766">
        <f t="shared" si="23"/>
        <v>0.2</v>
      </c>
      <c r="Y35" s="766">
        <f t="shared" si="23"/>
        <v>0.2</v>
      </c>
    </row>
    <row r="36" spans="2:25" outlineLevel="1">
      <c r="B36" s="776" t="s">
        <v>423</v>
      </c>
      <c r="C36" s="777"/>
      <c r="D36" s="777"/>
      <c r="E36" s="777"/>
      <c r="F36" s="777"/>
      <c r="G36" s="778"/>
      <c r="H36" s="778"/>
      <c r="I36" s="778"/>
      <c r="J36" s="778"/>
      <c r="K36" s="778"/>
      <c r="L36" s="778"/>
      <c r="M36" s="778">
        <f>M37</f>
        <v>0.125</v>
      </c>
      <c r="N36" s="778">
        <f t="shared" ref="N36:Y36" si="24">N37</f>
        <v>0.25</v>
      </c>
      <c r="O36" s="778">
        <f t="shared" si="24"/>
        <v>0.4375</v>
      </c>
      <c r="P36" s="778">
        <f t="shared" si="24"/>
        <v>0.65625</v>
      </c>
      <c r="Q36" s="778">
        <f t="shared" si="24"/>
        <v>0.91874999999999996</v>
      </c>
      <c r="R36" s="778">
        <f t="shared" si="24"/>
        <v>1.1024999999999998</v>
      </c>
      <c r="S36" s="778">
        <f t="shared" si="24"/>
        <v>1.1300624999999997</v>
      </c>
      <c r="T36" s="778">
        <f t="shared" si="24"/>
        <v>1.1300624999999997</v>
      </c>
      <c r="U36" s="778">
        <f t="shared" si="24"/>
        <v>1.1300624999999997</v>
      </c>
      <c r="V36" s="778">
        <f t="shared" si="24"/>
        <v>1.1300624999999997</v>
      </c>
      <c r="W36" s="778">
        <f t="shared" si="24"/>
        <v>1.1300624999999997</v>
      </c>
      <c r="X36" s="778">
        <f t="shared" si="24"/>
        <v>1.1300624999999997</v>
      </c>
      <c r="Y36" s="778">
        <f t="shared" si="24"/>
        <v>1.1300624999999997</v>
      </c>
    </row>
    <row r="37" spans="2:25" outlineLevel="1">
      <c r="B37" s="776" t="s">
        <v>424</v>
      </c>
      <c r="C37" s="777"/>
      <c r="D37" s="777"/>
      <c r="E37" s="777"/>
      <c r="F37" s="777"/>
      <c r="G37" s="778"/>
      <c r="H37" s="778"/>
      <c r="I37" s="778"/>
      <c r="J37" s="778"/>
      <c r="K37" s="778"/>
      <c r="L37" s="778"/>
      <c r="M37" s="778">
        <v>0.125</v>
      </c>
      <c r="N37" s="778">
        <f>M37*2</f>
        <v>0.25</v>
      </c>
      <c r="O37" s="778">
        <f>N37*1.75</f>
        <v>0.4375</v>
      </c>
      <c r="P37" s="778">
        <f>O37*1.5</f>
        <v>0.65625</v>
      </c>
      <c r="Q37" s="778">
        <f>P37*1.4</f>
        <v>0.91874999999999996</v>
      </c>
      <c r="R37" s="778">
        <f>Q37*1.2</f>
        <v>1.1024999999999998</v>
      </c>
      <c r="S37" s="778">
        <f t="shared" ref="S37" si="25">R37*1.025</f>
        <v>1.1300624999999997</v>
      </c>
      <c r="T37" s="778">
        <f>S37</f>
        <v>1.1300624999999997</v>
      </c>
      <c r="U37" s="778">
        <f t="shared" ref="U37:Y37" si="26">T37</f>
        <v>1.1300624999999997</v>
      </c>
      <c r="V37" s="778">
        <f t="shared" si="26"/>
        <v>1.1300624999999997</v>
      </c>
      <c r="W37" s="778">
        <f t="shared" si="26"/>
        <v>1.1300624999999997</v>
      </c>
      <c r="X37" s="778">
        <f t="shared" si="26"/>
        <v>1.1300624999999997</v>
      </c>
      <c r="Y37" s="778">
        <f t="shared" si="26"/>
        <v>1.1300624999999997</v>
      </c>
    </row>
    <row r="38" spans="2:25" outlineLevel="1">
      <c r="B38" s="776" t="s">
        <v>425</v>
      </c>
      <c r="C38" s="777"/>
      <c r="D38" s="777"/>
      <c r="E38" s="777"/>
      <c r="F38" s="777"/>
      <c r="G38" s="778"/>
      <c r="H38" s="778"/>
      <c r="I38" s="778"/>
      <c r="J38" s="778"/>
      <c r="K38" s="778"/>
      <c r="L38" s="778"/>
      <c r="M38" s="778">
        <v>0</v>
      </c>
      <c r="N38" s="778">
        <v>0</v>
      </c>
      <c r="O38" s="778">
        <v>0</v>
      </c>
      <c r="P38" s="778">
        <v>0</v>
      </c>
      <c r="Q38" s="778">
        <v>0</v>
      </c>
      <c r="R38" s="778">
        <v>0</v>
      </c>
      <c r="S38" s="778">
        <v>0</v>
      </c>
      <c r="T38" s="778">
        <v>0</v>
      </c>
      <c r="U38" s="778">
        <v>0</v>
      </c>
      <c r="V38" s="778">
        <v>0</v>
      </c>
      <c r="W38" s="778">
        <v>0</v>
      </c>
      <c r="X38" s="778">
        <v>0</v>
      </c>
      <c r="Y38" s="778">
        <v>0</v>
      </c>
    </row>
    <row r="39" spans="2:25">
      <c r="B39" s="756" t="s">
        <v>951</v>
      </c>
      <c r="C39" s="756"/>
      <c r="D39" s="756"/>
      <c r="E39" s="756"/>
      <c r="F39" s="756"/>
      <c r="G39" s="765"/>
      <c r="H39" s="756"/>
      <c r="I39" s="756"/>
      <c r="J39" s="756"/>
      <c r="K39" s="756"/>
      <c r="L39" s="756"/>
      <c r="M39" s="765">
        <f>CHOOSE(DCF!$C$25,'US DLBCL'!M36,'US DLBCL'!M37,'US DLBCL'!M38)</f>
        <v>0.125</v>
      </c>
      <c r="N39" s="765">
        <f>CHOOSE(DCF!$C$25,'US DLBCL'!N36,'US DLBCL'!N37,'US DLBCL'!N38)</f>
        <v>0.25</v>
      </c>
      <c r="O39" s="765">
        <f>CHOOSE(DCF!$C$25,'US DLBCL'!O36,'US DLBCL'!O37,'US DLBCL'!O38)</f>
        <v>0.4375</v>
      </c>
      <c r="P39" s="765">
        <f>CHOOSE(DCF!$C$25,'US DLBCL'!P36,'US DLBCL'!P37,'US DLBCL'!P38)</f>
        <v>0.65625</v>
      </c>
      <c r="Q39" s="765">
        <f>CHOOSE(DCF!$C$25,'US DLBCL'!Q36,'US DLBCL'!Q37,'US DLBCL'!Q38)</f>
        <v>0.91874999999999996</v>
      </c>
      <c r="R39" s="765">
        <f>CHOOSE(DCF!$C$25,'US DLBCL'!R36,'US DLBCL'!R37,'US DLBCL'!R38)</f>
        <v>1.1024999999999998</v>
      </c>
      <c r="S39" s="765">
        <f>CHOOSE(DCF!$C$25,'US DLBCL'!S36,'US DLBCL'!S37,'US DLBCL'!S38)</f>
        <v>1.1300624999999997</v>
      </c>
      <c r="T39" s="765">
        <f>CHOOSE(DCF!$C$25,'US DLBCL'!T36,'US DLBCL'!T37,'US DLBCL'!T38)</f>
        <v>1.1300624999999997</v>
      </c>
      <c r="U39" s="765">
        <f>CHOOSE(DCF!$C$25,'US DLBCL'!U36,'US DLBCL'!U37,'US DLBCL'!U38)</f>
        <v>1.1300624999999997</v>
      </c>
      <c r="V39" s="765">
        <f>CHOOSE(DCF!$C$25,'US DLBCL'!V36,'US DLBCL'!V37,'US DLBCL'!V38)</f>
        <v>1.1300624999999997</v>
      </c>
      <c r="W39" s="765">
        <f>CHOOSE(DCF!$C$25,'US DLBCL'!W36,'US DLBCL'!W37,'US DLBCL'!W38)</f>
        <v>1.1300624999999997</v>
      </c>
      <c r="X39" s="765">
        <f>CHOOSE(DCF!$C$25,'US DLBCL'!X36,'US DLBCL'!X37,'US DLBCL'!X38)</f>
        <v>1.1300624999999997</v>
      </c>
      <c r="Y39" s="765">
        <f>CHOOSE(DCF!$C$25,'US DLBCL'!Y36,'US DLBCL'!Y37,'US DLBCL'!Y38)</f>
        <v>1.1300624999999997</v>
      </c>
    </row>
    <row r="40" spans="2:25">
      <c r="B40" s="756"/>
      <c r="C40" s="756"/>
      <c r="D40" s="756"/>
      <c r="E40" s="756"/>
      <c r="F40" s="756"/>
      <c r="G40" s="756"/>
      <c r="H40" s="756"/>
      <c r="I40" s="756"/>
      <c r="J40" s="756"/>
      <c r="K40" s="756"/>
      <c r="L40" s="756"/>
      <c r="M40" s="756"/>
      <c r="N40" s="756"/>
      <c r="O40" s="756"/>
      <c r="P40" s="756"/>
      <c r="Q40" s="756"/>
      <c r="R40" s="756"/>
      <c r="S40" s="756"/>
      <c r="T40" s="756"/>
      <c r="U40" s="756"/>
      <c r="V40" s="756"/>
      <c r="W40" s="756"/>
      <c r="X40" s="756"/>
      <c r="Y40" s="756"/>
    </row>
    <row r="41" spans="2:25">
      <c r="B41" s="756" t="s">
        <v>952</v>
      </c>
      <c r="C41" s="756"/>
      <c r="D41" s="756"/>
      <c r="E41" s="756"/>
      <c r="F41" s="756"/>
      <c r="G41" s="756"/>
      <c r="H41" s="756"/>
      <c r="I41" s="756"/>
      <c r="J41" s="756"/>
      <c r="K41" s="756"/>
      <c r="L41" s="756"/>
      <c r="M41" s="779">
        <f>'US ALL'!C72</f>
        <v>1</v>
      </c>
      <c r="N41" s="756">
        <f>M41</f>
        <v>1</v>
      </c>
      <c r="O41" s="756">
        <f>N41</f>
        <v>1</v>
      </c>
      <c r="P41" s="756">
        <f t="shared" ref="P41:Y41" si="27">O41</f>
        <v>1</v>
      </c>
      <c r="Q41" s="756">
        <f t="shared" si="27"/>
        <v>1</v>
      </c>
      <c r="R41" s="756">
        <f t="shared" si="27"/>
        <v>1</v>
      </c>
      <c r="S41" s="756">
        <f t="shared" si="27"/>
        <v>1</v>
      </c>
      <c r="T41" s="756">
        <f t="shared" si="27"/>
        <v>1</v>
      </c>
      <c r="U41" s="756">
        <f t="shared" si="27"/>
        <v>1</v>
      </c>
      <c r="V41" s="756">
        <f t="shared" si="27"/>
        <v>1</v>
      </c>
      <c r="W41" s="756">
        <f t="shared" si="27"/>
        <v>1</v>
      </c>
      <c r="X41" s="756">
        <f t="shared" si="27"/>
        <v>1</v>
      </c>
      <c r="Y41" s="756">
        <f t="shared" si="27"/>
        <v>1</v>
      </c>
    </row>
    <row r="42" spans="2:25">
      <c r="B42" s="756"/>
      <c r="C42" s="756"/>
      <c r="D42" s="756"/>
      <c r="E42" s="756"/>
      <c r="F42" s="756"/>
      <c r="G42" s="756"/>
      <c r="H42" s="756"/>
      <c r="I42" s="756"/>
      <c r="J42" s="756"/>
      <c r="K42" s="756"/>
      <c r="L42" s="756"/>
      <c r="M42" s="756"/>
      <c r="N42" s="756"/>
      <c r="O42" s="756"/>
      <c r="P42" s="756"/>
      <c r="Q42" s="756"/>
      <c r="R42" s="756"/>
      <c r="S42" s="756"/>
      <c r="T42" s="756"/>
      <c r="U42" s="756"/>
      <c r="V42" s="756"/>
      <c r="W42" s="756"/>
      <c r="X42" s="756"/>
      <c r="Y42" s="756"/>
    </row>
    <row r="43" spans="2:25">
      <c r="B43" s="780" t="s">
        <v>953</v>
      </c>
      <c r="C43" s="756"/>
      <c r="D43" s="756"/>
      <c r="E43" s="756"/>
      <c r="F43" s="756"/>
      <c r="G43" s="756"/>
      <c r="H43" s="756"/>
      <c r="I43" s="781"/>
      <c r="J43" s="761"/>
      <c r="K43" s="761"/>
      <c r="L43" s="761"/>
      <c r="M43" s="782">
        <v>325</v>
      </c>
      <c r="N43" s="782">
        <f>M43*(1+N44)</f>
        <v>325</v>
      </c>
      <c r="O43" s="782">
        <f t="shared" ref="O43:Y43" si="28">N43*(1+O44)</f>
        <v>325</v>
      </c>
      <c r="P43" s="782">
        <f t="shared" si="28"/>
        <v>325</v>
      </c>
      <c r="Q43" s="782">
        <f t="shared" si="28"/>
        <v>325</v>
      </c>
      <c r="R43" s="782">
        <f t="shared" si="28"/>
        <v>325</v>
      </c>
      <c r="S43" s="782">
        <f t="shared" si="28"/>
        <v>325</v>
      </c>
      <c r="T43" s="782">
        <f t="shared" si="28"/>
        <v>325</v>
      </c>
      <c r="U43" s="782">
        <f t="shared" si="28"/>
        <v>325</v>
      </c>
      <c r="V43" s="782">
        <f t="shared" si="28"/>
        <v>325</v>
      </c>
      <c r="W43" s="782">
        <f t="shared" si="28"/>
        <v>325</v>
      </c>
      <c r="X43" s="782">
        <f t="shared" si="28"/>
        <v>325</v>
      </c>
      <c r="Y43" s="782">
        <f t="shared" si="28"/>
        <v>325</v>
      </c>
    </row>
    <row r="44" spans="2:25">
      <c r="B44" s="783" t="s">
        <v>954</v>
      </c>
      <c r="C44" s="784"/>
      <c r="D44" s="784"/>
      <c r="E44" s="784"/>
      <c r="F44" s="784"/>
      <c r="G44" s="784"/>
      <c r="H44" s="784"/>
      <c r="I44" s="784"/>
      <c r="J44" s="785"/>
      <c r="K44" s="786"/>
      <c r="L44" s="786"/>
      <c r="M44" s="786"/>
      <c r="N44" s="787">
        <v>0</v>
      </c>
      <c r="O44" s="787">
        <f>N44</f>
        <v>0</v>
      </c>
      <c r="P44" s="787">
        <f t="shared" ref="P44:Y44" si="29">O44</f>
        <v>0</v>
      </c>
      <c r="Q44" s="787">
        <f t="shared" si="29"/>
        <v>0</v>
      </c>
      <c r="R44" s="787">
        <f t="shared" si="29"/>
        <v>0</v>
      </c>
      <c r="S44" s="787">
        <f t="shared" si="29"/>
        <v>0</v>
      </c>
      <c r="T44" s="787">
        <f t="shared" si="29"/>
        <v>0</v>
      </c>
      <c r="U44" s="787">
        <f t="shared" si="29"/>
        <v>0</v>
      </c>
      <c r="V44" s="787">
        <f t="shared" si="29"/>
        <v>0</v>
      </c>
      <c r="W44" s="787">
        <f t="shared" si="29"/>
        <v>0</v>
      </c>
      <c r="X44" s="787">
        <f t="shared" si="29"/>
        <v>0</v>
      </c>
      <c r="Y44" s="787">
        <f t="shared" si="29"/>
        <v>0</v>
      </c>
    </row>
    <row r="45" spans="2:25">
      <c r="B45" s="783"/>
      <c r="C45" s="784"/>
      <c r="D45" s="784"/>
      <c r="E45" s="784"/>
      <c r="F45" s="784"/>
      <c r="G45" s="784"/>
      <c r="H45" s="784"/>
      <c r="I45" s="784"/>
      <c r="J45" s="785"/>
      <c r="K45" s="786"/>
      <c r="L45" s="786"/>
      <c r="M45" s="786"/>
      <c r="N45" s="786"/>
      <c r="O45" s="786"/>
      <c r="P45" s="786"/>
      <c r="Q45" s="786"/>
      <c r="R45" s="786"/>
      <c r="S45" s="786"/>
      <c r="T45" s="786"/>
      <c r="U45" s="786"/>
      <c r="V45" s="786"/>
      <c r="W45" s="786"/>
      <c r="X45" s="786"/>
      <c r="Y45" s="786"/>
    </row>
    <row r="46" spans="2:25" ht="15.75" thickBot="1">
      <c r="B46" s="788" t="s">
        <v>955</v>
      </c>
      <c r="C46" s="789"/>
      <c r="D46" s="789"/>
      <c r="E46" s="789"/>
      <c r="F46" s="789"/>
      <c r="G46" s="789"/>
      <c r="H46" s="789"/>
      <c r="I46" s="790"/>
      <c r="J46" s="790"/>
      <c r="K46" s="790"/>
      <c r="L46" s="790"/>
      <c r="M46" s="791">
        <f>M43*M41*M34*M27*M39/1000</f>
        <v>224.18465826424944</v>
      </c>
      <c r="N46" s="791">
        <f t="shared" ref="N46:Y46" si="30">N43*N41*N34*N27*N39/1000</f>
        <v>364.32831230155983</v>
      </c>
      <c r="O46" s="791">
        <f t="shared" si="30"/>
        <v>593.57217244404296</v>
      </c>
      <c r="P46" s="791">
        <f t="shared" si="30"/>
        <v>821.99994534137852</v>
      </c>
      <c r="Q46" s="791">
        <f t="shared" si="30"/>
        <v>1168.6171955194545</v>
      </c>
      <c r="R46" s="791">
        <f t="shared" si="30"/>
        <v>1423.9760247443701</v>
      </c>
      <c r="S46" s="791">
        <f t="shared" si="30"/>
        <v>1482.0269981890485</v>
      </c>
      <c r="T46" s="791">
        <f t="shared" si="30"/>
        <v>1504.7681170328112</v>
      </c>
      <c r="U46" s="791">
        <f t="shared" si="30"/>
        <v>1527.8130309479111</v>
      </c>
      <c r="V46" s="791">
        <f t="shared" si="30"/>
        <v>1551.1760101345267</v>
      </c>
      <c r="W46" s="791">
        <f t="shared" si="30"/>
        <v>1574.8713656850186</v>
      </c>
      <c r="X46" s="791">
        <f t="shared" si="30"/>
        <v>1598.9134689550599</v>
      </c>
      <c r="Y46" s="791">
        <f t="shared" si="30"/>
        <v>1623.3167705972505</v>
      </c>
    </row>
    <row r="47" spans="2:25" ht="15.75" thickTop="1">
      <c r="B47" s="756"/>
      <c r="C47" s="756"/>
      <c r="D47" s="756"/>
      <c r="E47" s="756"/>
      <c r="F47" s="756"/>
      <c r="G47" s="756"/>
      <c r="H47" s="756"/>
      <c r="I47" s="756"/>
      <c r="J47" s="756"/>
      <c r="K47" s="756"/>
      <c r="L47" s="756"/>
      <c r="M47" s="756"/>
      <c r="N47" s="756"/>
      <c r="O47" s="756"/>
      <c r="P47" s="756"/>
      <c r="Q47" s="756"/>
      <c r="R47" s="756"/>
      <c r="S47" s="756"/>
      <c r="T47" s="756"/>
      <c r="U47" s="756"/>
      <c r="V47" s="756"/>
      <c r="W47" s="756"/>
      <c r="X47" s="756"/>
      <c r="Y47" s="756"/>
    </row>
    <row r="48" spans="2:25">
      <c r="B48" s="756"/>
      <c r="C48" s="756"/>
      <c r="D48" s="756"/>
      <c r="E48" s="756"/>
      <c r="F48" s="756"/>
      <c r="G48" s="756"/>
      <c r="H48" s="756"/>
      <c r="I48" s="756"/>
      <c r="J48" s="756"/>
      <c r="K48" s="756"/>
      <c r="L48" s="756"/>
      <c r="M48" s="756"/>
      <c r="N48" s="756"/>
      <c r="O48" s="756"/>
      <c r="P48" s="756"/>
      <c r="Q48" s="756"/>
      <c r="R48" s="756"/>
      <c r="S48" s="756"/>
      <c r="T48" s="756"/>
      <c r="U48" s="756"/>
      <c r="V48" s="756"/>
      <c r="W48" s="756"/>
      <c r="X48" s="756"/>
      <c r="Y48" s="756"/>
    </row>
    <row r="49" spans="2:25">
      <c r="B49" s="756" t="s">
        <v>956</v>
      </c>
      <c r="C49" s="756"/>
      <c r="D49" s="756"/>
      <c r="E49" s="756"/>
      <c r="F49" s="756"/>
      <c r="G49" s="792">
        <f>G6/G5</f>
        <v>0.24922118380062305</v>
      </c>
      <c r="H49" s="792">
        <f>G49*0.98</f>
        <v>0.2442367601246106</v>
      </c>
      <c r="I49" s="792">
        <f t="shared" ref="I49:Y49" si="31">H49*0.98</f>
        <v>0.23935202492211838</v>
      </c>
      <c r="J49" s="792">
        <f t="shared" si="31"/>
        <v>0.23456498442367602</v>
      </c>
      <c r="K49" s="792">
        <f t="shared" si="31"/>
        <v>0.22987368473520248</v>
      </c>
      <c r="L49" s="792">
        <f t="shared" si="31"/>
        <v>0.22527621104049841</v>
      </c>
      <c r="M49" s="792">
        <f t="shared" si="31"/>
        <v>0.22077068681968845</v>
      </c>
      <c r="N49" s="792">
        <f t="shared" si="31"/>
        <v>0.21635527308329466</v>
      </c>
      <c r="O49" s="792">
        <f t="shared" si="31"/>
        <v>0.21202816762162877</v>
      </c>
      <c r="P49" s="792">
        <f t="shared" si="31"/>
        <v>0.20778760426919618</v>
      </c>
      <c r="Q49" s="792">
        <f t="shared" si="31"/>
        <v>0.20363185218381225</v>
      </c>
      <c r="R49" s="792">
        <f t="shared" si="31"/>
        <v>0.199559215140136</v>
      </c>
      <c r="S49" s="792">
        <f t="shared" si="31"/>
        <v>0.19556803083733326</v>
      </c>
      <c r="T49" s="792">
        <f t="shared" si="31"/>
        <v>0.19165667022058661</v>
      </c>
      <c r="U49" s="792">
        <f t="shared" si="31"/>
        <v>0.18782353681617486</v>
      </c>
      <c r="V49" s="792">
        <f t="shared" si="31"/>
        <v>0.18406706607985135</v>
      </c>
      <c r="W49" s="792">
        <f t="shared" si="31"/>
        <v>0.18038572475825432</v>
      </c>
      <c r="X49" s="792">
        <f t="shared" si="31"/>
        <v>0.17677801026308923</v>
      </c>
      <c r="Y49" s="792">
        <f t="shared" si="31"/>
        <v>0.17324245005782743</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K52"/>
  <sheetViews>
    <sheetView zoomScale="85" zoomScaleNormal="85" workbookViewId="0">
      <pane xSplit="2" ySplit="2" topLeftCell="H21" activePane="bottomRight" state="frozen"/>
      <selection pane="topRight" activeCell="C1" sqref="C1"/>
      <selection pane="bottomLeft" activeCell="A3" sqref="A3"/>
      <selection pane="bottomRight" activeCell="Y42" sqref="Y42"/>
    </sheetView>
  </sheetViews>
  <sheetFormatPr defaultRowHeight="15" outlineLevelRow="1" outlineLevelCol="1"/>
  <cols>
    <col min="1" max="1" width="2.28515625" customWidth="1"/>
    <col min="2" max="2" width="35.140625" customWidth="1"/>
    <col min="3" max="8" width="9.140625" outlineLevel="1"/>
  </cols>
  <sheetData>
    <row r="1" spans="1:37">
      <c r="A1" s="756"/>
      <c r="B1" s="756"/>
      <c r="C1" s="756"/>
      <c r="D1" s="756"/>
      <c r="E1" s="756"/>
      <c r="F1" s="756"/>
      <c r="G1" s="756"/>
      <c r="H1" s="756"/>
      <c r="I1" s="756"/>
      <c r="J1" s="756"/>
      <c r="K1" s="756"/>
      <c r="L1" s="756"/>
      <c r="M1" s="756"/>
      <c r="N1" s="756"/>
      <c r="O1" s="756"/>
      <c r="P1" s="756"/>
      <c r="Q1" s="756"/>
      <c r="R1" s="756"/>
      <c r="S1" s="756"/>
      <c r="T1" s="756"/>
      <c r="U1" s="756"/>
      <c r="V1" s="756"/>
      <c r="W1" s="756"/>
      <c r="X1" s="756"/>
      <c r="Y1" s="756"/>
      <c r="Z1" s="756"/>
      <c r="AA1" s="756"/>
      <c r="AB1" s="756"/>
      <c r="AC1" s="756"/>
      <c r="AD1" s="756"/>
      <c r="AE1" s="756"/>
      <c r="AF1" s="756"/>
      <c r="AG1" s="756"/>
      <c r="AH1" s="756"/>
      <c r="AI1" s="756"/>
      <c r="AJ1" s="756"/>
      <c r="AK1" s="756"/>
    </row>
    <row r="2" spans="1:37">
      <c r="A2" s="756"/>
      <c r="B2" s="757"/>
      <c r="C2" s="757">
        <v>2008</v>
      </c>
      <c r="D2" s="757">
        <f>C2+1</f>
        <v>2009</v>
      </c>
      <c r="E2" s="757">
        <f t="shared" ref="E2:U2" si="0">D2+1</f>
        <v>2010</v>
      </c>
      <c r="F2" s="757">
        <f t="shared" si="0"/>
        <v>2011</v>
      </c>
      <c r="G2" s="757">
        <f t="shared" si="0"/>
        <v>2012</v>
      </c>
      <c r="H2" s="757">
        <f t="shared" si="0"/>
        <v>2013</v>
      </c>
      <c r="I2" s="757">
        <f t="shared" si="0"/>
        <v>2014</v>
      </c>
      <c r="J2" s="757">
        <f t="shared" si="0"/>
        <v>2015</v>
      </c>
      <c r="K2" s="757">
        <f t="shared" si="0"/>
        <v>2016</v>
      </c>
      <c r="L2" s="757">
        <f t="shared" si="0"/>
        <v>2017</v>
      </c>
      <c r="M2" s="757">
        <f t="shared" si="0"/>
        <v>2018</v>
      </c>
      <c r="N2" s="757">
        <f t="shared" si="0"/>
        <v>2019</v>
      </c>
      <c r="O2" s="757">
        <f t="shared" si="0"/>
        <v>2020</v>
      </c>
      <c r="P2" s="757">
        <f t="shared" si="0"/>
        <v>2021</v>
      </c>
      <c r="Q2" s="757">
        <f t="shared" si="0"/>
        <v>2022</v>
      </c>
      <c r="R2" s="757">
        <f t="shared" si="0"/>
        <v>2023</v>
      </c>
      <c r="S2" s="757">
        <f t="shared" si="0"/>
        <v>2024</v>
      </c>
      <c r="T2" s="757">
        <f t="shared" si="0"/>
        <v>2025</v>
      </c>
      <c r="U2" s="757">
        <f t="shared" si="0"/>
        <v>2026</v>
      </c>
      <c r="V2" s="757">
        <f>U2+1</f>
        <v>2027</v>
      </c>
      <c r="W2" s="757">
        <f>V2+1</f>
        <v>2028</v>
      </c>
      <c r="X2" s="757">
        <f>W2+1</f>
        <v>2029</v>
      </c>
      <c r="Y2" s="757">
        <f>X2+1</f>
        <v>2030</v>
      </c>
      <c r="Z2" s="756"/>
      <c r="AA2" s="756"/>
      <c r="AB2" s="756"/>
      <c r="AC2" s="756"/>
      <c r="AD2" s="756"/>
      <c r="AE2" s="756"/>
      <c r="AF2" s="756"/>
      <c r="AG2" s="756"/>
      <c r="AH2" s="756"/>
      <c r="AI2" s="756"/>
      <c r="AJ2" s="756"/>
      <c r="AK2" s="756"/>
    </row>
    <row r="3" spans="1:37">
      <c r="A3" s="756"/>
      <c r="B3" s="758" t="s">
        <v>961</v>
      </c>
      <c r="C3" s="759"/>
      <c r="D3" s="759"/>
      <c r="E3" s="759"/>
      <c r="F3" s="759"/>
      <c r="G3" s="759"/>
      <c r="H3" s="759"/>
      <c r="I3" s="759"/>
      <c r="J3" s="759"/>
      <c r="K3" s="759"/>
      <c r="L3" s="759"/>
      <c r="M3" s="759"/>
      <c r="N3" s="759"/>
      <c r="O3" s="759"/>
      <c r="P3" s="759"/>
      <c r="Q3" s="759"/>
      <c r="R3" s="759"/>
      <c r="S3" s="759"/>
      <c r="T3" s="759"/>
      <c r="U3" s="759"/>
      <c r="V3" s="759"/>
      <c r="W3" s="759"/>
      <c r="X3" s="759"/>
      <c r="Y3" s="759"/>
      <c r="Z3" s="756"/>
      <c r="AA3" s="756"/>
      <c r="AB3" s="756"/>
      <c r="AC3" s="756"/>
      <c r="AD3" s="756"/>
      <c r="AE3" s="756"/>
      <c r="AF3" s="756"/>
      <c r="AG3" s="756"/>
      <c r="AH3" s="756"/>
      <c r="AI3" s="756"/>
      <c r="AJ3" s="756"/>
      <c r="AK3" s="756"/>
    </row>
    <row r="4" spans="1:37">
      <c r="A4" s="756"/>
      <c r="B4" s="756" t="s">
        <v>935</v>
      </c>
      <c r="C4" s="761">
        <f>D4-C5+C6+C7</f>
        <v>155199.78302058385</v>
      </c>
      <c r="D4" s="761">
        <f>E4-D5+D6+D7</f>
        <v>160518.32053410137</v>
      </c>
      <c r="E4" s="761">
        <f>F4-E5+E6+E7</f>
        <v>166418.59852012442</v>
      </c>
      <c r="F4" s="761">
        <f>G4-F5+F6+F7</f>
        <v>172909.41747572814</v>
      </c>
      <c r="G4" s="762">
        <v>180000</v>
      </c>
      <c r="H4" s="761">
        <f>G4+G5-G6-G7</f>
        <v>187700</v>
      </c>
      <c r="I4" s="761">
        <f t="shared" ref="I4:U4" si="1">H4+H5-H6-H7</f>
        <v>195680.8</v>
      </c>
      <c r="J4" s="761">
        <f t="shared" si="1"/>
        <v>203949.88311999998</v>
      </c>
      <c r="K4" s="761">
        <f t="shared" si="1"/>
        <v>212515.01857932797</v>
      </c>
      <c r="L4" s="761">
        <f t="shared" si="1"/>
        <v>221384.26733621367</v>
      </c>
      <c r="M4" s="761">
        <f t="shared" si="1"/>
        <v>230565.98804500629</v>
      </c>
      <c r="N4" s="761">
        <f t="shared" si="1"/>
        <v>240068.84333315527</v>
      </c>
      <c r="O4" s="761">
        <f t="shared" si="1"/>
        <v>249901.80640050641</v>
      </c>
      <c r="P4" s="761">
        <f t="shared" si="1"/>
        <v>260074.16794389524</v>
      </c>
      <c r="Q4" s="761">
        <f t="shared" si="1"/>
        <v>270595.5434104423</v>
      </c>
      <c r="R4" s="761">
        <f t="shared" si="1"/>
        <v>281475.88058337715</v>
      </c>
      <c r="S4" s="761">
        <f t="shared" si="1"/>
        <v>292725.46750463167</v>
      </c>
      <c r="T4" s="761">
        <f t="shared" si="1"/>
        <v>304354.94073885941</v>
      </c>
      <c r="U4" s="761">
        <f t="shared" si="1"/>
        <v>316375.29398394981</v>
      </c>
      <c r="V4" s="761">
        <f>U4+U5-U6-U7</f>
        <v>328797.8870335152</v>
      </c>
      <c r="W4" s="761">
        <f>V4+V5-V6-V7</f>
        <v>341634.4550972415</v>
      </c>
      <c r="X4" s="761">
        <f>W4+W5-W6-W7</f>
        <v>354897.11848540104</v>
      </c>
      <c r="Y4" s="761">
        <f>X4+X5-X6-X7</f>
        <v>368598.39266423928</v>
      </c>
      <c r="Z4" s="756"/>
      <c r="AA4" s="756" t="s">
        <v>957</v>
      </c>
      <c r="AB4" s="756"/>
      <c r="AC4" s="756"/>
      <c r="AD4" s="756"/>
      <c r="AE4" s="756"/>
      <c r="AF4" s="756"/>
      <c r="AG4" s="756"/>
      <c r="AH4" s="756"/>
      <c r="AI4" s="756"/>
      <c r="AJ4" s="756"/>
      <c r="AK4" s="756"/>
    </row>
    <row r="5" spans="1:37">
      <c r="A5" s="756"/>
      <c r="B5" s="756" t="s">
        <v>535</v>
      </c>
      <c r="C5" s="761">
        <f>D5/1.03</f>
        <v>21945.630083517513</v>
      </c>
      <c r="D5" s="761">
        <f>E5/1.03</f>
        <v>22603.998986023038</v>
      </c>
      <c r="E5" s="761">
        <f>F5/1.03</f>
        <v>23282.118955603732</v>
      </c>
      <c r="F5" s="761">
        <f>G5/1.03</f>
        <v>23980.582524271846</v>
      </c>
      <c r="G5" s="762">
        <v>24700</v>
      </c>
      <c r="H5" s="761">
        <f>G5*1.03</f>
        <v>25441</v>
      </c>
      <c r="I5" s="761">
        <f t="shared" ref="I5:U5" si="2">H5*1.03</f>
        <v>26204.23</v>
      </c>
      <c r="J5" s="761">
        <f t="shared" si="2"/>
        <v>26990.356899999999</v>
      </c>
      <c r="K5" s="761">
        <f t="shared" si="2"/>
        <v>27800.067607000001</v>
      </c>
      <c r="L5" s="761">
        <f t="shared" si="2"/>
        <v>28634.069635210002</v>
      </c>
      <c r="M5" s="761">
        <f t="shared" si="2"/>
        <v>29493.091724266302</v>
      </c>
      <c r="N5" s="761">
        <f t="shared" si="2"/>
        <v>30377.884475994291</v>
      </c>
      <c r="O5" s="761">
        <f>N5*1.03</f>
        <v>31289.221010274119</v>
      </c>
      <c r="P5" s="761">
        <f t="shared" si="2"/>
        <v>32227.897640582345</v>
      </c>
      <c r="Q5" s="761">
        <f t="shared" si="2"/>
        <v>33194.734569799817</v>
      </c>
      <c r="R5" s="761">
        <f t="shared" si="2"/>
        <v>34190.57660689381</v>
      </c>
      <c r="S5" s="761">
        <f t="shared" si="2"/>
        <v>35216.293905100625</v>
      </c>
      <c r="T5" s="761">
        <f t="shared" si="2"/>
        <v>36272.782722253643</v>
      </c>
      <c r="U5" s="761">
        <f t="shared" si="2"/>
        <v>37360.966203921256</v>
      </c>
      <c r="V5" s="761">
        <f>U5*1.03</f>
        <v>38481.795190038894</v>
      </c>
      <c r="W5" s="761">
        <f>V5*1.03</f>
        <v>39636.249045740064</v>
      </c>
      <c r="X5" s="761">
        <f>W5*1.03</f>
        <v>40825.336517112264</v>
      </c>
      <c r="Y5" s="761">
        <f>X5*1.03</f>
        <v>42050.096612625632</v>
      </c>
      <c r="Z5" s="756"/>
      <c r="AA5" s="756" t="s">
        <v>958</v>
      </c>
      <c r="AB5" s="756"/>
      <c r="AC5" s="756"/>
      <c r="AD5" s="756"/>
      <c r="AE5" s="756"/>
      <c r="AF5" s="756"/>
      <c r="AG5" s="756"/>
      <c r="AH5" s="756"/>
      <c r="AI5" s="756"/>
      <c r="AJ5" s="756"/>
      <c r="AK5" s="756"/>
    </row>
    <row r="6" spans="1:37">
      <c r="A6" s="756"/>
      <c r="B6" s="756" t="s">
        <v>936</v>
      </c>
      <c r="C6" s="761">
        <f>D6*1.02</f>
        <v>8659.4572800000005</v>
      </c>
      <c r="D6" s="761">
        <f>E6*1.02</f>
        <v>8489.6640000000007</v>
      </c>
      <c r="E6" s="761">
        <f>F6*1.02</f>
        <v>8323.2000000000007</v>
      </c>
      <c r="F6" s="761">
        <f>G6*1.02</f>
        <v>8160</v>
      </c>
      <c r="G6" s="762">
        <v>8000</v>
      </c>
      <c r="H6" s="761">
        <f t="shared" ref="H6:Y6" si="3">H5*H52</f>
        <v>8075.2</v>
      </c>
      <c r="I6" s="761">
        <f t="shared" si="3"/>
        <v>8151.1068800000003</v>
      </c>
      <c r="J6" s="761">
        <f t="shared" si="3"/>
        <v>8227.7272846720007</v>
      </c>
      <c r="K6" s="761">
        <f t="shared" si="3"/>
        <v>8305.0679211479182</v>
      </c>
      <c r="L6" s="761">
        <f t="shared" si="3"/>
        <v>8383.1355596067096</v>
      </c>
      <c r="M6" s="761">
        <f t="shared" si="3"/>
        <v>8461.9370338670105</v>
      </c>
      <c r="N6" s="761">
        <f t="shared" si="3"/>
        <v>8541.479241985362</v>
      </c>
      <c r="O6" s="761">
        <f t="shared" si="3"/>
        <v>8621.7691468600224</v>
      </c>
      <c r="P6" s="761">
        <f t="shared" si="3"/>
        <v>8702.8137768405068</v>
      </c>
      <c r="Q6" s="761">
        <f t="shared" si="3"/>
        <v>8784.6202263428095</v>
      </c>
      <c r="R6" s="761">
        <f t="shared" si="3"/>
        <v>8867.1956564704324</v>
      </c>
      <c r="S6" s="761">
        <f t="shared" si="3"/>
        <v>8950.5472956412541</v>
      </c>
      <c r="T6" s="761">
        <f t="shared" si="3"/>
        <v>9034.6824402202819</v>
      </c>
      <c r="U6" s="761">
        <f t="shared" si="3"/>
        <v>9119.6084551583535</v>
      </c>
      <c r="V6" s="761">
        <f t="shared" si="3"/>
        <v>9205.3327746368414</v>
      </c>
      <c r="W6" s="761">
        <f t="shared" si="3"/>
        <v>9291.862902718427</v>
      </c>
      <c r="X6" s="761">
        <f t="shared" si="3"/>
        <v>9379.2064140039802</v>
      </c>
      <c r="Y6" s="761">
        <f t="shared" si="3"/>
        <v>9467.3709542956167</v>
      </c>
      <c r="Z6" s="756"/>
      <c r="AA6" s="756" t="s">
        <v>959</v>
      </c>
      <c r="AB6" s="756"/>
      <c r="AC6" s="756"/>
      <c r="AD6" s="756"/>
      <c r="AE6" s="756"/>
      <c r="AF6" s="756"/>
      <c r="AG6" s="756"/>
      <c r="AH6" s="756"/>
      <c r="AI6" s="756"/>
      <c r="AJ6" s="756"/>
      <c r="AK6" s="756"/>
    </row>
    <row r="7" spans="1:37">
      <c r="A7" s="756"/>
      <c r="B7" s="756" t="s">
        <v>937</v>
      </c>
      <c r="C7" s="763">
        <f>D7*0.97</f>
        <v>7967.6352900000002</v>
      </c>
      <c r="D7" s="763">
        <f>E7*0.97</f>
        <v>8214.0570000000007</v>
      </c>
      <c r="E7" s="763">
        <f>F7*0.97</f>
        <v>8468.1</v>
      </c>
      <c r="F7" s="763">
        <f>G7*0.97</f>
        <v>8730</v>
      </c>
      <c r="G7" s="763">
        <f>G4*0.05</f>
        <v>9000</v>
      </c>
      <c r="H7" s="763">
        <f t="shared" ref="H7:U7" si="4">H4*0.05</f>
        <v>9385</v>
      </c>
      <c r="I7" s="763">
        <f t="shared" si="4"/>
        <v>9784.0399999999991</v>
      </c>
      <c r="J7" s="763">
        <f t="shared" si="4"/>
        <v>10197.494156000001</v>
      </c>
      <c r="K7" s="763">
        <f t="shared" si="4"/>
        <v>10625.750928966399</v>
      </c>
      <c r="L7" s="763">
        <f t="shared" si="4"/>
        <v>11069.213366810684</v>
      </c>
      <c r="M7" s="763">
        <f t="shared" si="4"/>
        <v>11528.299402250315</v>
      </c>
      <c r="N7" s="763">
        <f t="shared" si="4"/>
        <v>12003.442166657764</v>
      </c>
      <c r="O7" s="763">
        <f>O4*0.05</f>
        <v>12495.090320025321</v>
      </c>
      <c r="P7" s="763">
        <f t="shared" si="4"/>
        <v>13003.708397194763</v>
      </c>
      <c r="Q7" s="763">
        <f t="shared" si="4"/>
        <v>13529.777170522117</v>
      </c>
      <c r="R7" s="763">
        <f t="shared" si="4"/>
        <v>14073.794029168857</v>
      </c>
      <c r="S7" s="763">
        <f t="shared" si="4"/>
        <v>14636.273375231583</v>
      </c>
      <c r="T7" s="763">
        <f t="shared" si="4"/>
        <v>15217.747036942972</v>
      </c>
      <c r="U7" s="763">
        <f t="shared" si="4"/>
        <v>15818.764699197491</v>
      </c>
      <c r="V7" s="763">
        <f>V4*0.05</f>
        <v>16439.894351675761</v>
      </c>
      <c r="W7" s="763">
        <f>W4*0.05</f>
        <v>17081.722754862076</v>
      </c>
      <c r="X7" s="763">
        <f>X4*0.05</f>
        <v>17744.855924270054</v>
      </c>
      <c r="Y7" s="763">
        <f>Y4*0.05</f>
        <v>18429.919633211965</v>
      </c>
      <c r="Z7" s="756"/>
      <c r="AA7" s="756"/>
      <c r="AB7" s="756"/>
      <c r="AC7" s="756"/>
      <c r="AD7" s="756"/>
      <c r="AE7" s="756"/>
      <c r="AF7" s="756"/>
      <c r="AG7" s="756"/>
      <c r="AH7" s="756"/>
      <c r="AI7" s="756"/>
      <c r="AJ7" s="756"/>
      <c r="AK7" s="756"/>
    </row>
    <row r="8" spans="1:37">
      <c r="A8" s="756"/>
      <c r="B8" s="756"/>
      <c r="C8" s="756"/>
      <c r="D8" s="756"/>
      <c r="E8" s="756"/>
      <c r="F8" s="756"/>
      <c r="G8" s="756"/>
      <c r="H8" s="756"/>
      <c r="I8" s="756"/>
      <c r="J8" s="756"/>
      <c r="K8" s="756"/>
      <c r="L8" s="756"/>
      <c r="M8" s="756"/>
      <c r="N8" s="756"/>
      <c r="O8" s="756"/>
      <c r="P8" s="756"/>
      <c r="Q8" s="756"/>
      <c r="R8" s="756"/>
      <c r="S8" s="756"/>
      <c r="T8" s="756"/>
      <c r="U8" s="756"/>
      <c r="V8" s="756"/>
      <c r="W8" s="756"/>
      <c r="X8" s="756"/>
      <c r="Y8" s="756"/>
      <c r="Z8" s="756"/>
      <c r="AA8" s="756"/>
      <c r="AB8" s="756"/>
      <c r="AC8" s="756"/>
      <c r="AD8" s="756"/>
      <c r="AE8" s="756"/>
      <c r="AF8" s="756"/>
      <c r="AG8" s="756"/>
      <c r="AH8" s="756"/>
      <c r="AI8" s="756"/>
      <c r="AJ8" s="756"/>
      <c r="AK8" s="756"/>
    </row>
    <row r="9" spans="1:37">
      <c r="A9" s="756"/>
      <c r="B9" s="756" t="s">
        <v>962</v>
      </c>
      <c r="C9" s="761">
        <f>C10*C5</f>
        <v>15992.766862482398</v>
      </c>
      <c r="D9" s="761">
        <f>D10*D5</f>
        <v>16472.549868356869</v>
      </c>
      <c r="E9" s="761">
        <f>E10*E5</f>
        <v>16966.726364407579</v>
      </c>
      <c r="F9" s="761">
        <f>F10*F5</f>
        <v>17475.728155339806</v>
      </c>
      <c r="G9" s="762">
        <v>18000</v>
      </c>
      <c r="H9" s="761">
        <f t="shared" ref="H9:U9" si="5">H10*H5</f>
        <v>18540</v>
      </c>
      <c r="I9" s="761">
        <f t="shared" si="5"/>
        <v>19096.2</v>
      </c>
      <c r="J9" s="761">
        <f t="shared" si="5"/>
        <v>19669.085999999999</v>
      </c>
      <c r="K9" s="761">
        <f t="shared" si="5"/>
        <v>20259.158579999999</v>
      </c>
      <c r="L9" s="761">
        <f t="shared" si="5"/>
        <v>20866.933337400002</v>
      </c>
      <c r="M9" s="761">
        <f t="shared" si="5"/>
        <v>21492.941337522003</v>
      </c>
      <c r="N9" s="761">
        <f t="shared" si="5"/>
        <v>22137.72957764766</v>
      </c>
      <c r="O9" s="761">
        <f>O10*O5</f>
        <v>22801.86146497709</v>
      </c>
      <c r="P9" s="761">
        <f t="shared" si="5"/>
        <v>23485.917308926404</v>
      </c>
      <c r="Q9" s="761">
        <f t="shared" si="5"/>
        <v>24190.494828194198</v>
      </c>
      <c r="R9" s="761">
        <f t="shared" si="5"/>
        <v>24916.209673040023</v>
      </c>
      <c r="S9" s="761">
        <f t="shared" si="5"/>
        <v>25663.695963231225</v>
      </c>
      <c r="T9" s="761">
        <f t="shared" si="5"/>
        <v>26433.60684212816</v>
      </c>
      <c r="U9" s="761">
        <f t="shared" si="5"/>
        <v>27226.61504739201</v>
      </c>
      <c r="V9" s="761">
        <f>V10*V5</f>
        <v>28043.41349881377</v>
      </c>
      <c r="W9" s="761">
        <f>W10*W5</f>
        <v>28884.715903778182</v>
      </c>
      <c r="X9" s="761">
        <f>X10*X5</f>
        <v>29751.257380891529</v>
      </c>
      <c r="Y9" s="761">
        <f>Y10*Y5</f>
        <v>30643.795102318272</v>
      </c>
      <c r="Z9" s="756"/>
      <c r="AA9" s="756" t="s">
        <v>960</v>
      </c>
      <c r="AB9" s="756"/>
      <c r="AC9" s="756"/>
      <c r="AD9" s="756"/>
      <c r="AE9" s="756"/>
      <c r="AF9" s="756"/>
      <c r="AG9" s="756"/>
      <c r="AH9" s="756"/>
      <c r="AI9" s="756"/>
      <c r="AJ9" s="756"/>
      <c r="AK9" s="756"/>
    </row>
    <row r="10" spans="1:37">
      <c r="A10" s="756"/>
      <c r="B10" s="764" t="s">
        <v>939</v>
      </c>
      <c r="C10" s="765">
        <f>D10</f>
        <v>0.72874493927125505</v>
      </c>
      <c r="D10" s="765">
        <f>E10</f>
        <v>0.72874493927125505</v>
      </c>
      <c r="E10" s="765">
        <f>F10</f>
        <v>0.72874493927125505</v>
      </c>
      <c r="F10" s="765">
        <f>G10</f>
        <v>0.72874493927125505</v>
      </c>
      <c r="G10" s="766">
        <f>G9/G5</f>
        <v>0.72874493927125505</v>
      </c>
      <c r="H10" s="765">
        <f>G10</f>
        <v>0.72874493927125505</v>
      </c>
      <c r="I10" s="765">
        <f t="shared" ref="I10:U10" si="6">H10</f>
        <v>0.72874493927125505</v>
      </c>
      <c r="J10" s="765">
        <f t="shared" si="6"/>
        <v>0.72874493927125505</v>
      </c>
      <c r="K10" s="765">
        <f t="shared" si="6"/>
        <v>0.72874493927125505</v>
      </c>
      <c r="L10" s="765">
        <f t="shared" si="6"/>
        <v>0.72874493927125505</v>
      </c>
      <c r="M10" s="765">
        <f t="shared" si="6"/>
        <v>0.72874493927125505</v>
      </c>
      <c r="N10" s="765">
        <f t="shared" si="6"/>
        <v>0.72874493927125505</v>
      </c>
      <c r="O10" s="765">
        <f t="shared" si="6"/>
        <v>0.72874493927125505</v>
      </c>
      <c r="P10" s="765">
        <f t="shared" si="6"/>
        <v>0.72874493927125505</v>
      </c>
      <c r="Q10" s="765">
        <f t="shared" si="6"/>
        <v>0.72874493927125505</v>
      </c>
      <c r="R10" s="765">
        <f t="shared" si="6"/>
        <v>0.72874493927125505</v>
      </c>
      <c r="S10" s="765">
        <f t="shared" si="6"/>
        <v>0.72874493927125505</v>
      </c>
      <c r="T10" s="765">
        <f t="shared" si="6"/>
        <v>0.72874493927125505</v>
      </c>
      <c r="U10" s="765">
        <f t="shared" si="6"/>
        <v>0.72874493927125505</v>
      </c>
      <c r="V10" s="765">
        <f>U10</f>
        <v>0.72874493927125505</v>
      </c>
      <c r="W10" s="765">
        <f>V10</f>
        <v>0.72874493927125505</v>
      </c>
      <c r="X10" s="765">
        <f>W10</f>
        <v>0.72874493927125505</v>
      </c>
      <c r="Y10" s="765">
        <f>X10</f>
        <v>0.72874493927125505</v>
      </c>
      <c r="Z10" s="756"/>
      <c r="AA10" s="756"/>
      <c r="AB10" s="756"/>
      <c r="AC10" s="756"/>
      <c r="AD10" s="756"/>
      <c r="AE10" s="756"/>
      <c r="AF10" s="756"/>
      <c r="AG10" s="756"/>
      <c r="AH10" s="756"/>
      <c r="AI10" s="756"/>
      <c r="AJ10" s="756"/>
      <c r="AK10" s="756"/>
    </row>
    <row r="11" spans="1:37">
      <c r="A11" s="756"/>
      <c r="B11" s="764"/>
      <c r="C11" s="765"/>
      <c r="D11" s="765"/>
      <c r="E11" s="765"/>
      <c r="F11" s="765"/>
      <c r="G11" s="766"/>
      <c r="H11" s="765"/>
      <c r="I11" s="765"/>
      <c r="J11" s="765"/>
      <c r="K11" s="765"/>
      <c r="L11" s="765"/>
      <c r="M11" s="765"/>
      <c r="N11" s="765"/>
      <c r="O11" s="765"/>
      <c r="P11" s="765"/>
      <c r="Q11" s="765"/>
      <c r="R11" s="765"/>
      <c r="S11" s="765"/>
      <c r="T11" s="765"/>
      <c r="U11" s="765"/>
      <c r="V11" s="765"/>
      <c r="W11" s="765"/>
      <c r="X11" s="765"/>
      <c r="Y11" s="765"/>
      <c r="Z11" s="756"/>
      <c r="AA11" s="756"/>
      <c r="AB11" s="756"/>
      <c r="AC11" s="756"/>
      <c r="AD11" s="756"/>
      <c r="AE11" s="756"/>
      <c r="AF11" s="756"/>
      <c r="AG11" s="756"/>
      <c r="AH11" s="756"/>
      <c r="AI11" s="756"/>
      <c r="AJ11" s="756"/>
      <c r="AK11" s="756"/>
    </row>
    <row r="12" spans="1:37">
      <c r="A12" s="756"/>
      <c r="B12" s="756" t="s">
        <v>963</v>
      </c>
      <c r="C12" s="761">
        <f>C13*C5</f>
        <v>7019.0476785339424</v>
      </c>
      <c r="D12" s="761">
        <f>D13*D5</f>
        <v>7229.6191088899604</v>
      </c>
      <c r="E12" s="761">
        <f>E13*E5</f>
        <v>7446.5076821566599</v>
      </c>
      <c r="F12" s="761">
        <f>F13*F5</f>
        <v>7669.90291262136</v>
      </c>
      <c r="G12" s="762">
        <v>7900</v>
      </c>
      <c r="H12" s="761">
        <f t="shared" ref="H12:U12" si="7">H13*H5</f>
        <v>8137.0000000000009</v>
      </c>
      <c r="I12" s="761">
        <f t="shared" si="7"/>
        <v>8381.11</v>
      </c>
      <c r="J12" s="761">
        <f t="shared" si="7"/>
        <v>8632.5432999999994</v>
      </c>
      <c r="K12" s="761">
        <f t="shared" si="7"/>
        <v>8891.5195990000011</v>
      </c>
      <c r="L12" s="761">
        <f t="shared" si="7"/>
        <v>9158.2651869700021</v>
      </c>
      <c r="M12" s="761">
        <f t="shared" si="7"/>
        <v>9433.0131425791005</v>
      </c>
      <c r="N12" s="761">
        <f t="shared" si="7"/>
        <v>9716.003536856475</v>
      </c>
      <c r="O12" s="761">
        <f t="shared" si="7"/>
        <v>10007.483642962168</v>
      </c>
      <c r="P12" s="761">
        <f t="shared" si="7"/>
        <v>10307.708152251034</v>
      </c>
      <c r="Q12" s="761">
        <f t="shared" si="7"/>
        <v>10616.939396818565</v>
      </c>
      <c r="R12" s="761">
        <f t="shared" si="7"/>
        <v>10935.447578723122</v>
      </c>
      <c r="S12" s="761">
        <f t="shared" si="7"/>
        <v>11263.511006084816</v>
      </c>
      <c r="T12" s="761">
        <f t="shared" si="7"/>
        <v>11601.416336267361</v>
      </c>
      <c r="U12" s="761">
        <f t="shared" si="7"/>
        <v>11949.458826355381</v>
      </c>
      <c r="V12" s="761">
        <f>V13*V5</f>
        <v>12307.942591146044</v>
      </c>
      <c r="W12" s="761">
        <f>W13*W5</f>
        <v>12677.180868880427</v>
      </c>
      <c r="X12" s="761">
        <f>X13*X5</f>
        <v>13057.496294946839</v>
      </c>
      <c r="Y12" s="761">
        <f>Y13*Y5</f>
        <v>13449.221183795244</v>
      </c>
      <c r="Z12" s="756"/>
      <c r="AA12" s="756" t="s">
        <v>960</v>
      </c>
      <c r="AB12" s="756"/>
      <c r="AC12" s="756"/>
      <c r="AD12" s="756"/>
      <c r="AE12" s="756"/>
      <c r="AF12" s="756"/>
      <c r="AG12" s="756"/>
      <c r="AH12" s="756"/>
      <c r="AI12" s="756"/>
      <c r="AJ12" s="756"/>
      <c r="AK12" s="756"/>
    </row>
    <row r="13" spans="1:37">
      <c r="A13" s="756"/>
      <c r="B13" s="764" t="s">
        <v>939</v>
      </c>
      <c r="C13" s="765">
        <f>D13</f>
        <v>0.31983805668016196</v>
      </c>
      <c r="D13" s="765">
        <f>E13</f>
        <v>0.31983805668016196</v>
      </c>
      <c r="E13" s="765">
        <f>F13</f>
        <v>0.31983805668016196</v>
      </c>
      <c r="F13" s="765">
        <f>G13</f>
        <v>0.31983805668016196</v>
      </c>
      <c r="G13" s="766">
        <f>G12/G5</f>
        <v>0.31983805668016196</v>
      </c>
      <c r="H13" s="765">
        <f>G13</f>
        <v>0.31983805668016196</v>
      </c>
      <c r="I13" s="765">
        <f t="shared" ref="I13:U13" si="8">H13</f>
        <v>0.31983805668016196</v>
      </c>
      <c r="J13" s="765">
        <f t="shared" si="8"/>
        <v>0.31983805668016196</v>
      </c>
      <c r="K13" s="765">
        <f t="shared" si="8"/>
        <v>0.31983805668016196</v>
      </c>
      <c r="L13" s="765">
        <f t="shared" si="8"/>
        <v>0.31983805668016196</v>
      </c>
      <c r="M13" s="765">
        <f t="shared" si="8"/>
        <v>0.31983805668016196</v>
      </c>
      <c r="N13" s="765">
        <f t="shared" si="8"/>
        <v>0.31983805668016196</v>
      </c>
      <c r="O13" s="765">
        <f t="shared" si="8"/>
        <v>0.31983805668016196</v>
      </c>
      <c r="P13" s="765">
        <f t="shared" si="8"/>
        <v>0.31983805668016196</v>
      </c>
      <c r="Q13" s="765">
        <f t="shared" si="8"/>
        <v>0.31983805668016196</v>
      </c>
      <c r="R13" s="765">
        <f t="shared" si="8"/>
        <v>0.31983805668016196</v>
      </c>
      <c r="S13" s="765">
        <f t="shared" si="8"/>
        <v>0.31983805668016196</v>
      </c>
      <c r="T13" s="765">
        <f t="shared" si="8"/>
        <v>0.31983805668016196</v>
      </c>
      <c r="U13" s="765">
        <f t="shared" si="8"/>
        <v>0.31983805668016196</v>
      </c>
      <c r="V13" s="765">
        <f>U13</f>
        <v>0.31983805668016196</v>
      </c>
      <c r="W13" s="765">
        <f>V13</f>
        <v>0.31983805668016196</v>
      </c>
      <c r="X13" s="765">
        <f>W13</f>
        <v>0.31983805668016196</v>
      </c>
      <c r="Y13" s="765">
        <f>X13</f>
        <v>0.31983805668016196</v>
      </c>
      <c r="Z13" s="756"/>
      <c r="AA13" s="756"/>
      <c r="AB13" s="756"/>
      <c r="AC13" s="756"/>
      <c r="AD13" s="756"/>
      <c r="AE13" s="756"/>
      <c r="AF13" s="756"/>
      <c r="AG13" s="756"/>
      <c r="AH13" s="756"/>
      <c r="AI13" s="756"/>
      <c r="AJ13" s="756"/>
      <c r="AK13" s="756"/>
    </row>
    <row r="14" spans="1:37">
      <c r="A14" s="756"/>
      <c r="B14" s="764"/>
      <c r="C14" s="765"/>
      <c r="D14" s="765"/>
      <c r="E14" s="765"/>
      <c r="F14" s="765"/>
      <c r="G14" s="766"/>
      <c r="H14" s="765"/>
      <c r="I14" s="765"/>
      <c r="J14" s="765"/>
      <c r="K14" s="765"/>
      <c r="L14" s="765"/>
      <c r="M14" s="765"/>
      <c r="N14" s="765"/>
      <c r="O14" s="765"/>
      <c r="P14" s="765"/>
      <c r="Q14" s="765"/>
      <c r="R14" s="765"/>
      <c r="S14" s="765"/>
      <c r="T14" s="765"/>
      <c r="U14" s="765"/>
      <c r="V14" s="765"/>
      <c r="W14" s="765"/>
      <c r="X14" s="765"/>
      <c r="Y14" s="765"/>
      <c r="Z14" s="756"/>
      <c r="AA14" s="756"/>
      <c r="AB14" s="756"/>
      <c r="AC14" s="756"/>
      <c r="AD14" s="756"/>
      <c r="AE14" s="756"/>
      <c r="AF14" s="756"/>
      <c r="AG14" s="756"/>
      <c r="AH14" s="756"/>
      <c r="AI14" s="756"/>
      <c r="AJ14" s="756"/>
      <c r="AK14" s="756"/>
    </row>
    <row r="15" spans="1:37">
      <c r="A15" s="756"/>
      <c r="B15" s="756" t="s">
        <v>964</v>
      </c>
      <c r="C15" s="761"/>
      <c r="D15" s="767">
        <f>E15*0.95</f>
        <v>4887.0374999999995</v>
      </c>
      <c r="E15" s="767">
        <f>F15*0.95</f>
        <v>5144.25</v>
      </c>
      <c r="F15" s="767">
        <f>G15*0.95</f>
        <v>5415</v>
      </c>
      <c r="G15" s="762">
        <v>5700</v>
      </c>
      <c r="H15" s="761">
        <f>H16*H22</f>
        <v>5988.1251836413094</v>
      </c>
      <c r="I15" s="761">
        <f t="shared" ref="I15:U15" si="9">I16*I22</f>
        <v>6287.4301376376579</v>
      </c>
      <c r="J15" s="761">
        <f t="shared" si="9"/>
        <v>6598.2023417332684</v>
      </c>
      <c r="K15" s="761">
        <f t="shared" si="9"/>
        <v>6920.7410372743416</v>
      </c>
      <c r="L15" s="761">
        <f t="shared" si="9"/>
        <v>7255.3574301671342</v>
      </c>
      <c r="M15" s="761">
        <f t="shared" si="9"/>
        <v>7602.3749074847701</v>
      </c>
      <c r="N15" s="761">
        <f t="shared" si="9"/>
        <v>7962.12926775492</v>
      </c>
      <c r="O15" s="761">
        <f t="shared" si="9"/>
        <v>8334.9689649802385</v>
      </c>
      <c r="P15" s="761">
        <f t="shared" si="9"/>
        <v>8721.2553664629413</v>
      </c>
      <c r="Q15" s="761">
        <f t="shared" si="9"/>
        <v>9121.3630245241384</v>
      </c>
      <c r="R15" s="761">
        <f t="shared" si="9"/>
        <v>9535.6799622273957</v>
      </c>
      <c r="S15" s="761">
        <f t="shared" si="9"/>
        <v>9964.6079732346498</v>
      </c>
      <c r="T15" s="761">
        <f t="shared" si="9"/>
        <v>10408.562935941069</v>
      </c>
      <c r="U15" s="761">
        <f t="shared" si="9"/>
        <v>10867.975142053763</v>
      </c>
      <c r="V15" s="761">
        <f>V16*V22</f>
        <v>11343.289639797244</v>
      </c>
      <c r="W15" s="761">
        <f>W16*W22</f>
        <v>11834.966591946753</v>
      </c>
      <c r="X15" s="761">
        <f>X16*X22</f>
        <v>12343.481648908273</v>
      </c>
      <c r="Y15" s="761">
        <f>Y16*Y22</f>
        <v>12869.326337082102</v>
      </c>
      <c r="Z15" s="756"/>
      <c r="AA15" s="756" t="s">
        <v>960</v>
      </c>
      <c r="AB15" s="756"/>
      <c r="AC15" s="756"/>
      <c r="AD15" s="756"/>
      <c r="AE15" s="756"/>
      <c r="AF15" s="756"/>
      <c r="AG15" s="756"/>
      <c r="AH15" s="756"/>
      <c r="AI15" s="756"/>
      <c r="AJ15" s="756"/>
      <c r="AK15" s="756"/>
    </row>
    <row r="16" spans="1:37">
      <c r="A16" s="756"/>
      <c r="B16" s="764" t="s">
        <v>941</v>
      </c>
      <c r="C16" s="765"/>
      <c r="D16" s="765"/>
      <c r="E16" s="765"/>
      <c r="F16" s="765"/>
      <c r="G16" s="766">
        <f>G15/G22</f>
        <v>5.0923992887526186E-2</v>
      </c>
      <c r="H16" s="765">
        <f>G16</f>
        <v>5.0923992887526186E-2</v>
      </c>
      <c r="I16" s="765">
        <f t="shared" ref="I16:U16" si="10">H16</f>
        <v>5.0923992887526186E-2</v>
      </c>
      <c r="J16" s="765">
        <f t="shared" si="10"/>
        <v>5.0923992887526186E-2</v>
      </c>
      <c r="K16" s="765">
        <f t="shared" si="10"/>
        <v>5.0923992887526186E-2</v>
      </c>
      <c r="L16" s="765">
        <f t="shared" si="10"/>
        <v>5.0923992887526186E-2</v>
      </c>
      <c r="M16" s="765">
        <f t="shared" si="10"/>
        <v>5.0923992887526186E-2</v>
      </c>
      <c r="N16" s="765">
        <f t="shared" si="10"/>
        <v>5.0923992887526186E-2</v>
      </c>
      <c r="O16" s="765">
        <f t="shared" si="10"/>
        <v>5.0923992887526186E-2</v>
      </c>
      <c r="P16" s="765">
        <f t="shared" si="10"/>
        <v>5.0923992887526186E-2</v>
      </c>
      <c r="Q16" s="765">
        <f t="shared" si="10"/>
        <v>5.0923992887526186E-2</v>
      </c>
      <c r="R16" s="765">
        <f t="shared" si="10"/>
        <v>5.0923992887526186E-2</v>
      </c>
      <c r="S16" s="765">
        <f t="shared" si="10"/>
        <v>5.0923992887526186E-2</v>
      </c>
      <c r="T16" s="765">
        <f t="shared" si="10"/>
        <v>5.0923992887526186E-2</v>
      </c>
      <c r="U16" s="765">
        <f t="shared" si="10"/>
        <v>5.0923992887526186E-2</v>
      </c>
      <c r="V16" s="765">
        <f>U16</f>
        <v>5.0923992887526186E-2</v>
      </c>
      <c r="W16" s="765">
        <f>V16</f>
        <v>5.0923992887526186E-2</v>
      </c>
      <c r="X16" s="765">
        <f>W16</f>
        <v>5.0923992887526186E-2</v>
      </c>
      <c r="Y16" s="765">
        <f>X16</f>
        <v>5.0923992887526186E-2</v>
      </c>
      <c r="Z16" s="756"/>
      <c r="AA16" s="756"/>
      <c r="AB16" s="756"/>
      <c r="AC16" s="756"/>
      <c r="AD16" s="756"/>
      <c r="AE16" s="756"/>
      <c r="AF16" s="756"/>
      <c r="AG16" s="756"/>
      <c r="AH16" s="756"/>
      <c r="AI16" s="756"/>
      <c r="AJ16" s="756"/>
      <c r="AK16" s="756"/>
    </row>
    <row r="17" spans="1:32">
      <c r="A17" s="756"/>
      <c r="B17" s="764"/>
      <c r="C17" s="765"/>
      <c r="D17" s="765"/>
      <c r="E17" s="765"/>
      <c r="F17" s="765"/>
      <c r="G17" s="766"/>
      <c r="H17" s="765"/>
      <c r="I17" s="765"/>
      <c r="J17" s="765"/>
      <c r="K17" s="765"/>
      <c r="L17" s="765"/>
      <c r="M17" s="765"/>
      <c r="N17" s="765"/>
      <c r="O17" s="765"/>
      <c r="P17" s="765"/>
      <c r="Q17" s="765"/>
      <c r="R17" s="765"/>
      <c r="S17" s="765"/>
      <c r="T17" s="765"/>
      <c r="U17" s="765"/>
      <c r="V17" s="765"/>
      <c r="W17" s="765"/>
      <c r="X17" s="765"/>
      <c r="Y17" s="765"/>
    </row>
    <row r="18" spans="1:32">
      <c r="A18" s="756"/>
      <c r="B18" s="756" t="s">
        <v>965</v>
      </c>
      <c r="C18" s="756"/>
      <c r="D18" s="756"/>
      <c r="E18" s="756"/>
      <c r="F18" s="756"/>
      <c r="G18" s="756"/>
      <c r="H18" s="756"/>
      <c r="I18" s="756"/>
      <c r="J18" s="756"/>
      <c r="K18" s="756"/>
      <c r="L18" s="756"/>
      <c r="M18" s="756"/>
      <c r="N18" s="756"/>
      <c r="O18" s="756"/>
      <c r="P18" s="756"/>
      <c r="Q18" s="756"/>
      <c r="R18" s="756"/>
      <c r="S18" s="756"/>
      <c r="T18" s="756"/>
      <c r="U18" s="756"/>
      <c r="V18" s="756"/>
      <c r="W18" s="756"/>
      <c r="X18" s="756"/>
      <c r="Y18" s="756"/>
    </row>
    <row r="19" spans="1:32">
      <c r="A19" s="756"/>
      <c r="B19" s="768" t="s">
        <v>496</v>
      </c>
      <c r="C19" s="756"/>
      <c r="D19" s="756"/>
      <c r="E19" s="756"/>
      <c r="F19" s="756"/>
      <c r="G19" s="756"/>
      <c r="H19" s="756"/>
      <c r="I19" s="756"/>
      <c r="J19" s="756"/>
      <c r="K19" s="756"/>
      <c r="L19" s="756"/>
      <c r="M19" s="756"/>
      <c r="N19" s="756"/>
      <c r="O19" s="756"/>
      <c r="P19" s="756"/>
      <c r="Q19" s="756"/>
      <c r="R19" s="756"/>
      <c r="S19" s="756"/>
      <c r="T19" s="756"/>
      <c r="U19" s="756"/>
      <c r="V19" s="756"/>
      <c r="W19" s="756"/>
      <c r="X19" s="756"/>
      <c r="Y19" s="756"/>
    </row>
    <row r="20" spans="1:32">
      <c r="A20" s="756"/>
      <c r="B20" s="764" t="s">
        <v>943</v>
      </c>
      <c r="C20" s="761">
        <f t="shared" ref="C20:U20" si="11">C5-C9</f>
        <v>5952.8632210351152</v>
      </c>
      <c r="D20" s="761">
        <f t="shared" si="11"/>
        <v>6131.4491176661686</v>
      </c>
      <c r="E20" s="761">
        <f t="shared" si="11"/>
        <v>6315.3925911961524</v>
      </c>
      <c r="F20" s="761">
        <f t="shared" si="11"/>
        <v>6504.8543689320395</v>
      </c>
      <c r="G20" s="761">
        <f t="shared" si="11"/>
        <v>6700</v>
      </c>
      <c r="H20" s="761">
        <f t="shared" si="11"/>
        <v>6901</v>
      </c>
      <c r="I20" s="761">
        <f t="shared" si="11"/>
        <v>7108.0299999999988</v>
      </c>
      <c r="J20" s="761">
        <f t="shared" si="11"/>
        <v>7321.2708999999995</v>
      </c>
      <c r="K20" s="761">
        <f t="shared" si="11"/>
        <v>7540.9090270000015</v>
      </c>
      <c r="L20" s="761">
        <f t="shared" si="11"/>
        <v>7767.1362978100005</v>
      </c>
      <c r="M20" s="761">
        <f t="shared" si="11"/>
        <v>8000.1503867442989</v>
      </c>
      <c r="N20" s="761">
        <f t="shared" si="11"/>
        <v>8240.1548983466309</v>
      </c>
      <c r="O20" s="761">
        <f t="shared" si="11"/>
        <v>8487.3595452970294</v>
      </c>
      <c r="P20" s="761">
        <f t="shared" si="11"/>
        <v>8741.980331655941</v>
      </c>
      <c r="Q20" s="761">
        <f t="shared" si="11"/>
        <v>9004.2397416056192</v>
      </c>
      <c r="R20" s="761">
        <f t="shared" si="11"/>
        <v>9274.3669338537875</v>
      </c>
      <c r="S20" s="761">
        <f t="shared" si="11"/>
        <v>9552.5979418694005</v>
      </c>
      <c r="T20" s="761">
        <f t="shared" si="11"/>
        <v>9839.1758801254837</v>
      </c>
      <c r="U20" s="761">
        <f t="shared" si="11"/>
        <v>10134.351156529247</v>
      </c>
      <c r="V20" s="761">
        <f>V5-V9</f>
        <v>10438.381691225124</v>
      </c>
      <c r="W20" s="761">
        <f>W5-W9</f>
        <v>10751.533141961881</v>
      </c>
      <c r="X20" s="761">
        <f>X5-X9</f>
        <v>11074.079136220735</v>
      </c>
      <c r="Y20" s="761">
        <f>Y5-Y9</f>
        <v>11406.301510307359</v>
      </c>
    </row>
    <row r="21" spans="1:32">
      <c r="A21" s="756"/>
      <c r="B21" s="764" t="s">
        <v>944</v>
      </c>
      <c r="C21" s="761"/>
      <c r="D21" s="761"/>
      <c r="E21" s="761"/>
      <c r="F21" s="761"/>
      <c r="G21" s="761">
        <f>G20+F20+E20+D20+C20</f>
        <v>31604.559298829474</v>
      </c>
      <c r="H21" s="761">
        <f t="shared" ref="H21:U21" si="12">H20+G20+F20+E20+D20</f>
        <v>32552.69607779436</v>
      </c>
      <c r="I21" s="761">
        <f t="shared" si="12"/>
        <v>33529.276960128191</v>
      </c>
      <c r="J21" s="761">
        <f t="shared" si="12"/>
        <v>34535.155268932038</v>
      </c>
      <c r="K21" s="761">
        <f t="shared" si="12"/>
        <v>35571.209927000004</v>
      </c>
      <c r="L21" s="761">
        <f t="shared" si="12"/>
        <v>36638.346224809997</v>
      </c>
      <c r="M21" s="761">
        <f t="shared" si="12"/>
        <v>37737.496611554299</v>
      </c>
      <c r="N21" s="761">
        <f t="shared" si="12"/>
        <v>38869.621509900928</v>
      </c>
      <c r="O21" s="761">
        <f t="shared" si="12"/>
        <v>40035.710155197958</v>
      </c>
      <c r="P21" s="761">
        <f t="shared" si="12"/>
        <v>41236.781459853904</v>
      </c>
      <c r="Q21" s="761">
        <f t="shared" si="12"/>
        <v>42473.884903649523</v>
      </c>
      <c r="R21" s="761">
        <f t="shared" si="12"/>
        <v>43748.101450759015</v>
      </c>
      <c r="S21" s="761">
        <f t="shared" si="12"/>
        <v>45060.544494281785</v>
      </c>
      <c r="T21" s="761">
        <f t="shared" si="12"/>
        <v>46412.360829110228</v>
      </c>
      <c r="U21" s="761">
        <f t="shared" si="12"/>
        <v>47804.731653983537</v>
      </c>
      <c r="V21" s="761">
        <f>V20+U20+T20+S20+R20</f>
        <v>49238.873603603046</v>
      </c>
      <c r="W21" s="761">
        <f>W20+V20+U20+T20+S20</f>
        <v>50716.039811711133</v>
      </c>
      <c r="X21" s="761">
        <f>X20+W20+V20+U20+T20</f>
        <v>52237.521006062474</v>
      </c>
      <c r="Y21" s="761">
        <f>Y20+X20+W20+V20+U20</f>
        <v>53804.646636244346</v>
      </c>
    </row>
    <row r="22" spans="1:32">
      <c r="A22" s="756"/>
      <c r="B22" s="764" t="s">
        <v>945</v>
      </c>
      <c r="C22" s="761"/>
      <c r="D22" s="761"/>
      <c r="E22" s="761"/>
      <c r="F22" s="761"/>
      <c r="G22" s="761">
        <f t="shared" ref="G22:U22" si="13">G4-G5-G21*G5/G9</f>
        <v>111931.52140660622</v>
      </c>
      <c r="H22" s="761">
        <f t="shared" si="13"/>
        <v>117589.46704880439</v>
      </c>
      <c r="I22" s="761">
        <f t="shared" si="13"/>
        <v>123466.95106026852</v>
      </c>
      <c r="J22" s="761">
        <f t="shared" si="13"/>
        <v>129569.6187120766</v>
      </c>
      <c r="K22" s="761">
        <f t="shared" si="13"/>
        <v>135903.34623916686</v>
      </c>
      <c r="L22" s="761">
        <f t="shared" si="13"/>
        <v>142474.24482584774</v>
      </c>
      <c r="M22" s="761">
        <f t="shared" si="13"/>
        <v>149288.66485932938</v>
      </c>
      <c r="N22" s="761">
        <f t="shared" si="13"/>
        <v>156353.20045190802</v>
      </c>
      <c r="O22" s="761">
        <f t="shared" si="13"/>
        <v>163674.69423282176</v>
      </c>
      <c r="P22" s="761">
        <f t="shared" si="13"/>
        <v>171260.24241118002</v>
      </c>
      <c r="Q22" s="761">
        <f t="shared" si="13"/>
        <v>179117.20011174562</v>
      </c>
      <c r="R22" s="761">
        <f t="shared" si="13"/>
        <v>187253.1869857196</v>
      </c>
      <c r="S22" s="761">
        <f t="shared" si="13"/>
        <v>195676.0930990444</v>
      </c>
      <c r="T22" s="761">
        <f t="shared" si="13"/>
        <v>204394.08510110452</v>
      </c>
      <c r="U22" s="761">
        <f t="shared" si="13"/>
        <v>213415.61267706228</v>
      </c>
      <c r="V22" s="761">
        <f>V4-V5-V21*V5/V9</f>
        <v>222749.415287421</v>
      </c>
      <c r="W22" s="761">
        <f>W4-W5-W21*W5/W9</f>
        <v>232404.52919876447</v>
      </c>
      <c r="X22" s="761">
        <f>X4-X5-X21*X5/X9</f>
        <v>242390.29480996972</v>
      </c>
      <c r="Y22" s="761">
        <f>Y4-Y5-Y21*Y5/Y9</f>
        <v>252716.36427854499</v>
      </c>
    </row>
    <row r="23" spans="1:32">
      <c r="A23" s="756"/>
      <c r="B23" s="756"/>
      <c r="C23" s="756"/>
      <c r="D23" s="756"/>
      <c r="E23" s="756"/>
      <c r="F23" s="756"/>
      <c r="G23" s="756"/>
      <c r="H23" s="756"/>
      <c r="I23" s="756"/>
      <c r="J23" s="756"/>
      <c r="K23" s="756"/>
      <c r="L23" s="756"/>
      <c r="M23" s="756"/>
      <c r="N23" s="756"/>
      <c r="O23" s="756"/>
      <c r="P23" s="756"/>
      <c r="Q23" s="756"/>
      <c r="R23" s="756"/>
      <c r="S23" s="756"/>
      <c r="T23" s="756"/>
      <c r="U23" s="756"/>
      <c r="V23" s="756"/>
      <c r="W23" s="756"/>
      <c r="X23" s="756"/>
      <c r="Y23" s="756"/>
    </row>
    <row r="24" spans="1:32">
      <c r="A24" s="756"/>
      <c r="B24" s="756" t="s">
        <v>946</v>
      </c>
      <c r="C24" s="761">
        <f>C6*80%</f>
        <v>6927.5658240000012</v>
      </c>
      <c r="D24" s="761">
        <f>D6*80%</f>
        <v>6791.7312000000011</v>
      </c>
      <c r="E24" s="761">
        <f>E6*80%</f>
        <v>6658.5600000000013</v>
      </c>
      <c r="F24" s="761">
        <f>F6*80%</f>
        <v>6528</v>
      </c>
      <c r="G24" s="761">
        <f>G6*50%</f>
        <v>4000</v>
      </c>
      <c r="H24" s="761">
        <f t="shared" ref="H24:Y24" si="14">H6*50%</f>
        <v>4037.6</v>
      </c>
      <c r="I24" s="761">
        <f t="shared" si="14"/>
        <v>4075.5534400000001</v>
      </c>
      <c r="J24" s="761">
        <f t="shared" si="14"/>
        <v>4113.8636423360003</v>
      </c>
      <c r="K24" s="761">
        <f t="shared" si="14"/>
        <v>4152.5339605739591</v>
      </c>
      <c r="L24" s="761">
        <f t="shared" si="14"/>
        <v>4191.5677798033548</v>
      </c>
      <c r="M24" s="761">
        <f t="shared" si="14"/>
        <v>4230.9685169335053</v>
      </c>
      <c r="N24" s="761">
        <f t="shared" si="14"/>
        <v>4270.739620992681</v>
      </c>
      <c r="O24" s="761">
        <f t="shared" si="14"/>
        <v>4310.8845734300112</v>
      </c>
      <c r="P24" s="761">
        <f t="shared" si="14"/>
        <v>4351.4068884202534</v>
      </c>
      <c r="Q24" s="761">
        <f t="shared" si="14"/>
        <v>4392.3101131714047</v>
      </c>
      <c r="R24" s="761">
        <f t="shared" si="14"/>
        <v>4433.5978282352162</v>
      </c>
      <c r="S24" s="761">
        <f t="shared" si="14"/>
        <v>4475.273647820627</v>
      </c>
      <c r="T24" s="761">
        <f t="shared" si="14"/>
        <v>4517.341220110141</v>
      </c>
      <c r="U24" s="761">
        <f t="shared" si="14"/>
        <v>4559.8042275791768</v>
      </c>
      <c r="V24" s="761">
        <f t="shared" si="14"/>
        <v>4602.6663873184207</v>
      </c>
      <c r="W24" s="761">
        <f t="shared" si="14"/>
        <v>4645.9314513592135</v>
      </c>
      <c r="X24" s="761">
        <f t="shared" si="14"/>
        <v>4689.6032070019901</v>
      </c>
      <c r="Y24" s="761">
        <f t="shared" si="14"/>
        <v>4733.6854771478083</v>
      </c>
    </row>
    <row r="25" spans="1:32">
      <c r="A25" s="756"/>
      <c r="B25" s="764" t="s">
        <v>947</v>
      </c>
      <c r="C25" s="765"/>
      <c r="D25" s="765"/>
      <c r="E25" s="765"/>
      <c r="F25" s="765"/>
      <c r="G25" s="765">
        <f>G24/G15</f>
        <v>0.70175438596491224</v>
      </c>
      <c r="H25" s="765">
        <f t="shared" ref="H25:Y25" si="15">H24/H15</f>
        <v>0.67426780105234574</v>
      </c>
      <c r="I25" s="765">
        <f t="shared" si="15"/>
        <v>0.64820655669842331</v>
      </c>
      <c r="J25" s="765">
        <f t="shared" si="15"/>
        <v>0.62348249254437649</v>
      </c>
      <c r="K25" s="765">
        <f t="shared" si="15"/>
        <v>0.60001290876350855</v>
      </c>
      <c r="L25" s="765">
        <f t="shared" si="15"/>
        <v>0.57772037010543231</v>
      </c>
      <c r="M25" s="765">
        <f t="shared" si="15"/>
        <v>0.55653247418355911</v>
      </c>
      <c r="N25" s="765">
        <f t="shared" si="15"/>
        <v>0.53638159810948416</v>
      </c>
      <c r="O25" s="765">
        <f t="shared" si="15"/>
        <v>0.51720463405951411</v>
      </c>
      <c r="P25" s="765">
        <f t="shared" si="15"/>
        <v>0.49894272161245556</v>
      </c>
      <c r="Q25" s="765">
        <f t="shared" si="15"/>
        <v>0.48154098256609534</v>
      </c>
      <c r="R25" s="765">
        <f t="shared" si="15"/>
        <v>0.46494826229461589</v>
      </c>
      <c r="S25" s="765">
        <f t="shared" si="15"/>
        <v>0.44911688044741926</v>
      </c>
      <c r="T25" s="765">
        <f t="shared" si="15"/>
        <v>0.43400239282904568</v>
      </c>
      <c r="U25" s="765">
        <f t="shared" si="15"/>
        <v>0.41956336557441676</v>
      </c>
      <c r="V25" s="765">
        <f t="shared" si="15"/>
        <v>0.40576116219145503</v>
      </c>
      <c r="W25" s="765">
        <f t="shared" si="15"/>
        <v>0.3925597436430952</v>
      </c>
      <c r="X25" s="765">
        <f t="shared" si="15"/>
        <v>0.37992548135045551</v>
      </c>
      <c r="Y25" s="765">
        <f t="shared" si="15"/>
        <v>0.36782698279303172</v>
      </c>
    </row>
    <row r="26" spans="1:32">
      <c r="A26" s="756"/>
      <c r="B26" s="764"/>
      <c r="C26" s="765"/>
      <c r="D26" s="765"/>
      <c r="E26" s="765"/>
      <c r="F26" s="765"/>
      <c r="G26" s="765"/>
      <c r="H26" s="765"/>
      <c r="I26" s="765"/>
      <c r="J26" s="765"/>
      <c r="K26" s="765"/>
      <c r="L26" s="765"/>
      <c r="M26" s="765"/>
      <c r="N26" s="765"/>
      <c r="O26" s="765"/>
      <c r="P26" s="765"/>
      <c r="Q26" s="765"/>
      <c r="R26" s="765"/>
      <c r="S26" s="765"/>
      <c r="T26" s="765"/>
      <c r="U26" s="765"/>
      <c r="V26" s="765"/>
      <c r="W26" s="765"/>
      <c r="X26" s="765"/>
      <c r="Y26" s="765"/>
    </row>
    <row r="27" spans="1:32">
      <c r="A27" s="756"/>
      <c r="B27" s="769" t="s">
        <v>423</v>
      </c>
      <c r="C27" s="770"/>
      <c r="D27" s="770"/>
      <c r="E27" s="770"/>
      <c r="F27" s="770"/>
      <c r="G27" s="771">
        <f>G24+G15*0.35</f>
        <v>5995</v>
      </c>
      <c r="H27" s="771">
        <f t="shared" ref="H27:Y27" si="16">H24+H15*0.35</f>
        <v>6133.4438142744584</v>
      </c>
      <c r="I27" s="771">
        <f t="shared" si="16"/>
        <v>6276.1539881731806</v>
      </c>
      <c r="J27" s="771">
        <f t="shared" si="16"/>
        <v>6423.234461942644</v>
      </c>
      <c r="K27" s="771">
        <f t="shared" si="16"/>
        <v>6574.7933236199788</v>
      </c>
      <c r="L27" s="771">
        <f t="shared" si="16"/>
        <v>6730.9428803618521</v>
      </c>
      <c r="M27" s="771">
        <f t="shared" si="16"/>
        <v>6891.7997345531749</v>
      </c>
      <c r="N27" s="771">
        <f t="shared" si="16"/>
        <v>7057.484864706903</v>
      </c>
      <c r="O27" s="771">
        <f t="shared" si="16"/>
        <v>7228.1237111730943</v>
      </c>
      <c r="P27" s="771">
        <f t="shared" si="16"/>
        <v>7403.8462666822825</v>
      </c>
      <c r="Q27" s="771">
        <f t="shared" si="16"/>
        <v>7584.7871717548533</v>
      </c>
      <c r="R27" s="771">
        <f t="shared" si="16"/>
        <v>7771.0858150148051</v>
      </c>
      <c r="S27" s="771">
        <f t="shared" si="16"/>
        <v>7962.8864384527542</v>
      </c>
      <c r="T27" s="771">
        <f t="shared" si="16"/>
        <v>8160.3382476895149</v>
      </c>
      <c r="U27" s="771">
        <f t="shared" si="16"/>
        <v>8363.5955272979936</v>
      </c>
      <c r="V27" s="771">
        <f t="shared" si="16"/>
        <v>8572.8177612474556</v>
      </c>
      <c r="W27" s="771">
        <f t="shared" si="16"/>
        <v>8788.1697585405782</v>
      </c>
      <c r="X27" s="771">
        <f t="shared" si="16"/>
        <v>9009.8217841198857</v>
      </c>
      <c r="Y27" s="771">
        <f t="shared" si="16"/>
        <v>9237.9496951265428</v>
      </c>
    </row>
    <row r="28" spans="1:32">
      <c r="A28" s="756"/>
      <c r="B28" s="769" t="s">
        <v>424</v>
      </c>
      <c r="C28" s="770"/>
      <c r="D28" s="770"/>
      <c r="E28" s="770"/>
      <c r="F28" s="770"/>
      <c r="G28" s="771">
        <f>G24+G15*0.1</f>
        <v>4570</v>
      </c>
      <c r="H28" s="771">
        <f t="shared" ref="H28:Y28" si="17">H24+H15*0.1</f>
        <v>4636.4125183641308</v>
      </c>
      <c r="I28" s="771">
        <f t="shared" si="17"/>
        <v>4704.2964537637663</v>
      </c>
      <c r="J28" s="771">
        <f t="shared" si="17"/>
        <v>4773.6838765093271</v>
      </c>
      <c r="K28" s="771">
        <f t="shared" si="17"/>
        <v>4844.6080643013938</v>
      </c>
      <c r="L28" s="771">
        <f t="shared" si="17"/>
        <v>4917.1035228200681</v>
      </c>
      <c r="M28" s="771">
        <f t="shared" si="17"/>
        <v>4991.2060076819826</v>
      </c>
      <c r="N28" s="771">
        <f t="shared" si="17"/>
        <v>5066.9525477681727</v>
      </c>
      <c r="O28" s="771">
        <f t="shared" si="17"/>
        <v>5144.3814699280356</v>
      </c>
      <c r="P28" s="771">
        <f t="shared" si="17"/>
        <v>5223.5324250665471</v>
      </c>
      <c r="Q28" s="771">
        <f t="shared" si="17"/>
        <v>5304.4464156238191</v>
      </c>
      <c r="R28" s="771">
        <f t="shared" si="17"/>
        <v>5387.1658244579558</v>
      </c>
      <c r="S28" s="771">
        <f t="shared" si="17"/>
        <v>5471.7344451440922</v>
      </c>
      <c r="T28" s="771">
        <f t="shared" si="17"/>
        <v>5558.1975137042482</v>
      </c>
      <c r="U28" s="771">
        <f t="shared" si="17"/>
        <v>5646.6017417845533</v>
      </c>
      <c r="V28" s="771">
        <f t="shared" si="17"/>
        <v>5736.9953512981447</v>
      </c>
      <c r="W28" s="771">
        <f t="shared" si="17"/>
        <v>5829.4281105538885</v>
      </c>
      <c r="X28" s="771">
        <f t="shared" si="17"/>
        <v>5923.9513718928174</v>
      </c>
      <c r="Y28" s="771">
        <f t="shared" si="17"/>
        <v>6020.6181108560186</v>
      </c>
    </row>
    <row r="29" spans="1:32">
      <c r="A29" s="756"/>
      <c r="B29" s="769" t="s">
        <v>425</v>
      </c>
      <c r="C29" s="770"/>
      <c r="D29" s="770"/>
      <c r="E29" s="770"/>
      <c r="F29" s="770"/>
      <c r="G29" s="771">
        <f>G24</f>
        <v>4000</v>
      </c>
      <c r="H29" s="771">
        <f t="shared" ref="H29:Y29" si="18">H24</f>
        <v>4037.6</v>
      </c>
      <c r="I29" s="771">
        <f t="shared" si="18"/>
        <v>4075.5534400000001</v>
      </c>
      <c r="J29" s="771">
        <f t="shared" si="18"/>
        <v>4113.8636423360003</v>
      </c>
      <c r="K29" s="771">
        <f t="shared" si="18"/>
        <v>4152.5339605739591</v>
      </c>
      <c r="L29" s="771">
        <f t="shared" si="18"/>
        <v>4191.5677798033548</v>
      </c>
      <c r="M29" s="771">
        <f t="shared" si="18"/>
        <v>4230.9685169335053</v>
      </c>
      <c r="N29" s="771">
        <f t="shared" si="18"/>
        <v>4270.739620992681</v>
      </c>
      <c r="O29" s="771">
        <f t="shared" si="18"/>
        <v>4310.8845734300112</v>
      </c>
      <c r="P29" s="771">
        <f t="shared" si="18"/>
        <v>4351.4068884202534</v>
      </c>
      <c r="Q29" s="771">
        <f t="shared" si="18"/>
        <v>4392.3101131714047</v>
      </c>
      <c r="R29" s="771">
        <f t="shared" si="18"/>
        <v>4433.5978282352162</v>
      </c>
      <c r="S29" s="771">
        <f t="shared" si="18"/>
        <v>4475.273647820627</v>
      </c>
      <c r="T29" s="771">
        <f t="shared" si="18"/>
        <v>4517.341220110141</v>
      </c>
      <c r="U29" s="771">
        <f t="shared" si="18"/>
        <v>4559.8042275791768</v>
      </c>
      <c r="V29" s="771">
        <f t="shared" si="18"/>
        <v>4602.6663873184207</v>
      </c>
      <c r="W29" s="771">
        <f t="shared" si="18"/>
        <v>4645.9314513592135</v>
      </c>
      <c r="X29" s="771">
        <f t="shared" si="18"/>
        <v>4689.6032070019901</v>
      </c>
      <c r="Y29" s="771">
        <f t="shared" si="18"/>
        <v>4733.6854771478083</v>
      </c>
    </row>
    <row r="30" spans="1:32">
      <c r="A30" s="793" t="s">
        <v>578</v>
      </c>
      <c r="B30" s="772" t="s">
        <v>948</v>
      </c>
      <c r="C30" s="770"/>
      <c r="D30" s="770"/>
      <c r="E30" s="770"/>
      <c r="F30" s="770"/>
      <c r="G30" s="773">
        <f>CHOOSE(DCF!$C$25,'US FL'!G27,'US FL'!G28,'US FL'!G29)</f>
        <v>4570</v>
      </c>
      <c r="H30" s="773">
        <f>CHOOSE(DCF!$C$25,'US FL'!H27,'US FL'!H28,'US FL'!H29)</f>
        <v>4636.4125183641308</v>
      </c>
      <c r="I30" s="773">
        <f>CHOOSE(DCF!$C$25,'US FL'!I27,'US FL'!I28,'US FL'!I29)</f>
        <v>4704.2964537637663</v>
      </c>
      <c r="J30" s="773">
        <f>CHOOSE(DCF!$C$25,'US FL'!J27,'US FL'!J28,'US FL'!J29)</f>
        <v>4773.6838765093271</v>
      </c>
      <c r="K30" s="773">
        <f>CHOOSE(DCF!$C$25,'US FL'!K27,'US FL'!K28,'US FL'!K29)</f>
        <v>4844.6080643013938</v>
      </c>
      <c r="L30" s="773">
        <f>CHOOSE(DCF!$C$25,'US FL'!L27,'US FL'!L28,'US FL'!L29)</f>
        <v>4917.1035228200681</v>
      </c>
      <c r="M30" s="773">
        <f>CHOOSE(DCF!$C$25,'US FL'!M27,'US FL'!M28,'US FL'!M29)</f>
        <v>4991.2060076819826</v>
      </c>
      <c r="N30" s="773">
        <f>CHOOSE(DCF!$C$25,'US FL'!N27,'US FL'!N28,'US FL'!N29)</f>
        <v>5066.9525477681727</v>
      </c>
      <c r="O30" s="773">
        <f>CHOOSE(DCF!$C$25,'US FL'!O27,'US FL'!O28,'US FL'!O29)</f>
        <v>5144.3814699280356</v>
      </c>
      <c r="P30" s="773">
        <f>CHOOSE(DCF!$C$25,'US FL'!P27,'US FL'!P28,'US FL'!P29)</f>
        <v>5223.5324250665471</v>
      </c>
      <c r="Q30" s="773">
        <f>CHOOSE(DCF!$C$25,'US FL'!Q27,'US FL'!Q28,'US FL'!Q29)</f>
        <v>5304.4464156238191</v>
      </c>
      <c r="R30" s="773">
        <f>CHOOSE(DCF!$C$25,'US FL'!R27,'US FL'!R28,'US FL'!R29)</f>
        <v>5387.1658244579558</v>
      </c>
      <c r="S30" s="773">
        <f>CHOOSE(DCF!$C$25,'US FL'!S27,'US FL'!S28,'US FL'!S29)</f>
        <v>5471.7344451440922</v>
      </c>
      <c r="T30" s="773">
        <f>CHOOSE(DCF!$C$25,'US FL'!T27,'US FL'!T28,'US FL'!T29)</f>
        <v>5558.1975137042482</v>
      </c>
      <c r="U30" s="773">
        <f>CHOOSE(DCF!$C$25,'US FL'!U27,'US FL'!U28,'US FL'!U29)</f>
        <v>5646.6017417845533</v>
      </c>
      <c r="V30" s="773">
        <f>CHOOSE(DCF!$C$25,'US FL'!V27,'US FL'!V28,'US FL'!V29)</f>
        <v>5736.9953512981447</v>
      </c>
      <c r="W30" s="773">
        <f>CHOOSE(DCF!$C$25,'US FL'!W27,'US FL'!W28,'US FL'!W29)</f>
        <v>5829.4281105538885</v>
      </c>
      <c r="X30" s="773">
        <f>CHOOSE(DCF!$C$25,'US FL'!X27,'US FL'!X28,'US FL'!X29)</f>
        <v>5923.9513718928174</v>
      </c>
      <c r="Y30" s="773">
        <f>CHOOSE(DCF!$C$25,'US FL'!Y27,'US FL'!Y28,'US FL'!Y29)</f>
        <v>6020.6181108560186</v>
      </c>
    </row>
    <row r="32" spans="1:32">
      <c r="B32" s="758" t="s">
        <v>949</v>
      </c>
      <c r="C32" s="759"/>
      <c r="D32" s="759"/>
      <c r="E32" s="759"/>
      <c r="F32" s="759"/>
      <c r="G32" s="759"/>
      <c r="H32" s="759"/>
      <c r="I32" s="759"/>
      <c r="J32" s="759"/>
      <c r="K32" s="759"/>
      <c r="L32" s="759"/>
      <c r="M32" s="759"/>
      <c r="N32" s="759"/>
      <c r="O32" s="759"/>
      <c r="P32" s="759"/>
      <c r="Q32" s="759"/>
      <c r="R32" s="759"/>
      <c r="S32" s="759"/>
      <c r="T32" s="759"/>
      <c r="U32" s="759"/>
      <c r="V32" s="759"/>
      <c r="W32" s="759"/>
      <c r="X32" s="759"/>
      <c r="Y32" s="759"/>
      <c r="Z32" s="756"/>
      <c r="AA32" s="756"/>
      <c r="AB32" s="756"/>
      <c r="AC32" s="756"/>
      <c r="AD32" s="756"/>
      <c r="AE32" s="756"/>
      <c r="AF32" s="756"/>
    </row>
    <row r="33" spans="2:32">
      <c r="B33" s="768" t="s">
        <v>950</v>
      </c>
      <c r="C33" s="756"/>
      <c r="D33" s="756"/>
      <c r="E33" s="756"/>
      <c r="F33" s="756"/>
      <c r="G33" s="766"/>
      <c r="H33" s="766"/>
      <c r="I33" s="766"/>
      <c r="J33" s="766"/>
      <c r="K33" s="766"/>
      <c r="L33" s="766"/>
      <c r="M33" s="774">
        <v>0</v>
      </c>
      <c r="N33" s="775">
        <v>0</v>
      </c>
      <c r="O33" s="775">
        <v>0</v>
      </c>
      <c r="P33" s="775">
        <v>0.1</v>
      </c>
      <c r="Q33" s="775">
        <v>0.2</v>
      </c>
      <c r="R33" s="775">
        <v>0.3</v>
      </c>
      <c r="S33" s="775">
        <v>0.4</v>
      </c>
      <c r="T33" s="775">
        <f>S33</f>
        <v>0.4</v>
      </c>
      <c r="U33" s="775">
        <f t="shared" ref="U33:Y33" si="19">T33</f>
        <v>0.4</v>
      </c>
      <c r="V33" s="775">
        <f t="shared" si="19"/>
        <v>0.4</v>
      </c>
      <c r="W33" s="775">
        <f t="shared" si="19"/>
        <v>0.4</v>
      </c>
      <c r="X33" s="775">
        <f t="shared" si="19"/>
        <v>0.4</v>
      </c>
      <c r="Y33" s="775">
        <f t="shared" si="19"/>
        <v>0.4</v>
      </c>
      <c r="Z33" s="774"/>
      <c r="AA33" s="756"/>
      <c r="AB33" s="756"/>
      <c r="AC33" s="756"/>
      <c r="AD33" s="756"/>
      <c r="AE33" s="756"/>
      <c r="AF33" s="756"/>
    </row>
    <row r="34" spans="2:32" hidden="1" outlineLevel="1">
      <c r="B34" s="855" t="s">
        <v>423</v>
      </c>
      <c r="C34" s="856"/>
      <c r="D34" s="856"/>
      <c r="E34" s="856"/>
      <c r="F34" s="856"/>
      <c r="G34" s="856"/>
      <c r="H34" s="856"/>
      <c r="I34" s="856"/>
      <c r="J34" s="856"/>
      <c r="K34" s="856"/>
      <c r="L34" s="856"/>
      <c r="M34" s="856"/>
      <c r="N34" s="987">
        <v>1</v>
      </c>
      <c r="O34" s="987">
        <v>0.8</v>
      </c>
      <c r="P34" s="987">
        <v>0.75</v>
      </c>
      <c r="Q34" s="987">
        <f>P34</f>
        <v>0.75</v>
      </c>
      <c r="R34" s="987">
        <f t="shared" ref="R34:Y34" si="20">Q34</f>
        <v>0.75</v>
      </c>
      <c r="S34" s="987">
        <f t="shared" si="20"/>
        <v>0.75</v>
      </c>
      <c r="T34" s="987">
        <f t="shared" si="20"/>
        <v>0.75</v>
      </c>
      <c r="U34" s="987">
        <f t="shared" si="20"/>
        <v>0.75</v>
      </c>
      <c r="V34" s="987">
        <f t="shared" si="20"/>
        <v>0.75</v>
      </c>
      <c r="W34" s="987">
        <f t="shared" si="20"/>
        <v>0.75</v>
      </c>
      <c r="X34" s="987">
        <f t="shared" si="20"/>
        <v>0.75</v>
      </c>
      <c r="Y34" s="987">
        <f t="shared" si="20"/>
        <v>0.75</v>
      </c>
      <c r="Z34" s="774"/>
      <c r="AA34" s="756"/>
      <c r="AB34" s="756"/>
      <c r="AC34" s="756"/>
      <c r="AD34" s="756"/>
      <c r="AE34" s="756"/>
      <c r="AF34" s="756"/>
    </row>
    <row r="35" spans="2:32" hidden="1" outlineLevel="1">
      <c r="B35" s="855" t="s">
        <v>424</v>
      </c>
      <c r="C35" s="856"/>
      <c r="D35" s="856"/>
      <c r="E35" s="856"/>
      <c r="F35" s="856"/>
      <c r="G35" s="856"/>
      <c r="H35" s="856"/>
      <c r="I35" s="856"/>
      <c r="J35" s="856"/>
      <c r="K35" s="856"/>
      <c r="L35" s="856"/>
      <c r="M35" s="856"/>
      <c r="N35" s="856"/>
      <c r="O35" s="987">
        <v>0.8</v>
      </c>
      <c r="P35" s="987">
        <v>0.7</v>
      </c>
      <c r="Q35" s="987">
        <v>0.6</v>
      </c>
      <c r="R35" s="987">
        <v>0.5</v>
      </c>
      <c r="S35" s="987">
        <v>0.4</v>
      </c>
      <c r="T35" s="987">
        <f>S35</f>
        <v>0.4</v>
      </c>
      <c r="U35" s="987">
        <f t="shared" ref="U35:Y35" si="21">T35</f>
        <v>0.4</v>
      </c>
      <c r="V35" s="987">
        <f t="shared" si="21"/>
        <v>0.4</v>
      </c>
      <c r="W35" s="987">
        <f t="shared" si="21"/>
        <v>0.4</v>
      </c>
      <c r="X35" s="987">
        <f t="shared" si="21"/>
        <v>0.4</v>
      </c>
      <c r="Y35" s="987">
        <f t="shared" si="21"/>
        <v>0.4</v>
      </c>
      <c r="Z35" s="774"/>
      <c r="AA35" s="756"/>
      <c r="AB35" s="756"/>
      <c r="AC35" s="756"/>
      <c r="AD35" s="756"/>
      <c r="AE35" s="756"/>
      <c r="AF35" s="756"/>
    </row>
    <row r="36" spans="2:32" hidden="1" outlineLevel="1">
      <c r="B36" s="855" t="s">
        <v>425</v>
      </c>
      <c r="C36" s="856"/>
      <c r="D36" s="856"/>
      <c r="E36" s="856"/>
      <c r="F36" s="856"/>
      <c r="G36" s="856"/>
      <c r="H36" s="856"/>
      <c r="I36" s="856"/>
      <c r="J36" s="856"/>
      <c r="K36" s="856"/>
      <c r="L36" s="856"/>
      <c r="M36" s="856"/>
      <c r="N36" s="856"/>
      <c r="O36" s="856"/>
      <c r="P36" s="987">
        <v>0.25</v>
      </c>
      <c r="Q36" s="987">
        <f>P36</f>
        <v>0.25</v>
      </c>
      <c r="R36" s="987">
        <f t="shared" ref="R36:Y36" si="22">Q36</f>
        <v>0.25</v>
      </c>
      <c r="S36" s="987">
        <f t="shared" si="22"/>
        <v>0.25</v>
      </c>
      <c r="T36" s="987">
        <f t="shared" si="22"/>
        <v>0.25</v>
      </c>
      <c r="U36" s="987">
        <f t="shared" si="22"/>
        <v>0.25</v>
      </c>
      <c r="V36" s="987">
        <f t="shared" si="22"/>
        <v>0.25</v>
      </c>
      <c r="W36" s="987">
        <f t="shared" si="22"/>
        <v>0.25</v>
      </c>
      <c r="X36" s="987">
        <f t="shared" si="22"/>
        <v>0.25</v>
      </c>
      <c r="Y36" s="987">
        <f t="shared" si="22"/>
        <v>0.25</v>
      </c>
      <c r="Z36" s="774"/>
      <c r="AA36" s="756"/>
      <c r="AB36" s="756"/>
      <c r="AC36" s="756"/>
      <c r="AD36" s="756"/>
      <c r="AE36" s="756"/>
      <c r="AF36" s="756"/>
    </row>
    <row r="37" spans="2:32" collapsed="1">
      <c r="B37" s="768" t="s">
        <v>966</v>
      </c>
      <c r="C37" s="756"/>
      <c r="D37" s="756"/>
      <c r="E37" s="756"/>
      <c r="F37" s="756"/>
      <c r="G37" s="756"/>
      <c r="H37" s="756"/>
      <c r="I37" s="756"/>
      <c r="J37" s="756"/>
      <c r="K37" s="756"/>
      <c r="L37" s="756"/>
      <c r="M37" s="775">
        <f>CHOOSE(DCF!$C$25,'US FL'!M34,'US FL'!M35,'US FL'!M36)</f>
        <v>0</v>
      </c>
      <c r="N37" s="775">
        <f>CHOOSE(DCF!$C$25,'US FL'!N34,'US FL'!N35,'US FL'!N36)</f>
        <v>0</v>
      </c>
      <c r="O37" s="775">
        <f>CHOOSE(DCF!$C$25,'US FL'!O34,'US FL'!O35,'US FL'!O36)</f>
        <v>0.8</v>
      </c>
      <c r="P37" s="775">
        <f>CHOOSE(DCF!$C$25,'US FL'!P34,'US FL'!P35,'US FL'!P36)</f>
        <v>0.7</v>
      </c>
      <c r="Q37" s="775">
        <f>CHOOSE(DCF!$C$25,'US FL'!Q34,'US FL'!Q35,'US FL'!Q36)</f>
        <v>0.6</v>
      </c>
      <c r="R37" s="775">
        <f>CHOOSE(DCF!$C$25,'US FL'!R34,'US FL'!R35,'US FL'!R36)</f>
        <v>0.5</v>
      </c>
      <c r="S37" s="775">
        <f>CHOOSE(DCF!$C$25,'US FL'!S34,'US FL'!S35,'US FL'!S36)</f>
        <v>0.4</v>
      </c>
      <c r="T37" s="775">
        <f>CHOOSE(DCF!$C$25,'US FL'!T34,'US FL'!T35,'US FL'!T36)</f>
        <v>0.4</v>
      </c>
      <c r="U37" s="775">
        <f>CHOOSE(DCF!$C$25,'US FL'!U34,'US FL'!U35,'US FL'!U36)</f>
        <v>0.4</v>
      </c>
      <c r="V37" s="775">
        <f>CHOOSE(DCF!$C$25,'US FL'!V34,'US FL'!V35,'US FL'!V36)</f>
        <v>0.4</v>
      </c>
      <c r="W37" s="775">
        <f>CHOOSE(DCF!$C$25,'US FL'!W34,'US FL'!W35,'US FL'!W36)</f>
        <v>0.4</v>
      </c>
      <c r="X37" s="775">
        <f>CHOOSE(DCF!$C$25,'US FL'!X34,'US FL'!X35,'US FL'!X36)</f>
        <v>0.4</v>
      </c>
      <c r="Y37" s="775">
        <f>CHOOSE(DCF!$C$25,'US FL'!Y34,'US FL'!Y35,'US FL'!Y36)</f>
        <v>0.4</v>
      </c>
      <c r="Z37" s="774"/>
      <c r="AA37" s="756"/>
      <c r="AB37" s="756"/>
      <c r="AC37" s="756"/>
      <c r="AD37" s="756"/>
      <c r="AE37" s="756"/>
      <c r="AF37" s="756"/>
    </row>
    <row r="38" spans="2:32">
      <c r="B38" s="768" t="s">
        <v>68</v>
      </c>
      <c r="C38" s="756"/>
      <c r="D38" s="756"/>
      <c r="E38" s="756"/>
      <c r="F38" s="756"/>
      <c r="G38" s="766"/>
      <c r="H38" s="766"/>
      <c r="I38" s="766"/>
      <c r="J38" s="766"/>
      <c r="K38" s="766"/>
      <c r="L38" s="766"/>
      <c r="M38" s="766">
        <f>1-M37-M33</f>
        <v>1</v>
      </c>
      <c r="N38" s="766">
        <f t="shared" ref="N38:Y38" si="23">1-N37-N33</f>
        <v>1</v>
      </c>
      <c r="O38" s="766">
        <f t="shared" si="23"/>
        <v>0.19999999999999996</v>
      </c>
      <c r="P38" s="766">
        <f t="shared" si="23"/>
        <v>0.20000000000000004</v>
      </c>
      <c r="Q38" s="766">
        <f t="shared" si="23"/>
        <v>0.2</v>
      </c>
      <c r="R38" s="766">
        <f t="shared" si="23"/>
        <v>0.2</v>
      </c>
      <c r="S38" s="766">
        <f t="shared" si="23"/>
        <v>0.19999999999999996</v>
      </c>
      <c r="T38" s="766">
        <f t="shared" si="23"/>
        <v>0.19999999999999996</v>
      </c>
      <c r="U38" s="766">
        <f t="shared" si="23"/>
        <v>0.19999999999999996</v>
      </c>
      <c r="V38" s="766">
        <f t="shared" si="23"/>
        <v>0.19999999999999996</v>
      </c>
      <c r="W38" s="766">
        <f t="shared" si="23"/>
        <v>0.19999999999999996</v>
      </c>
      <c r="X38" s="766">
        <f t="shared" si="23"/>
        <v>0.19999999999999996</v>
      </c>
      <c r="Y38" s="766">
        <f t="shared" si="23"/>
        <v>0.19999999999999996</v>
      </c>
      <c r="Z38" s="774"/>
      <c r="AA38" s="756"/>
      <c r="AB38" s="756"/>
      <c r="AC38" s="756"/>
      <c r="AD38" s="756"/>
      <c r="AE38" s="756"/>
      <c r="AF38" s="756"/>
    </row>
    <row r="39" spans="2:32" hidden="1" outlineLevel="1">
      <c r="B39" s="855" t="s">
        <v>423</v>
      </c>
      <c r="C39" s="856"/>
      <c r="D39" s="856"/>
      <c r="E39" s="856"/>
      <c r="F39" s="856"/>
      <c r="G39" s="857"/>
      <c r="H39" s="857"/>
      <c r="I39" s="857"/>
      <c r="J39" s="857"/>
      <c r="K39" s="857"/>
      <c r="L39" s="857"/>
      <c r="M39" s="857">
        <f>M40</f>
        <v>0.05</v>
      </c>
      <c r="N39" s="857">
        <f t="shared" ref="N39:Y39" si="24">N40</f>
        <v>0.05</v>
      </c>
      <c r="O39" s="857">
        <f t="shared" si="24"/>
        <v>0.1</v>
      </c>
      <c r="P39" s="857">
        <f t="shared" si="24"/>
        <v>0.2</v>
      </c>
      <c r="Q39" s="857">
        <f t="shared" si="24"/>
        <v>0.30000000000000004</v>
      </c>
      <c r="R39" s="857">
        <f t="shared" si="24"/>
        <v>0.39000000000000007</v>
      </c>
      <c r="S39" s="857">
        <f t="shared" si="24"/>
        <v>0.39975000000000005</v>
      </c>
      <c r="T39" s="857">
        <f t="shared" si="24"/>
        <v>0.40974375000000002</v>
      </c>
      <c r="U39" s="857">
        <f t="shared" si="24"/>
        <v>0.41998734374999996</v>
      </c>
      <c r="V39" s="857">
        <f t="shared" si="24"/>
        <v>0.43048702734374994</v>
      </c>
      <c r="W39" s="857">
        <f t="shared" si="24"/>
        <v>0.44124920302734366</v>
      </c>
      <c r="X39" s="857">
        <f t="shared" si="24"/>
        <v>0.45228043310302724</v>
      </c>
      <c r="Y39" s="857">
        <f t="shared" si="24"/>
        <v>0.46358744393060286</v>
      </c>
      <c r="Z39" s="774"/>
      <c r="AA39" s="756"/>
      <c r="AB39" s="756"/>
      <c r="AC39" s="756"/>
      <c r="AD39" s="756"/>
      <c r="AE39" s="756"/>
      <c r="AF39" s="756"/>
    </row>
    <row r="40" spans="2:32" hidden="1" outlineLevel="1">
      <c r="B40" s="855" t="s">
        <v>424</v>
      </c>
      <c r="C40" s="856"/>
      <c r="D40" s="856"/>
      <c r="E40" s="856"/>
      <c r="F40" s="856"/>
      <c r="G40" s="857"/>
      <c r="H40" s="857"/>
      <c r="I40" s="857"/>
      <c r="J40" s="857"/>
      <c r="K40" s="857"/>
      <c r="L40" s="857"/>
      <c r="M40" s="857">
        <v>0.05</v>
      </c>
      <c r="N40" s="857">
        <v>0.05</v>
      </c>
      <c r="O40" s="857">
        <f>N40*2</f>
        <v>0.1</v>
      </c>
      <c r="P40" s="857">
        <f>O40*2</f>
        <v>0.2</v>
      </c>
      <c r="Q40" s="857">
        <f>P40*1.5</f>
        <v>0.30000000000000004</v>
      </c>
      <c r="R40" s="857">
        <f>Q40*1.3</f>
        <v>0.39000000000000007</v>
      </c>
      <c r="S40" s="857">
        <f t="shared" ref="S40:Y40" si="25">R40*1.025</f>
        <v>0.39975000000000005</v>
      </c>
      <c r="T40" s="857">
        <f t="shared" si="25"/>
        <v>0.40974375000000002</v>
      </c>
      <c r="U40" s="857">
        <f t="shared" si="25"/>
        <v>0.41998734374999996</v>
      </c>
      <c r="V40" s="857">
        <f t="shared" si="25"/>
        <v>0.43048702734374994</v>
      </c>
      <c r="W40" s="857">
        <f t="shared" si="25"/>
        <v>0.44124920302734366</v>
      </c>
      <c r="X40" s="857">
        <f t="shared" si="25"/>
        <v>0.45228043310302724</v>
      </c>
      <c r="Y40" s="857">
        <f t="shared" si="25"/>
        <v>0.46358744393060286</v>
      </c>
      <c r="Z40" s="774"/>
      <c r="AA40" s="756"/>
      <c r="AB40" s="756"/>
      <c r="AC40" s="756"/>
      <c r="AD40" s="756"/>
      <c r="AE40" s="756"/>
      <c r="AF40" s="756"/>
    </row>
    <row r="41" spans="2:32" hidden="1" outlineLevel="1">
      <c r="B41" s="855" t="s">
        <v>425</v>
      </c>
      <c r="C41" s="856"/>
      <c r="D41" s="856"/>
      <c r="E41" s="856"/>
      <c r="F41" s="856"/>
      <c r="G41" s="857"/>
      <c r="H41" s="857"/>
      <c r="I41" s="857"/>
      <c r="J41" s="857"/>
      <c r="K41" s="857"/>
      <c r="L41" s="857"/>
      <c r="M41" s="857">
        <v>0</v>
      </c>
      <c r="N41" s="857">
        <v>0</v>
      </c>
      <c r="O41" s="857">
        <v>0</v>
      </c>
      <c r="P41" s="857">
        <v>0</v>
      </c>
      <c r="Q41" s="857">
        <v>0</v>
      </c>
      <c r="R41" s="857">
        <v>0</v>
      </c>
      <c r="S41" s="857">
        <v>0</v>
      </c>
      <c r="T41" s="857">
        <v>0</v>
      </c>
      <c r="U41" s="857">
        <v>0</v>
      </c>
      <c r="V41" s="857">
        <v>0</v>
      </c>
      <c r="W41" s="857">
        <v>0</v>
      </c>
      <c r="X41" s="857">
        <v>0</v>
      </c>
      <c r="Y41" s="857">
        <v>0</v>
      </c>
      <c r="Z41" s="774"/>
      <c r="AA41" s="756"/>
      <c r="AB41" s="756"/>
      <c r="AC41" s="756"/>
      <c r="AD41" s="756"/>
      <c r="AE41" s="756"/>
      <c r="AF41" s="756"/>
    </row>
    <row r="42" spans="2:32" collapsed="1">
      <c r="B42" s="756" t="s">
        <v>951</v>
      </c>
      <c r="C42" s="756"/>
      <c r="D42" s="756"/>
      <c r="E42" s="756"/>
      <c r="F42" s="756"/>
      <c r="G42" s="765"/>
      <c r="H42" s="756"/>
      <c r="I42" s="756"/>
      <c r="J42" s="756"/>
      <c r="K42" s="756"/>
      <c r="L42" s="756"/>
      <c r="M42" s="765">
        <f>CHOOSE(DCF!$C$25,'US FL'!M39,'US FL'!M40,'US FL'!M41)</f>
        <v>0.05</v>
      </c>
      <c r="N42" s="765">
        <f>CHOOSE(DCF!$C$25,'US FL'!N39,'US FL'!N40,'US FL'!N41)</f>
        <v>0.05</v>
      </c>
      <c r="O42" s="765">
        <f>CHOOSE(DCF!$C$25,'US FL'!O39,'US FL'!O40,'US FL'!O41)</f>
        <v>0.1</v>
      </c>
      <c r="P42" s="765">
        <f>CHOOSE(DCF!$C$25,'US FL'!P39,'US FL'!P40,'US FL'!P41)</f>
        <v>0.2</v>
      </c>
      <c r="Q42" s="765">
        <f>CHOOSE(DCF!$C$25,'US FL'!Q39,'US FL'!Q40,'US FL'!Q41)</f>
        <v>0.30000000000000004</v>
      </c>
      <c r="R42" s="765">
        <f>CHOOSE(DCF!$C$25,'US FL'!R39,'US FL'!R40,'US FL'!R41)</f>
        <v>0.39000000000000007</v>
      </c>
      <c r="S42" s="765">
        <f>CHOOSE(DCF!$C$25,'US FL'!S39,'US FL'!S40,'US FL'!S41)</f>
        <v>0.39975000000000005</v>
      </c>
      <c r="T42" s="765">
        <f>CHOOSE(DCF!$C$25,'US FL'!T39,'US FL'!T40,'US FL'!T41)</f>
        <v>0.40974375000000002</v>
      </c>
      <c r="U42" s="765">
        <f>CHOOSE(DCF!$C$25,'US FL'!U39,'US FL'!U40,'US FL'!U41)</f>
        <v>0.41998734374999996</v>
      </c>
      <c r="V42" s="765">
        <f>CHOOSE(DCF!$C$25,'US FL'!V39,'US FL'!V40,'US FL'!V41)</f>
        <v>0.43048702734374994</v>
      </c>
      <c r="W42" s="765">
        <f>CHOOSE(DCF!$C$25,'US FL'!W39,'US FL'!W40,'US FL'!W41)</f>
        <v>0.44124920302734366</v>
      </c>
      <c r="X42" s="765">
        <f>CHOOSE(DCF!$C$25,'US FL'!X39,'US FL'!X40,'US FL'!X41)</f>
        <v>0.45228043310302724</v>
      </c>
      <c r="Y42" s="765">
        <f>CHOOSE(DCF!$C$25,'US FL'!Y39,'US FL'!Y40,'US FL'!Y41)</f>
        <v>0.46358744393060286</v>
      </c>
      <c r="Z42" s="765"/>
      <c r="AA42" s="756"/>
      <c r="AB42" s="756"/>
      <c r="AC42" s="756"/>
      <c r="AD42" s="756"/>
      <c r="AE42" s="756"/>
      <c r="AF42" s="756"/>
    </row>
    <row r="43" spans="2:32">
      <c r="B43" s="756"/>
      <c r="C43" s="756"/>
      <c r="D43" s="756"/>
      <c r="E43" s="756"/>
      <c r="F43" s="756"/>
      <c r="G43" s="756"/>
      <c r="H43" s="756"/>
      <c r="I43" s="756"/>
      <c r="J43" s="756"/>
      <c r="K43" s="756"/>
      <c r="L43" s="756"/>
      <c r="M43" s="756"/>
      <c r="N43" s="756"/>
      <c r="O43" s="756"/>
      <c r="P43" s="756"/>
      <c r="Q43" s="756"/>
      <c r="R43" s="756"/>
      <c r="S43" s="756"/>
      <c r="T43" s="756"/>
      <c r="U43" s="756"/>
      <c r="V43" s="756"/>
      <c r="W43" s="756"/>
      <c r="X43" s="756"/>
      <c r="Y43" s="756"/>
      <c r="Z43" s="756"/>
      <c r="AA43" s="756"/>
      <c r="AB43" s="756"/>
      <c r="AC43" s="756"/>
      <c r="AD43" s="756"/>
      <c r="AE43" s="756"/>
      <c r="AF43" s="756"/>
    </row>
    <row r="44" spans="2:32">
      <c r="B44" s="756" t="s">
        <v>952</v>
      </c>
      <c r="C44" s="756"/>
      <c r="D44" s="756"/>
      <c r="E44" s="756"/>
      <c r="F44" s="756"/>
      <c r="G44" s="756"/>
      <c r="H44" s="756"/>
      <c r="I44" s="756"/>
      <c r="J44" s="756"/>
      <c r="K44" s="756"/>
      <c r="L44" s="756"/>
      <c r="M44" s="794">
        <f>'US ALL'!C72</f>
        <v>1</v>
      </c>
      <c r="N44" s="756">
        <f>M44</f>
        <v>1</v>
      </c>
      <c r="O44" s="756">
        <f>N44</f>
        <v>1</v>
      </c>
      <c r="P44" s="756">
        <f t="shared" ref="P44:Y44" si="26">O44</f>
        <v>1</v>
      </c>
      <c r="Q44" s="756">
        <f t="shared" si="26"/>
        <v>1</v>
      </c>
      <c r="R44" s="756">
        <f t="shared" si="26"/>
        <v>1</v>
      </c>
      <c r="S44" s="756">
        <f t="shared" si="26"/>
        <v>1</v>
      </c>
      <c r="T44" s="756">
        <f t="shared" si="26"/>
        <v>1</v>
      </c>
      <c r="U44" s="756">
        <f t="shared" si="26"/>
        <v>1</v>
      </c>
      <c r="V44" s="756">
        <f t="shared" si="26"/>
        <v>1</v>
      </c>
      <c r="W44" s="756">
        <f t="shared" si="26"/>
        <v>1</v>
      </c>
      <c r="X44" s="756">
        <f t="shared" si="26"/>
        <v>1</v>
      </c>
      <c r="Y44" s="756">
        <f t="shared" si="26"/>
        <v>1</v>
      </c>
      <c r="Z44" s="756"/>
      <c r="AA44" s="756"/>
      <c r="AB44" s="756"/>
      <c r="AC44" s="756"/>
      <c r="AD44" s="756"/>
      <c r="AE44" s="756"/>
      <c r="AF44" s="756"/>
    </row>
    <row r="45" spans="2:32">
      <c r="B45" s="756"/>
      <c r="C45" s="756"/>
      <c r="D45" s="756"/>
      <c r="E45" s="756"/>
      <c r="F45" s="756"/>
      <c r="G45" s="756"/>
      <c r="H45" s="756"/>
      <c r="I45" s="756"/>
      <c r="J45" s="756"/>
      <c r="K45" s="756"/>
      <c r="L45" s="756"/>
      <c r="M45" s="756"/>
      <c r="N45" s="756"/>
      <c r="O45" s="756"/>
      <c r="P45" s="756"/>
      <c r="Q45" s="756"/>
      <c r="R45" s="756"/>
      <c r="S45" s="756"/>
      <c r="T45" s="756"/>
      <c r="U45" s="756"/>
      <c r="V45" s="756"/>
      <c r="W45" s="756"/>
      <c r="X45" s="756"/>
      <c r="Y45" s="756"/>
      <c r="Z45" s="756"/>
      <c r="AA45" s="756"/>
      <c r="AB45" s="756"/>
      <c r="AC45" s="756"/>
      <c r="AD45" s="756"/>
      <c r="AE45" s="756"/>
      <c r="AF45" s="756"/>
    </row>
    <row r="46" spans="2:32">
      <c r="B46" s="780" t="s">
        <v>953</v>
      </c>
      <c r="C46" s="756"/>
      <c r="D46" s="756"/>
      <c r="E46" s="756"/>
      <c r="F46" s="756"/>
      <c r="G46" s="756"/>
      <c r="H46" s="756"/>
      <c r="I46" s="781"/>
      <c r="J46" s="761"/>
      <c r="K46" s="761"/>
      <c r="L46" s="761"/>
      <c r="M46" s="782">
        <f>'US DLBCL'!M43</f>
        <v>325</v>
      </c>
      <c r="N46" s="782">
        <f>'US DLBCL'!N43</f>
        <v>325</v>
      </c>
      <c r="O46" s="782">
        <f>'US DLBCL'!O43</f>
        <v>325</v>
      </c>
      <c r="P46" s="782">
        <f>'US DLBCL'!P43</f>
        <v>325</v>
      </c>
      <c r="Q46" s="782">
        <f>'US DLBCL'!Q43</f>
        <v>325</v>
      </c>
      <c r="R46" s="782">
        <f>'US DLBCL'!R43</f>
        <v>325</v>
      </c>
      <c r="S46" s="782">
        <f>'US DLBCL'!S43</f>
        <v>325</v>
      </c>
      <c r="T46" s="782">
        <f>'US DLBCL'!T43</f>
        <v>325</v>
      </c>
      <c r="U46" s="782">
        <f>'US DLBCL'!U43</f>
        <v>325</v>
      </c>
      <c r="V46" s="782">
        <f>'US DLBCL'!V43</f>
        <v>325</v>
      </c>
      <c r="W46" s="782">
        <f>'US DLBCL'!W43</f>
        <v>325</v>
      </c>
      <c r="X46" s="782">
        <f>'US DLBCL'!X43</f>
        <v>325</v>
      </c>
      <c r="Y46" s="782">
        <f>'US DLBCL'!Y43</f>
        <v>325</v>
      </c>
      <c r="Z46" s="756"/>
      <c r="AA46" s="756"/>
      <c r="AB46" s="756"/>
      <c r="AC46" s="756"/>
      <c r="AD46" s="756"/>
      <c r="AE46" s="756"/>
      <c r="AF46" s="756"/>
    </row>
    <row r="47" spans="2:32">
      <c r="B47" s="783" t="s">
        <v>954</v>
      </c>
      <c r="C47" s="784"/>
      <c r="D47" s="784"/>
      <c r="E47" s="784"/>
      <c r="F47" s="784"/>
      <c r="G47" s="784"/>
      <c r="H47" s="784"/>
      <c r="I47" s="784"/>
      <c r="J47" s="785"/>
      <c r="K47" s="786"/>
      <c r="L47" s="786"/>
      <c r="M47" s="786"/>
      <c r="N47" s="795">
        <f>N46/M46-1</f>
        <v>0</v>
      </c>
      <c r="O47" s="795">
        <f>N47</f>
        <v>0</v>
      </c>
      <c r="P47" s="795">
        <f t="shared" ref="P47:Y47" si="27">O47</f>
        <v>0</v>
      </c>
      <c r="Q47" s="795">
        <f t="shared" si="27"/>
        <v>0</v>
      </c>
      <c r="R47" s="795">
        <f t="shared" si="27"/>
        <v>0</v>
      </c>
      <c r="S47" s="795">
        <f t="shared" si="27"/>
        <v>0</v>
      </c>
      <c r="T47" s="795">
        <f t="shared" si="27"/>
        <v>0</v>
      </c>
      <c r="U47" s="795">
        <f t="shared" si="27"/>
        <v>0</v>
      </c>
      <c r="V47" s="795">
        <f t="shared" si="27"/>
        <v>0</v>
      </c>
      <c r="W47" s="795">
        <f t="shared" si="27"/>
        <v>0</v>
      </c>
      <c r="X47" s="795">
        <f t="shared" si="27"/>
        <v>0</v>
      </c>
      <c r="Y47" s="795">
        <f t="shared" si="27"/>
        <v>0</v>
      </c>
      <c r="Z47" s="784"/>
      <c r="AA47" s="784"/>
      <c r="AB47" s="756"/>
      <c r="AC47" s="756"/>
      <c r="AD47" s="756"/>
      <c r="AE47" s="756"/>
      <c r="AF47" s="756"/>
    </row>
    <row r="48" spans="2:32">
      <c r="B48" s="783"/>
      <c r="C48" s="784"/>
      <c r="D48" s="784"/>
      <c r="E48" s="784"/>
      <c r="F48" s="784"/>
      <c r="G48" s="784"/>
      <c r="H48" s="784"/>
      <c r="I48" s="784"/>
      <c r="J48" s="785"/>
      <c r="K48" s="786"/>
      <c r="L48" s="786"/>
      <c r="M48" s="786"/>
      <c r="N48" s="786"/>
      <c r="O48" s="786"/>
      <c r="P48" s="786"/>
      <c r="Q48" s="786"/>
      <c r="R48" s="786"/>
      <c r="S48" s="786"/>
      <c r="T48" s="786"/>
      <c r="U48" s="786"/>
      <c r="V48" s="786"/>
      <c r="W48" s="786"/>
      <c r="X48" s="786"/>
      <c r="Y48" s="786"/>
      <c r="Z48" s="784"/>
      <c r="AA48" s="784"/>
      <c r="AB48" s="756"/>
      <c r="AC48" s="756"/>
      <c r="AD48" s="756"/>
      <c r="AE48" s="756"/>
      <c r="AF48" s="756"/>
    </row>
    <row r="49" spans="2:32" ht="15.75" thickBot="1">
      <c r="B49" s="788" t="s">
        <v>967</v>
      </c>
      <c r="C49" s="789"/>
      <c r="D49" s="789"/>
      <c r="E49" s="789"/>
      <c r="F49" s="789"/>
      <c r="G49" s="789"/>
      <c r="H49" s="789"/>
      <c r="I49" s="790"/>
      <c r="J49" s="790"/>
      <c r="K49" s="790"/>
      <c r="L49" s="790"/>
      <c r="M49" s="791">
        <f>M46*M44*M37*M30*M42/1000</f>
        <v>0</v>
      </c>
      <c r="N49" s="791">
        <f t="shared" ref="N49:Y49" si="28">N46*N44*N37*N30*N42/1000</f>
        <v>0</v>
      </c>
      <c r="O49" s="791">
        <f t="shared" si="28"/>
        <v>133.75391821812894</v>
      </c>
      <c r="P49" s="791">
        <f t="shared" si="28"/>
        <v>237.67072534052787</v>
      </c>
      <c r="Q49" s="791">
        <f t="shared" si="28"/>
        <v>310.31011531399349</v>
      </c>
      <c r="R49" s="791">
        <f t="shared" si="28"/>
        <v>341.41163412502306</v>
      </c>
      <c r="S49" s="791">
        <f t="shared" si="28"/>
        <v>284.35235977802563</v>
      </c>
      <c r="T49" s="791">
        <f t="shared" si="28"/>
        <v>296.06677002576117</v>
      </c>
      <c r="U49" s="791">
        <f t="shared" si="28"/>
        <v>308.2951646770083</v>
      </c>
      <c r="V49" s="791">
        <f t="shared" si="28"/>
        <v>321.06126970648262</v>
      </c>
      <c r="W49" s="791">
        <f t="shared" si="28"/>
        <v>334.38996602532262</v>
      </c>
      <c r="X49" s="791">
        <f t="shared" si="28"/>
        <v>348.30734798092425</v>
      </c>
      <c r="Y49" s="791">
        <f t="shared" si="28"/>
        <v>362.84078491622478</v>
      </c>
      <c r="Z49" s="756"/>
      <c r="AA49" s="756"/>
      <c r="AB49" s="756"/>
      <c r="AC49" s="756"/>
      <c r="AD49" s="756"/>
      <c r="AE49" s="756"/>
      <c r="AF49" s="756"/>
    </row>
    <row r="50" spans="2:32" ht="15.75" thickTop="1">
      <c r="B50" s="756"/>
      <c r="C50" s="756"/>
      <c r="D50" s="756"/>
      <c r="E50" s="756"/>
      <c r="F50" s="756"/>
      <c r="G50" s="756"/>
      <c r="H50" s="756"/>
      <c r="I50" s="756"/>
      <c r="J50" s="756"/>
      <c r="K50" s="756"/>
      <c r="L50" s="756"/>
      <c r="M50" s="756"/>
      <c r="N50" s="756"/>
      <c r="O50" s="756"/>
      <c r="P50" s="756"/>
      <c r="Q50" s="756"/>
      <c r="R50" s="756"/>
      <c r="S50" s="756"/>
      <c r="T50" s="756"/>
      <c r="U50" s="756"/>
      <c r="V50" s="756"/>
      <c r="W50" s="756"/>
      <c r="X50" s="756"/>
      <c r="Y50" s="756"/>
      <c r="Z50" s="756"/>
      <c r="AA50" s="756"/>
      <c r="AB50" s="756"/>
      <c r="AC50" s="756"/>
      <c r="AD50" s="756"/>
      <c r="AE50" s="756"/>
      <c r="AF50" s="756"/>
    </row>
    <row r="51" spans="2:32">
      <c r="B51" s="756"/>
      <c r="C51" s="756"/>
      <c r="D51" s="756"/>
      <c r="E51" s="756"/>
      <c r="F51" s="756"/>
      <c r="G51" s="756"/>
      <c r="H51" s="756"/>
      <c r="I51" s="756"/>
      <c r="J51" s="756"/>
      <c r="K51" s="756"/>
      <c r="L51" s="756"/>
      <c r="M51" s="756"/>
      <c r="N51" s="756"/>
      <c r="O51" s="756"/>
      <c r="P51" s="756"/>
      <c r="Q51" s="756"/>
      <c r="R51" s="756"/>
      <c r="S51" s="756"/>
      <c r="T51" s="756"/>
      <c r="U51" s="756"/>
      <c r="V51" s="756"/>
      <c r="W51" s="756"/>
      <c r="X51" s="756"/>
      <c r="Y51" s="756"/>
      <c r="Z51" s="756"/>
      <c r="AA51" s="756"/>
      <c r="AB51" s="756"/>
      <c r="AC51" s="756"/>
      <c r="AD51" s="756"/>
      <c r="AE51" s="756"/>
      <c r="AF51" s="756"/>
    </row>
    <row r="52" spans="2:32">
      <c r="B52" s="756" t="s">
        <v>956</v>
      </c>
      <c r="C52" s="756"/>
      <c r="D52" s="756"/>
      <c r="E52" s="756"/>
      <c r="F52" s="756"/>
      <c r="G52" s="792">
        <f>G6/G5</f>
        <v>0.32388663967611336</v>
      </c>
      <c r="H52" s="792">
        <f>G52*0.98</f>
        <v>0.3174089068825911</v>
      </c>
      <c r="I52" s="792">
        <f t="shared" ref="I52:Y52" si="29">H52*0.98</f>
        <v>0.31106072874493929</v>
      </c>
      <c r="J52" s="792">
        <f t="shared" si="29"/>
        <v>0.30483951417004052</v>
      </c>
      <c r="K52" s="792">
        <f t="shared" si="29"/>
        <v>0.29874272388663969</v>
      </c>
      <c r="L52" s="792">
        <f t="shared" si="29"/>
        <v>0.29276786940890692</v>
      </c>
      <c r="M52" s="792">
        <f t="shared" si="29"/>
        <v>0.28691251202072876</v>
      </c>
      <c r="N52" s="792">
        <f t="shared" si="29"/>
        <v>0.28117426178031418</v>
      </c>
      <c r="O52" s="792">
        <f t="shared" si="29"/>
        <v>0.27555077654470789</v>
      </c>
      <c r="P52" s="792">
        <f t="shared" si="29"/>
        <v>0.27003976101381372</v>
      </c>
      <c r="Q52" s="792">
        <f t="shared" si="29"/>
        <v>0.26463896579353746</v>
      </c>
      <c r="R52" s="792">
        <f t="shared" si="29"/>
        <v>0.25934618647766672</v>
      </c>
      <c r="S52" s="792">
        <f t="shared" si="29"/>
        <v>0.2541592627481134</v>
      </c>
      <c r="T52" s="792">
        <f t="shared" si="29"/>
        <v>0.24907607749315114</v>
      </c>
      <c r="U52" s="792">
        <f t="shared" si="29"/>
        <v>0.24409455594328811</v>
      </c>
      <c r="V52" s="792">
        <f t="shared" si="29"/>
        <v>0.23921266482442233</v>
      </c>
      <c r="W52" s="792">
        <f t="shared" si="29"/>
        <v>0.23442841152793387</v>
      </c>
      <c r="X52" s="792">
        <f t="shared" si="29"/>
        <v>0.22973984329737518</v>
      </c>
      <c r="Y52" s="792">
        <f t="shared" si="29"/>
        <v>0.22514504643142766</v>
      </c>
      <c r="Z52" s="756"/>
      <c r="AA52" s="756"/>
      <c r="AB52" s="756"/>
      <c r="AC52" s="756"/>
      <c r="AD52" s="756"/>
      <c r="AE52" s="756"/>
      <c r="AF52" s="756"/>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C55"/>
  <sheetViews>
    <sheetView showGridLines="0" zoomScale="85" zoomScaleNormal="85" workbookViewId="0">
      <pane xSplit="2" ySplit="2" topLeftCell="J24" activePane="bottomRight" state="frozen"/>
      <selection pane="topRight" activeCell="C1" sqref="C1"/>
      <selection pane="bottomLeft" activeCell="A3" sqref="A3"/>
      <selection pane="bottomRight" activeCell="AA43" sqref="AA43"/>
    </sheetView>
  </sheetViews>
  <sheetFormatPr defaultRowHeight="15" outlineLevelRow="1" outlineLevelCol="1"/>
  <cols>
    <col min="1" max="1" width="2.140625" customWidth="1"/>
    <col min="2" max="2" width="35.28515625" customWidth="1"/>
    <col min="3" max="8" width="9.140625" outlineLevel="1"/>
  </cols>
  <sheetData>
    <row r="1" spans="1:29">
      <c r="A1" s="756"/>
      <c r="B1" s="756"/>
      <c r="C1" s="756"/>
      <c r="D1" s="756"/>
      <c r="E1" s="756"/>
      <c r="F1" s="756"/>
      <c r="G1" s="756"/>
      <c r="H1" s="756"/>
      <c r="I1" s="756"/>
      <c r="J1" s="756"/>
      <c r="K1" s="756"/>
      <c r="L1" s="756"/>
      <c r="M1" s="756"/>
      <c r="N1" s="756"/>
      <c r="O1" s="756"/>
      <c r="P1" s="756"/>
      <c r="Q1" s="756"/>
      <c r="R1" s="756"/>
      <c r="S1" s="756"/>
      <c r="T1" s="756"/>
      <c r="U1" s="756"/>
      <c r="V1" s="756"/>
      <c r="W1" s="756"/>
      <c r="X1" s="756"/>
      <c r="Y1" s="756"/>
      <c r="Z1" s="756"/>
      <c r="AA1" s="756"/>
      <c r="AB1" s="756"/>
      <c r="AC1" s="756"/>
    </row>
    <row r="2" spans="1:29">
      <c r="A2" s="756"/>
      <c r="B2" s="814"/>
      <c r="C2" s="814">
        <v>2008</v>
      </c>
      <c r="D2" s="814">
        <f>C2+1</f>
        <v>2009</v>
      </c>
      <c r="E2" s="814">
        <f t="shared" ref="E2:U2" si="0">D2+1</f>
        <v>2010</v>
      </c>
      <c r="F2" s="814">
        <f t="shared" si="0"/>
        <v>2011</v>
      </c>
      <c r="G2" s="814">
        <f t="shared" si="0"/>
        <v>2012</v>
      </c>
      <c r="H2" s="814">
        <f t="shared" si="0"/>
        <v>2013</v>
      </c>
      <c r="I2" s="814">
        <f t="shared" si="0"/>
        <v>2014</v>
      </c>
      <c r="J2" s="814">
        <f t="shared" si="0"/>
        <v>2015</v>
      </c>
      <c r="K2" s="814">
        <f t="shared" si="0"/>
        <v>2016</v>
      </c>
      <c r="L2" s="814">
        <f t="shared" si="0"/>
        <v>2017</v>
      </c>
      <c r="M2" s="814">
        <f t="shared" si="0"/>
        <v>2018</v>
      </c>
      <c r="N2" s="814">
        <f t="shared" si="0"/>
        <v>2019</v>
      </c>
      <c r="O2" s="814">
        <f t="shared" si="0"/>
        <v>2020</v>
      </c>
      <c r="P2" s="814">
        <f t="shared" si="0"/>
        <v>2021</v>
      </c>
      <c r="Q2" s="814">
        <f t="shared" si="0"/>
        <v>2022</v>
      </c>
      <c r="R2" s="814">
        <f t="shared" si="0"/>
        <v>2023</v>
      </c>
      <c r="S2" s="814">
        <f t="shared" si="0"/>
        <v>2024</v>
      </c>
      <c r="T2" s="814">
        <f t="shared" si="0"/>
        <v>2025</v>
      </c>
      <c r="U2" s="814">
        <f t="shared" si="0"/>
        <v>2026</v>
      </c>
      <c r="V2" s="814">
        <f>U2+1</f>
        <v>2027</v>
      </c>
      <c r="W2" s="814">
        <f>V2+1</f>
        <v>2028</v>
      </c>
      <c r="X2" s="814">
        <f>W2+1</f>
        <v>2029</v>
      </c>
      <c r="Y2" s="814">
        <f>X2+1</f>
        <v>2030</v>
      </c>
      <c r="Z2" s="756"/>
      <c r="AA2" s="756"/>
      <c r="AB2" s="756"/>
      <c r="AC2" s="756"/>
    </row>
    <row r="3" spans="1:29">
      <c r="A3" s="756"/>
      <c r="B3" s="758" t="s">
        <v>994</v>
      </c>
      <c r="C3" s="759"/>
      <c r="D3" s="759"/>
      <c r="E3" s="759"/>
      <c r="F3" s="759"/>
      <c r="G3" s="759"/>
      <c r="H3" s="759"/>
      <c r="I3" s="759"/>
      <c r="J3" s="759"/>
      <c r="K3" s="759"/>
      <c r="L3" s="759"/>
      <c r="M3" s="759"/>
      <c r="N3" s="759"/>
      <c r="O3" s="759"/>
      <c r="P3" s="759"/>
      <c r="Q3" s="759"/>
      <c r="R3" s="759"/>
      <c r="S3" s="759"/>
      <c r="T3" s="759"/>
      <c r="U3" s="759"/>
      <c r="V3" s="760"/>
      <c r="W3" s="760"/>
      <c r="X3" s="760"/>
      <c r="Y3" s="760"/>
      <c r="Z3" s="756"/>
      <c r="AA3" s="756"/>
      <c r="AB3" s="756"/>
      <c r="AC3" s="756"/>
    </row>
    <row r="4" spans="1:29">
      <c r="A4" s="756"/>
      <c r="B4" s="756" t="s">
        <v>935</v>
      </c>
      <c r="C4" s="761">
        <f>D4+C6-C5+C7</f>
        <v>84535.847191000008</v>
      </c>
      <c r="D4" s="762">
        <v>90000</v>
      </c>
      <c r="E4" s="761">
        <f>D4+D5-D6-D7</f>
        <v>95185.078200000004</v>
      </c>
      <c r="F4" s="761">
        <f>E4+E5-E6-E7</f>
        <v>100032.18429</v>
      </c>
      <c r="G4" s="761">
        <f>F4+F5-F6-F7</f>
        <v>104558.5750755</v>
      </c>
      <c r="H4" s="761">
        <f t="shared" ref="H4:U4" si="1">G4+G5-G6-G7</f>
        <v>108780.646321725</v>
      </c>
      <c r="I4" s="761">
        <f t="shared" si="1"/>
        <v>112838.86400563875</v>
      </c>
      <c r="J4" s="761">
        <f t="shared" si="1"/>
        <v>116741.65705535682</v>
      </c>
      <c r="K4" s="761">
        <f t="shared" si="1"/>
        <v>120497.03413383898</v>
      </c>
      <c r="L4" s="761">
        <f>K4+K5-K6-K7</f>
        <v>124112.6046580533</v>
      </c>
      <c r="M4" s="761">
        <f t="shared" si="1"/>
        <v>127595.59876721141</v>
      </c>
      <c r="N4" s="761">
        <f t="shared" si="1"/>
        <v>130952.88629262192</v>
      </c>
      <c r="O4" s="761">
        <f t="shared" si="1"/>
        <v>134190.99477908076</v>
      </c>
      <c r="P4" s="761">
        <f t="shared" si="1"/>
        <v>137316.12660522212</v>
      </c>
      <c r="Q4" s="761">
        <f t="shared" si="1"/>
        <v>140334.17524788188</v>
      </c>
      <c r="R4" s="761">
        <f t="shared" si="1"/>
        <v>143250.74073327327</v>
      </c>
      <c r="S4" s="761">
        <f t="shared" si="1"/>
        <v>146071.14431563398</v>
      </c>
      <c r="T4" s="761">
        <f t="shared" si="1"/>
        <v>148800.44242197176</v>
      </c>
      <c r="U4" s="761">
        <f t="shared" si="1"/>
        <v>151443.43989960328</v>
      </c>
      <c r="V4" s="761">
        <f>U4+U5-U6-U7</f>
        <v>154004.70260134689</v>
      </c>
      <c r="W4" s="761">
        <f>V4+V5-V6-V7</f>
        <v>156488.5693414869</v>
      </c>
      <c r="X4" s="761">
        <f>W4+W5-W6-W7</f>
        <v>158899.16325397094</v>
      </c>
      <c r="Y4" s="761">
        <f>X4+X5-X6-X7</f>
        <v>161240.4025827286</v>
      </c>
      <c r="Z4" s="756"/>
      <c r="AA4" s="756" t="s">
        <v>995</v>
      </c>
      <c r="AB4" s="756"/>
      <c r="AC4" s="756"/>
    </row>
    <row r="5" spans="1:29">
      <c r="A5" s="756"/>
      <c r="B5" s="815" t="s">
        <v>535</v>
      </c>
      <c r="C5" s="761">
        <f>D5*0.995</f>
        <v>14114.152808999999</v>
      </c>
      <c r="D5" s="761">
        <f>E5*0.995</f>
        <v>14185.0782</v>
      </c>
      <c r="E5" s="761">
        <f>F5*0.995</f>
        <v>14256.36</v>
      </c>
      <c r="F5" s="761">
        <f>G5*0.995</f>
        <v>14328</v>
      </c>
      <c r="G5" s="762">
        <v>14400</v>
      </c>
      <c r="H5" s="761">
        <f>G5*1.005</f>
        <v>14471.999999999998</v>
      </c>
      <c r="I5" s="761">
        <f t="shared" ref="I5:U5" si="2">H5*1.005</f>
        <v>14544.359999999997</v>
      </c>
      <c r="J5" s="761">
        <f t="shared" si="2"/>
        <v>14617.081799999994</v>
      </c>
      <c r="K5" s="761">
        <f t="shared" si="2"/>
        <v>14690.167208999992</v>
      </c>
      <c r="L5" s="761">
        <f t="shared" si="2"/>
        <v>14763.61804504499</v>
      </c>
      <c r="M5" s="761">
        <f t="shared" si="2"/>
        <v>14837.436135270213</v>
      </c>
      <c r="N5" s="761">
        <f t="shared" si="2"/>
        <v>14911.623315946563</v>
      </c>
      <c r="O5" s="761">
        <f t="shared" si="2"/>
        <v>14986.181432526295</v>
      </c>
      <c r="P5" s="761">
        <f t="shared" si="2"/>
        <v>15061.112339688925</v>
      </c>
      <c r="Q5" s="761">
        <f t="shared" si="2"/>
        <v>15136.417901387369</v>
      </c>
      <c r="R5" s="761">
        <f t="shared" si="2"/>
        <v>15212.099990894305</v>
      </c>
      <c r="S5" s="761">
        <f t="shared" si="2"/>
        <v>15288.160490848775</v>
      </c>
      <c r="T5" s="761">
        <f t="shared" si="2"/>
        <v>15364.601293303018</v>
      </c>
      <c r="U5" s="761">
        <f t="shared" si="2"/>
        <v>15441.424299769531</v>
      </c>
      <c r="V5" s="761">
        <f>U5*1.005</f>
        <v>15518.631421268377</v>
      </c>
      <c r="W5" s="761">
        <f>V5*1.005</f>
        <v>15596.224578374718</v>
      </c>
      <c r="X5" s="761">
        <f>W5*1.005</f>
        <v>15674.20570126659</v>
      </c>
      <c r="Y5" s="761">
        <f>X5*1.005</f>
        <v>15752.576729772922</v>
      </c>
      <c r="Z5" s="756"/>
      <c r="AA5" s="756" t="s">
        <v>996</v>
      </c>
      <c r="AB5" s="756"/>
      <c r="AC5" s="756"/>
    </row>
    <row r="6" spans="1:29">
      <c r="A6" s="756"/>
      <c r="B6" s="815" t="s">
        <v>936</v>
      </c>
      <c r="C6" s="761">
        <v>4400</v>
      </c>
      <c r="D6" s="761">
        <v>4500</v>
      </c>
      <c r="E6" s="761">
        <v>4650</v>
      </c>
      <c r="F6" s="761">
        <v>4800</v>
      </c>
      <c r="G6" s="761">
        <v>4950</v>
      </c>
      <c r="H6" s="761">
        <f t="shared" ref="H6:Y6" si="3">H5*H50</f>
        <v>4974.7499999999991</v>
      </c>
      <c r="I6" s="761">
        <f t="shared" si="3"/>
        <v>4999.6237499999988</v>
      </c>
      <c r="J6" s="761">
        <f t="shared" si="3"/>
        <v>5024.6218687499977</v>
      </c>
      <c r="K6" s="761">
        <f t="shared" si="3"/>
        <v>5049.7449780937477</v>
      </c>
      <c r="L6" s="761">
        <f t="shared" si="3"/>
        <v>5074.9937029842149</v>
      </c>
      <c r="M6" s="761">
        <f t="shared" si="3"/>
        <v>5100.3686714991354</v>
      </c>
      <c r="N6" s="761">
        <f t="shared" si="3"/>
        <v>5125.8705148566314</v>
      </c>
      <c r="O6" s="761">
        <f t="shared" si="3"/>
        <v>5151.4998674309136</v>
      </c>
      <c r="P6" s="761">
        <f t="shared" si="3"/>
        <v>5177.2573667680681</v>
      </c>
      <c r="Q6" s="761">
        <f t="shared" si="3"/>
        <v>5203.1436536019082</v>
      </c>
      <c r="R6" s="761">
        <f t="shared" si="3"/>
        <v>5229.1593718699169</v>
      </c>
      <c r="S6" s="761">
        <f t="shared" si="3"/>
        <v>5255.3051687292664</v>
      </c>
      <c r="T6" s="761">
        <f t="shared" si="3"/>
        <v>5281.5816945729121</v>
      </c>
      <c r="U6" s="761">
        <f t="shared" si="3"/>
        <v>5307.9896030457767</v>
      </c>
      <c r="V6" s="761">
        <f t="shared" si="3"/>
        <v>5334.5295510610049</v>
      </c>
      <c r="W6" s="761">
        <f t="shared" si="3"/>
        <v>5361.2021988163096</v>
      </c>
      <c r="X6" s="761">
        <f t="shared" si="3"/>
        <v>5388.0082098103903</v>
      </c>
      <c r="Y6" s="761">
        <f t="shared" si="3"/>
        <v>5414.9482508594419</v>
      </c>
      <c r="Z6" s="756"/>
      <c r="AA6" s="756" t="s">
        <v>995</v>
      </c>
      <c r="AB6" s="756"/>
      <c r="AC6" s="756"/>
    </row>
    <row r="7" spans="1:29">
      <c r="A7" s="756"/>
      <c r="B7" s="815" t="s">
        <v>997</v>
      </c>
      <c r="C7" s="762">
        <v>4250</v>
      </c>
      <c r="D7" s="761">
        <f>D4*0.05</f>
        <v>4500</v>
      </c>
      <c r="E7" s="761">
        <f>E4*0.05</f>
        <v>4759.2539100000004</v>
      </c>
      <c r="F7" s="761">
        <f>F4*0.05</f>
        <v>5001.6092145000002</v>
      </c>
      <c r="G7" s="761">
        <f>G4*0.05</f>
        <v>5227.9287537750006</v>
      </c>
      <c r="H7" s="761">
        <f t="shared" ref="H7:U7" si="4">H4*0.05</f>
        <v>5439.0323160862499</v>
      </c>
      <c r="I7" s="761">
        <f t="shared" si="4"/>
        <v>5641.9432002819376</v>
      </c>
      <c r="J7" s="761">
        <f t="shared" si="4"/>
        <v>5837.0828527678414</v>
      </c>
      <c r="K7" s="761">
        <f t="shared" si="4"/>
        <v>6024.8517066919494</v>
      </c>
      <c r="L7" s="761">
        <f t="shared" si="4"/>
        <v>6205.6302329026657</v>
      </c>
      <c r="M7" s="761">
        <f t="shared" si="4"/>
        <v>6379.7799383605707</v>
      </c>
      <c r="N7" s="761">
        <f t="shared" si="4"/>
        <v>6547.6443146310958</v>
      </c>
      <c r="O7" s="761">
        <f t="shared" si="4"/>
        <v>6709.5497389540387</v>
      </c>
      <c r="P7" s="761">
        <f t="shared" si="4"/>
        <v>6865.8063302611063</v>
      </c>
      <c r="Q7" s="761">
        <f t="shared" si="4"/>
        <v>7016.7087623940943</v>
      </c>
      <c r="R7" s="761">
        <f t="shared" si="4"/>
        <v>7162.5370366636635</v>
      </c>
      <c r="S7" s="761">
        <f t="shared" si="4"/>
        <v>7303.5572157816996</v>
      </c>
      <c r="T7" s="761">
        <f t="shared" si="4"/>
        <v>7440.0221210985883</v>
      </c>
      <c r="U7" s="761">
        <f t="shared" si="4"/>
        <v>7572.1719949801645</v>
      </c>
      <c r="V7" s="761">
        <f>V4*0.05</f>
        <v>7700.2351300673445</v>
      </c>
      <c r="W7" s="761">
        <f>W4*0.05</f>
        <v>7824.4284670743455</v>
      </c>
      <c r="X7" s="761">
        <f>X4*0.05</f>
        <v>7944.9581626985473</v>
      </c>
      <c r="Y7" s="761">
        <f>Y4*0.05</f>
        <v>8062.0201291364301</v>
      </c>
      <c r="Z7" s="756"/>
      <c r="AA7" s="756"/>
      <c r="AB7" s="756"/>
      <c r="AC7" s="756"/>
    </row>
    <row r="8" spans="1:29">
      <c r="A8" s="756"/>
      <c r="B8" s="756"/>
      <c r="C8" s="756"/>
      <c r="D8" s="756"/>
      <c r="E8" s="756"/>
      <c r="F8" s="756"/>
      <c r="G8" s="756"/>
      <c r="H8" s="756"/>
      <c r="I8" s="756"/>
      <c r="J8" s="756"/>
      <c r="K8" s="756"/>
      <c r="L8" s="756"/>
      <c r="M8" s="756"/>
      <c r="N8" s="756"/>
      <c r="O8" s="756"/>
      <c r="P8" s="756"/>
      <c r="Q8" s="756"/>
      <c r="R8" s="756"/>
      <c r="S8" s="756"/>
      <c r="T8" s="756"/>
      <c r="U8" s="756"/>
      <c r="V8" s="756"/>
      <c r="W8" s="756"/>
      <c r="X8" s="756"/>
      <c r="Y8" s="756"/>
      <c r="Z8" s="756"/>
      <c r="AA8" s="756"/>
      <c r="AB8" s="756"/>
      <c r="AC8" s="756"/>
    </row>
    <row r="9" spans="1:29">
      <c r="A9" s="756"/>
      <c r="B9" s="756" t="s">
        <v>998</v>
      </c>
      <c r="C9" s="761">
        <f>C10*C5</f>
        <v>8723.3305555624993</v>
      </c>
      <c r="D9" s="761">
        <f>D10*D5</f>
        <v>8767.1663874999995</v>
      </c>
      <c r="E9" s="761">
        <f>E10*E5</f>
        <v>8811.2224999999999</v>
      </c>
      <c r="F9" s="761">
        <f>F10*F5</f>
        <v>8855.5</v>
      </c>
      <c r="G9" s="762">
        <v>8900</v>
      </c>
      <c r="H9" s="761">
        <f t="shared" ref="H9:Y9" si="5">H10*H5</f>
        <v>8944.5</v>
      </c>
      <c r="I9" s="761">
        <f t="shared" si="5"/>
        <v>8989.222499999998</v>
      </c>
      <c r="J9" s="761">
        <f t="shared" si="5"/>
        <v>9034.1686124999978</v>
      </c>
      <c r="K9" s="761">
        <f t="shared" si="5"/>
        <v>9079.3394555624945</v>
      </c>
      <c r="L9" s="761">
        <f t="shared" si="5"/>
        <v>9124.7361528403071</v>
      </c>
      <c r="M9" s="761">
        <f t="shared" si="5"/>
        <v>9170.359833604507</v>
      </c>
      <c r="N9" s="761">
        <f t="shared" si="5"/>
        <v>9216.2116327725289</v>
      </c>
      <c r="O9" s="761">
        <f t="shared" si="5"/>
        <v>9262.2926909363905</v>
      </c>
      <c r="P9" s="761">
        <f t="shared" si="5"/>
        <v>9308.6041543910724</v>
      </c>
      <c r="Q9" s="761">
        <f t="shared" si="5"/>
        <v>9355.147175163027</v>
      </c>
      <c r="R9" s="761">
        <f t="shared" si="5"/>
        <v>9401.9229110388424</v>
      </c>
      <c r="S9" s="761">
        <f t="shared" si="5"/>
        <v>9448.9325255940348</v>
      </c>
      <c r="T9" s="761">
        <f t="shared" si="5"/>
        <v>9496.1771882220037</v>
      </c>
      <c r="U9" s="761">
        <f t="shared" si="5"/>
        <v>9543.6580741631133</v>
      </c>
      <c r="V9" s="761">
        <f t="shared" si="5"/>
        <v>9591.3763645339277</v>
      </c>
      <c r="W9" s="761">
        <f t="shared" si="5"/>
        <v>9639.3332463565966</v>
      </c>
      <c r="X9" s="761">
        <f t="shared" si="5"/>
        <v>9687.5299125883794</v>
      </c>
      <c r="Y9" s="761">
        <f t="shared" si="5"/>
        <v>9735.9675621513197</v>
      </c>
      <c r="Z9" s="756"/>
      <c r="AA9" s="756" t="s">
        <v>996</v>
      </c>
      <c r="AB9" s="756"/>
      <c r="AC9" s="756"/>
    </row>
    <row r="10" spans="1:29">
      <c r="A10" s="816"/>
      <c r="B10" s="817" t="s">
        <v>939</v>
      </c>
      <c r="C10" s="775">
        <f>D10</f>
        <v>0.61805555555555558</v>
      </c>
      <c r="D10" s="775">
        <f>E10</f>
        <v>0.61805555555555558</v>
      </c>
      <c r="E10" s="775">
        <f>F10</f>
        <v>0.61805555555555558</v>
      </c>
      <c r="F10" s="775">
        <f>G10</f>
        <v>0.61805555555555558</v>
      </c>
      <c r="G10" s="818">
        <f>G9/G5</f>
        <v>0.61805555555555558</v>
      </c>
      <c r="H10" s="775">
        <f>G10</f>
        <v>0.61805555555555558</v>
      </c>
      <c r="I10" s="775">
        <f t="shared" ref="I10:Y10" si="6">H10</f>
        <v>0.61805555555555558</v>
      </c>
      <c r="J10" s="775">
        <f t="shared" si="6"/>
        <v>0.61805555555555558</v>
      </c>
      <c r="K10" s="775">
        <f t="shared" si="6"/>
        <v>0.61805555555555558</v>
      </c>
      <c r="L10" s="775">
        <f t="shared" si="6"/>
        <v>0.61805555555555558</v>
      </c>
      <c r="M10" s="775">
        <f t="shared" si="6"/>
        <v>0.61805555555555558</v>
      </c>
      <c r="N10" s="775">
        <f t="shared" si="6"/>
        <v>0.61805555555555558</v>
      </c>
      <c r="O10" s="775">
        <f t="shared" si="6"/>
        <v>0.61805555555555558</v>
      </c>
      <c r="P10" s="775">
        <f t="shared" si="6"/>
        <v>0.61805555555555558</v>
      </c>
      <c r="Q10" s="775">
        <f t="shared" si="6"/>
        <v>0.61805555555555558</v>
      </c>
      <c r="R10" s="775">
        <f t="shared" si="6"/>
        <v>0.61805555555555558</v>
      </c>
      <c r="S10" s="775">
        <f t="shared" si="6"/>
        <v>0.61805555555555558</v>
      </c>
      <c r="T10" s="775">
        <f t="shared" si="6"/>
        <v>0.61805555555555558</v>
      </c>
      <c r="U10" s="775">
        <f t="shared" si="6"/>
        <v>0.61805555555555558</v>
      </c>
      <c r="V10" s="775">
        <f t="shared" si="6"/>
        <v>0.61805555555555558</v>
      </c>
      <c r="W10" s="775">
        <f t="shared" si="6"/>
        <v>0.61805555555555558</v>
      </c>
      <c r="X10" s="775">
        <f t="shared" si="6"/>
        <v>0.61805555555555558</v>
      </c>
      <c r="Y10" s="775">
        <f t="shared" si="6"/>
        <v>0.61805555555555558</v>
      </c>
      <c r="Z10" s="794"/>
      <c r="AA10" s="794"/>
      <c r="AB10" s="794"/>
      <c r="AC10" s="794"/>
    </row>
    <row r="11" spans="1:29">
      <c r="A11" s="756"/>
      <c r="B11" s="764"/>
      <c r="C11" s="765"/>
      <c r="D11" s="765"/>
      <c r="E11" s="765"/>
      <c r="F11" s="765"/>
      <c r="G11" s="818"/>
      <c r="H11" s="765"/>
      <c r="I11" s="765"/>
      <c r="J11" s="765"/>
      <c r="K11" s="765"/>
      <c r="L11" s="765"/>
      <c r="M11" s="765"/>
      <c r="N11" s="765"/>
      <c r="O11" s="765"/>
      <c r="P11" s="765"/>
      <c r="Q11" s="765"/>
      <c r="R11" s="765"/>
      <c r="S11" s="765"/>
      <c r="T11" s="765"/>
      <c r="U11" s="765"/>
      <c r="V11" s="765"/>
      <c r="W11" s="765"/>
      <c r="X11" s="765"/>
      <c r="Y11" s="765"/>
      <c r="Z11" s="756"/>
      <c r="AA11" s="756"/>
      <c r="AB11" s="756"/>
      <c r="AC11" s="756"/>
    </row>
    <row r="12" spans="1:29">
      <c r="A12" s="756"/>
      <c r="B12" s="756" t="s">
        <v>999</v>
      </c>
      <c r="C12" s="761">
        <f>C13*(C4-C9)</f>
        <v>5547.7265475594759</v>
      </c>
      <c r="D12" s="761">
        <f>D13*(D4-D9)</f>
        <v>5944.3686552794679</v>
      </c>
      <c r="E12" s="761">
        <f>E13*(E4-E9)</f>
        <v>6320.57282290476</v>
      </c>
      <c r="F12" s="761">
        <f>F13*(F4-F9)</f>
        <v>6672.0290316499249</v>
      </c>
      <c r="G12" s="762">
        <v>7000</v>
      </c>
      <c r="H12" s="761">
        <f t="shared" ref="H12:Y12" si="7">H13*(H4-H9)</f>
        <v>7305.7018014380246</v>
      </c>
      <c r="I12" s="761">
        <f t="shared" si="7"/>
        <v>7599.39702181134</v>
      </c>
      <c r="J12" s="761">
        <f t="shared" si="7"/>
        <v>7881.7023827182156</v>
      </c>
      <c r="K12" s="761">
        <f t="shared" si="7"/>
        <v>8153.2038516397342</v>
      </c>
      <c r="L12" s="761">
        <f t="shared" si="7"/>
        <v>8414.4581800554643</v>
      </c>
      <c r="M12" s="761">
        <f t="shared" si="7"/>
        <v>8665.9943646553966</v>
      </c>
      <c r="N12" s="761">
        <f t="shared" si="7"/>
        <v>8908.3150354933459</v>
      </c>
      <c r="O12" s="761">
        <f t="shared" si="7"/>
        <v>9141.8977747347508</v>
      </c>
      <c r="P12" s="761">
        <f t="shared" si="7"/>
        <v>9367.1963694691658</v>
      </c>
      <c r="Q12" s="761">
        <f t="shared" si="7"/>
        <v>9584.6420018842146</v>
      </c>
      <c r="R12" s="761">
        <f t="shared" si="7"/>
        <v>9794.6443799329554</v>
      </c>
      <c r="S12" s="761">
        <f t="shared" si="7"/>
        <v>9997.5928114699745</v>
      </c>
      <c r="T12" s="761">
        <f t="shared" si="7"/>
        <v>10193.857224682804</v>
      </c>
      <c r="U12" s="761">
        <f t="shared" si="7"/>
        <v>10383.789137503931</v>
      </c>
      <c r="V12" s="761">
        <f t="shared" si="7"/>
        <v>10567.722578554274</v>
      </c>
      <c r="W12" s="761">
        <f t="shared" si="7"/>
        <v>10745.974962041728</v>
      </c>
      <c r="X12" s="761">
        <f t="shared" si="7"/>
        <v>10918.847918916885</v>
      </c>
      <c r="Y12" s="761">
        <f t="shared" si="7"/>
        <v>11086.628086473173</v>
      </c>
      <c r="Z12" s="756"/>
      <c r="AA12" s="756" t="s">
        <v>996</v>
      </c>
      <c r="AB12" s="756"/>
      <c r="AC12" s="756"/>
    </row>
    <row r="13" spans="1:29">
      <c r="A13" s="756"/>
      <c r="B13" s="764" t="s">
        <v>941</v>
      </c>
      <c r="C13" s="765">
        <f>D13</f>
        <v>7.3176921091236635E-2</v>
      </c>
      <c r="D13" s="765">
        <f>E13</f>
        <v>7.3176921091236635E-2</v>
      </c>
      <c r="E13" s="765">
        <f>F13</f>
        <v>7.3176921091236635E-2</v>
      </c>
      <c r="F13" s="765">
        <f>G13</f>
        <v>7.3176921091236635E-2</v>
      </c>
      <c r="G13" s="818">
        <f>G12/(G4-G9)</f>
        <v>7.3176921091236635E-2</v>
      </c>
      <c r="H13" s="765">
        <f>G13</f>
        <v>7.3176921091236635E-2</v>
      </c>
      <c r="I13" s="765">
        <f t="shared" ref="I13:U13" si="8">H13</f>
        <v>7.3176921091236635E-2</v>
      </c>
      <c r="J13" s="765">
        <f t="shared" si="8"/>
        <v>7.3176921091236635E-2</v>
      </c>
      <c r="K13" s="765">
        <f t="shared" si="8"/>
        <v>7.3176921091236635E-2</v>
      </c>
      <c r="L13" s="765">
        <f t="shared" si="8"/>
        <v>7.3176921091236635E-2</v>
      </c>
      <c r="M13" s="765">
        <f t="shared" si="8"/>
        <v>7.3176921091236635E-2</v>
      </c>
      <c r="N13" s="765">
        <f t="shared" si="8"/>
        <v>7.3176921091236635E-2</v>
      </c>
      <c r="O13" s="765">
        <f t="shared" si="8"/>
        <v>7.3176921091236635E-2</v>
      </c>
      <c r="P13" s="765">
        <f t="shared" si="8"/>
        <v>7.3176921091236635E-2</v>
      </c>
      <c r="Q13" s="765">
        <f t="shared" si="8"/>
        <v>7.3176921091236635E-2</v>
      </c>
      <c r="R13" s="765">
        <f t="shared" si="8"/>
        <v>7.3176921091236635E-2</v>
      </c>
      <c r="S13" s="765">
        <f t="shared" si="8"/>
        <v>7.3176921091236635E-2</v>
      </c>
      <c r="T13" s="765">
        <f t="shared" si="8"/>
        <v>7.3176921091236635E-2</v>
      </c>
      <c r="U13" s="765">
        <f t="shared" si="8"/>
        <v>7.3176921091236635E-2</v>
      </c>
      <c r="V13" s="765">
        <f>U13</f>
        <v>7.3176921091236635E-2</v>
      </c>
      <c r="W13" s="765">
        <f>V13</f>
        <v>7.3176921091236635E-2</v>
      </c>
      <c r="X13" s="765">
        <f>W13</f>
        <v>7.3176921091236635E-2</v>
      </c>
      <c r="Y13" s="765">
        <f>X13</f>
        <v>7.3176921091236635E-2</v>
      </c>
      <c r="Z13" s="756"/>
      <c r="AA13" s="756"/>
      <c r="AB13" s="756"/>
      <c r="AC13" s="756"/>
    </row>
    <row r="14" spans="1:29">
      <c r="A14" s="756"/>
      <c r="B14" s="756"/>
      <c r="C14" s="756"/>
      <c r="D14" s="756"/>
      <c r="E14" s="756"/>
      <c r="F14" s="756"/>
      <c r="G14" s="756"/>
      <c r="H14" s="756"/>
      <c r="I14" s="756"/>
      <c r="J14" s="756"/>
      <c r="K14" s="756"/>
      <c r="L14" s="756"/>
      <c r="M14" s="756"/>
      <c r="N14" s="756"/>
      <c r="O14" s="756"/>
      <c r="P14" s="756"/>
      <c r="Q14" s="756"/>
      <c r="R14" s="756"/>
      <c r="S14" s="756"/>
      <c r="T14" s="756"/>
      <c r="U14" s="756"/>
      <c r="V14" s="756"/>
      <c r="W14" s="756"/>
      <c r="X14" s="756"/>
      <c r="Y14" s="756"/>
      <c r="Z14" s="756"/>
      <c r="AA14" s="756"/>
      <c r="AB14" s="756"/>
      <c r="AC14" s="756"/>
    </row>
    <row r="15" spans="1:29">
      <c r="A15" s="756"/>
      <c r="B15" s="756" t="s">
        <v>1000</v>
      </c>
      <c r="C15" s="756"/>
      <c r="D15" s="756"/>
      <c r="E15" s="756"/>
      <c r="F15" s="756"/>
      <c r="G15" s="756"/>
      <c r="H15" s="756"/>
      <c r="I15" s="756"/>
      <c r="J15" s="756"/>
      <c r="K15" s="756"/>
      <c r="L15" s="756"/>
      <c r="M15" s="756"/>
      <c r="N15" s="756"/>
      <c r="O15" s="756"/>
      <c r="P15" s="756"/>
      <c r="Q15" s="756"/>
      <c r="R15" s="756"/>
      <c r="S15" s="756"/>
      <c r="T15" s="756"/>
      <c r="U15" s="756"/>
      <c r="V15" s="756"/>
      <c r="W15" s="756"/>
      <c r="X15" s="756"/>
      <c r="Y15" s="756"/>
      <c r="Z15" s="756"/>
      <c r="AA15" s="756"/>
      <c r="AB15" s="756"/>
      <c r="AC15" s="756"/>
    </row>
    <row r="16" spans="1:29">
      <c r="A16" s="756"/>
      <c r="B16" s="764" t="s">
        <v>943</v>
      </c>
      <c r="C16" s="761">
        <f t="shared" ref="C16:Y16" si="9">C5-C9</f>
        <v>5390.8222534375</v>
      </c>
      <c r="D16" s="761">
        <f t="shared" si="9"/>
        <v>5417.9118125000005</v>
      </c>
      <c r="E16" s="761">
        <f t="shared" si="9"/>
        <v>5445.1375000000007</v>
      </c>
      <c r="F16" s="761">
        <f t="shared" si="9"/>
        <v>5472.5</v>
      </c>
      <c r="G16" s="761">
        <f t="shared" si="9"/>
        <v>5500</v>
      </c>
      <c r="H16" s="761">
        <f t="shared" si="9"/>
        <v>5527.4999999999982</v>
      </c>
      <c r="I16" s="761">
        <f t="shared" si="9"/>
        <v>5555.1374999999989</v>
      </c>
      <c r="J16" s="761">
        <f t="shared" si="9"/>
        <v>5582.9131874999966</v>
      </c>
      <c r="K16" s="761">
        <f t="shared" si="9"/>
        <v>5610.8277534374974</v>
      </c>
      <c r="L16" s="761">
        <f t="shared" si="9"/>
        <v>5638.881892204683</v>
      </c>
      <c r="M16" s="761">
        <f t="shared" si="9"/>
        <v>5667.0763016657056</v>
      </c>
      <c r="N16" s="761">
        <f t="shared" si="9"/>
        <v>5695.4116831740339</v>
      </c>
      <c r="O16" s="761">
        <f t="shared" si="9"/>
        <v>5723.8887415899044</v>
      </c>
      <c r="P16" s="761">
        <f t="shared" si="9"/>
        <v>5752.5081852978528</v>
      </c>
      <c r="Q16" s="761">
        <f t="shared" si="9"/>
        <v>5781.2707262243421</v>
      </c>
      <c r="R16" s="761">
        <f t="shared" si="9"/>
        <v>5810.1770798554626</v>
      </c>
      <c r="S16" s="761">
        <f t="shared" si="9"/>
        <v>5839.2279652547404</v>
      </c>
      <c r="T16" s="761">
        <f t="shared" si="9"/>
        <v>5868.4241050810142</v>
      </c>
      <c r="U16" s="761">
        <f t="shared" si="9"/>
        <v>5897.7662256064177</v>
      </c>
      <c r="V16" s="761">
        <f t="shared" si="9"/>
        <v>5927.2550567344497</v>
      </c>
      <c r="W16" s="761">
        <f t="shared" si="9"/>
        <v>5956.8913320181218</v>
      </c>
      <c r="X16" s="761">
        <f t="shared" si="9"/>
        <v>5986.6757886782107</v>
      </c>
      <c r="Y16" s="761">
        <f t="shared" si="9"/>
        <v>6016.609167621602</v>
      </c>
      <c r="Z16" s="756"/>
      <c r="AA16" s="756"/>
      <c r="AB16" s="756"/>
      <c r="AC16" s="756"/>
    </row>
    <row r="17" spans="1:29">
      <c r="A17" s="756"/>
      <c r="B17" s="764" t="s">
        <v>944</v>
      </c>
      <c r="C17" s="761"/>
      <c r="D17" s="761"/>
      <c r="E17" s="761"/>
      <c r="F17" s="761"/>
      <c r="G17" s="761">
        <f>G16+F16+E16+D16+C16</f>
        <v>27226.371565937501</v>
      </c>
      <c r="H17" s="761">
        <f t="shared" ref="H17:U17" si="10">H16+G16+F16+E16+D16</f>
        <v>27363.049312499999</v>
      </c>
      <c r="I17" s="761">
        <f t="shared" si="10"/>
        <v>27500.274999999998</v>
      </c>
      <c r="J17" s="761">
        <f t="shared" si="10"/>
        <v>27638.050687499992</v>
      </c>
      <c r="K17" s="761">
        <f t="shared" si="10"/>
        <v>27776.378440937493</v>
      </c>
      <c r="L17" s="761">
        <f>L16+K16+J16+I16+H16</f>
        <v>27915.260333142178</v>
      </c>
      <c r="M17" s="761">
        <f t="shared" si="10"/>
        <v>28054.836634807878</v>
      </c>
      <c r="N17" s="761">
        <f t="shared" si="10"/>
        <v>28195.11081798192</v>
      </c>
      <c r="O17" s="761">
        <f t="shared" si="10"/>
        <v>28336.086372071823</v>
      </c>
      <c r="P17" s="761">
        <f t="shared" si="10"/>
        <v>28477.76680393218</v>
      </c>
      <c r="Q17" s="761">
        <f t="shared" si="10"/>
        <v>28620.155637951837</v>
      </c>
      <c r="R17" s="761">
        <f t="shared" si="10"/>
        <v>28763.256416141594</v>
      </c>
      <c r="S17" s="761">
        <f t="shared" si="10"/>
        <v>28907.072698222302</v>
      </c>
      <c r="T17" s="761">
        <f t="shared" si="10"/>
        <v>29051.608061713414</v>
      </c>
      <c r="U17" s="761">
        <f t="shared" si="10"/>
        <v>29196.866102021981</v>
      </c>
      <c r="V17" s="761">
        <f>V16+U16+T16+S16+R16</f>
        <v>29342.850432532083</v>
      </c>
      <c r="W17" s="761">
        <f>W16+V16+U16+T16+S16</f>
        <v>29489.564684694746</v>
      </c>
      <c r="X17" s="761">
        <f>X16+W16+V16+U16+T16</f>
        <v>29637.012508118212</v>
      </c>
      <c r="Y17" s="761">
        <f>Y16+X16+W16+V16+U16</f>
        <v>29785.197570658802</v>
      </c>
      <c r="Z17" s="756"/>
      <c r="AA17" s="756"/>
      <c r="AB17" s="756"/>
      <c r="AC17" s="756"/>
    </row>
    <row r="18" spans="1:29">
      <c r="A18" s="756"/>
      <c r="B18" s="764" t="s">
        <v>1001</v>
      </c>
      <c r="C18" s="761"/>
      <c r="D18" s="761"/>
      <c r="E18" s="761"/>
      <c r="F18" s="761"/>
      <c r="G18" s="761">
        <f t="shared" ref="G18:Y18" si="11">G4-G9-G12-G17</f>
        <v>61432.203509562503</v>
      </c>
      <c r="H18" s="761">
        <f t="shared" si="11"/>
        <v>65167.395207786969</v>
      </c>
      <c r="I18" s="761">
        <f t="shared" si="11"/>
        <v>68749.969483827415</v>
      </c>
      <c r="J18" s="761">
        <f t="shared" si="11"/>
        <v>72187.735372638621</v>
      </c>
      <c r="K18" s="761">
        <f t="shared" si="11"/>
        <v>75488.112385699264</v>
      </c>
      <c r="L18" s="761">
        <f t="shared" si="11"/>
        <v>78658.149992015358</v>
      </c>
      <c r="M18" s="761">
        <f t="shared" si="11"/>
        <v>81704.407934143615</v>
      </c>
      <c r="N18" s="761">
        <f t="shared" si="11"/>
        <v>84633.248806374118</v>
      </c>
      <c r="O18" s="761">
        <f t="shared" si="11"/>
        <v>87450.717941337803</v>
      </c>
      <c r="P18" s="761">
        <f t="shared" si="11"/>
        <v>90162.559277429711</v>
      </c>
      <c r="Q18" s="761">
        <f t="shared" si="11"/>
        <v>92774.230432882789</v>
      </c>
      <c r="R18" s="761">
        <f t="shared" si="11"/>
        <v>95290.917026159863</v>
      </c>
      <c r="S18" s="761">
        <f t="shared" si="11"/>
        <v>97717.546280347684</v>
      </c>
      <c r="T18" s="761">
        <f t="shared" si="11"/>
        <v>100058.79994735353</v>
      </c>
      <c r="U18" s="761">
        <f t="shared" si="11"/>
        <v>102319.12658591429</v>
      </c>
      <c r="V18" s="761">
        <f t="shared" si="11"/>
        <v>104502.7532257266</v>
      </c>
      <c r="W18" s="761">
        <f t="shared" si="11"/>
        <v>106613.69644839381</v>
      </c>
      <c r="X18" s="761">
        <f t="shared" si="11"/>
        <v>108655.77291434747</v>
      </c>
      <c r="Y18" s="761">
        <f t="shared" si="11"/>
        <v>110632.6093634453</v>
      </c>
      <c r="Z18" s="756"/>
      <c r="AA18" s="756"/>
      <c r="AB18" s="756"/>
      <c r="AC18" s="756"/>
    </row>
    <row r="19" spans="1:29">
      <c r="A19" s="756"/>
      <c r="B19" s="756"/>
      <c r="C19" s="756"/>
      <c r="D19" s="756"/>
      <c r="E19" s="756"/>
      <c r="F19" s="756"/>
      <c r="G19" s="756"/>
      <c r="H19" s="756"/>
      <c r="I19" s="756"/>
      <c r="J19" s="756"/>
      <c r="K19" s="756"/>
      <c r="L19" s="756"/>
      <c r="M19" s="756"/>
      <c r="N19" s="756"/>
      <c r="O19" s="756"/>
      <c r="P19" s="756"/>
      <c r="Q19" s="756"/>
      <c r="R19" s="756"/>
      <c r="S19" s="756"/>
      <c r="T19" s="756"/>
      <c r="U19" s="756"/>
      <c r="V19" s="756"/>
      <c r="W19" s="756"/>
      <c r="X19" s="756"/>
      <c r="Y19" s="756"/>
      <c r="Z19" s="756"/>
      <c r="AA19" s="756"/>
      <c r="AB19" s="756"/>
      <c r="AC19" s="756"/>
    </row>
    <row r="20" spans="1:29">
      <c r="A20" s="756"/>
      <c r="B20" s="756" t="s">
        <v>946</v>
      </c>
      <c r="C20" s="761">
        <f t="shared" ref="C20:Y20" si="12">C6*80%</f>
        <v>3520</v>
      </c>
      <c r="D20" s="761">
        <f t="shared" si="12"/>
        <v>3600</v>
      </c>
      <c r="E20" s="761">
        <f t="shared" si="12"/>
        <v>3720</v>
      </c>
      <c r="F20" s="761">
        <f t="shared" si="12"/>
        <v>3840</v>
      </c>
      <c r="G20" s="761">
        <f t="shared" si="12"/>
        <v>3960</v>
      </c>
      <c r="H20" s="761">
        <f t="shared" si="12"/>
        <v>3979.7999999999993</v>
      </c>
      <c r="I20" s="761">
        <f t="shared" si="12"/>
        <v>3999.6989999999992</v>
      </c>
      <c r="J20" s="761">
        <f t="shared" si="12"/>
        <v>4019.6974949999985</v>
      </c>
      <c r="K20" s="761">
        <f t="shared" si="12"/>
        <v>4039.7959824749983</v>
      </c>
      <c r="L20" s="761">
        <f t="shared" si="12"/>
        <v>4059.9949623873722</v>
      </c>
      <c r="M20" s="761">
        <f t="shared" si="12"/>
        <v>4080.2949371993086</v>
      </c>
      <c r="N20" s="761">
        <f t="shared" si="12"/>
        <v>4100.6964118853057</v>
      </c>
      <c r="O20" s="761">
        <f t="shared" si="12"/>
        <v>4121.1998939447312</v>
      </c>
      <c r="P20" s="761">
        <f t="shared" si="12"/>
        <v>4141.8058934144547</v>
      </c>
      <c r="Q20" s="761">
        <f t="shared" si="12"/>
        <v>4162.5149228815271</v>
      </c>
      <c r="R20" s="761">
        <f t="shared" si="12"/>
        <v>4183.327497495934</v>
      </c>
      <c r="S20" s="761">
        <f t="shared" si="12"/>
        <v>4204.2441349834135</v>
      </c>
      <c r="T20" s="761">
        <f t="shared" si="12"/>
        <v>4225.26535565833</v>
      </c>
      <c r="U20" s="761">
        <f t="shared" si="12"/>
        <v>4246.3916824366215</v>
      </c>
      <c r="V20" s="761">
        <f t="shared" si="12"/>
        <v>4267.6236408488039</v>
      </c>
      <c r="W20" s="761">
        <f t="shared" si="12"/>
        <v>4288.9617590530479</v>
      </c>
      <c r="X20" s="761">
        <f t="shared" si="12"/>
        <v>4310.4065678483121</v>
      </c>
      <c r="Y20" s="761">
        <f t="shared" si="12"/>
        <v>4331.9586006875534</v>
      </c>
      <c r="Z20" s="756"/>
      <c r="AA20" s="756" t="s">
        <v>1002</v>
      </c>
      <c r="AB20" s="756"/>
      <c r="AC20" s="756"/>
    </row>
    <row r="21" spans="1:29">
      <c r="A21" s="756"/>
      <c r="B21" s="764" t="s">
        <v>947</v>
      </c>
      <c r="C21" s="765">
        <f t="shared" ref="C21:U21" si="13">C20/C12</f>
        <v>0.63449414274906868</v>
      </c>
      <c r="D21" s="765">
        <f t="shared" si="13"/>
        <v>0.60561519797441798</v>
      </c>
      <c r="E21" s="765">
        <f t="shared" si="13"/>
        <v>0.58855425041845988</v>
      </c>
      <c r="F21" s="765">
        <f t="shared" si="13"/>
        <v>0.57553706403019156</v>
      </c>
      <c r="G21" s="765">
        <f t="shared" si="13"/>
        <v>0.56571428571428573</v>
      </c>
      <c r="H21" s="765">
        <f t="shared" si="13"/>
        <v>0.54475259299751755</v>
      </c>
      <c r="I21" s="765">
        <f t="shared" si="13"/>
        <v>0.52631794187358549</v>
      </c>
      <c r="J21" s="765">
        <f t="shared" si="13"/>
        <v>0.51000371490983631</v>
      </c>
      <c r="K21" s="765">
        <f t="shared" si="13"/>
        <v>0.49548570794811336</v>
      </c>
      <c r="L21" s="765">
        <f t="shared" si="13"/>
        <v>0.48250224500617944</v>
      </c>
      <c r="M21" s="765">
        <f t="shared" si="13"/>
        <v>0.47083978658478642</v>
      </c>
      <c r="N21" s="765">
        <f t="shared" si="13"/>
        <v>0.46032233879773288</v>
      </c>
      <c r="O21" s="765">
        <f t="shared" si="13"/>
        <v>0.45080354161631464</v>
      </c>
      <c r="P21" s="765">
        <f t="shared" si="13"/>
        <v>0.44216067754424249</v>
      </c>
      <c r="Q21" s="765">
        <f t="shared" si="13"/>
        <v>0.43429007802933395</v>
      </c>
      <c r="R21" s="765">
        <f t="shared" si="13"/>
        <v>0.42710356141838496</v>
      </c>
      <c r="S21" s="765">
        <f t="shared" si="13"/>
        <v>0.42052564194852937</v>
      </c>
      <c r="T21" s="765">
        <f t="shared" si="13"/>
        <v>0.41449132183522464</v>
      </c>
      <c r="U21" s="765">
        <f t="shared" si="13"/>
        <v>0.40894432910810963</v>
      </c>
      <c r="V21" s="765">
        <f>V20/V12</f>
        <v>0.40383569961510474</v>
      </c>
      <c r="W21" s="765">
        <f>W20/W12</f>
        <v>0.39912262723513253</v>
      </c>
      <c r="X21" s="765">
        <f>X20/X12</f>
        <v>0.39476752491263667</v>
      </c>
      <c r="Y21" s="765">
        <f>Y20/Y12</f>
        <v>0.39073725274260701</v>
      </c>
      <c r="Z21" s="756"/>
      <c r="AA21" s="756"/>
      <c r="AB21" s="756"/>
      <c r="AC21" s="756"/>
    </row>
    <row r="22" spans="1:29">
      <c r="A22" s="756"/>
      <c r="B22" s="764"/>
      <c r="C22" s="765"/>
      <c r="D22" s="765"/>
      <c r="E22" s="765"/>
      <c r="F22" s="765"/>
      <c r="G22" s="765"/>
      <c r="H22" s="765"/>
      <c r="I22" s="765"/>
      <c r="J22" s="765"/>
      <c r="K22" s="765"/>
      <c r="L22" s="765"/>
      <c r="M22" s="765"/>
      <c r="N22" s="765"/>
      <c r="O22" s="765"/>
      <c r="P22" s="765"/>
      <c r="Q22" s="765"/>
      <c r="R22" s="765"/>
      <c r="S22" s="765"/>
      <c r="T22" s="765"/>
      <c r="U22" s="765"/>
      <c r="V22" s="765"/>
      <c r="W22" s="765"/>
      <c r="X22" s="765"/>
      <c r="Y22" s="765"/>
      <c r="Z22" s="765"/>
      <c r="AA22" s="765"/>
      <c r="AB22" s="765"/>
      <c r="AC22" s="765"/>
    </row>
    <row r="23" spans="1:29" outlineLevel="1">
      <c r="A23" s="756"/>
      <c r="B23" s="769" t="s">
        <v>423</v>
      </c>
      <c r="C23" s="770"/>
      <c r="D23" s="770"/>
      <c r="E23" s="770"/>
      <c r="F23" s="770"/>
      <c r="G23" s="771">
        <f t="shared" ref="G23:K23" si="14">G20+G12*0.25</f>
        <v>5710</v>
      </c>
      <c r="H23" s="771">
        <f t="shared" si="14"/>
        <v>5806.225450359505</v>
      </c>
      <c r="I23" s="771">
        <f t="shared" si="14"/>
        <v>5899.5482554528344</v>
      </c>
      <c r="J23" s="771">
        <f t="shared" si="14"/>
        <v>5990.1230906795527</v>
      </c>
      <c r="K23" s="771">
        <f t="shared" si="14"/>
        <v>6078.096945384932</v>
      </c>
      <c r="L23" s="771">
        <f>L20+L12*0.25</f>
        <v>6163.6095074012383</v>
      </c>
      <c r="M23" s="771">
        <f t="shared" ref="M23:Y23" si="15">M20+M12*0.25</f>
        <v>6246.7935283631577</v>
      </c>
      <c r="N23" s="771">
        <f t="shared" si="15"/>
        <v>6327.7751707586422</v>
      </c>
      <c r="O23" s="771">
        <f t="shared" si="15"/>
        <v>6406.6743376284194</v>
      </c>
      <c r="P23" s="771">
        <f t="shared" si="15"/>
        <v>6483.6049857817461</v>
      </c>
      <c r="Q23" s="771">
        <f t="shared" si="15"/>
        <v>6558.6754233525808</v>
      </c>
      <c r="R23" s="771">
        <f t="shared" si="15"/>
        <v>6631.9885924791724</v>
      </c>
      <c r="S23" s="771">
        <f t="shared" si="15"/>
        <v>6703.6423378509071</v>
      </c>
      <c r="T23" s="771">
        <f t="shared" si="15"/>
        <v>6773.7296618290311</v>
      </c>
      <c r="U23" s="771">
        <f t="shared" si="15"/>
        <v>6842.3389668126038</v>
      </c>
      <c r="V23" s="771">
        <f t="shared" si="15"/>
        <v>6909.5542854873729</v>
      </c>
      <c r="W23" s="771">
        <f t="shared" si="15"/>
        <v>6975.4554995634799</v>
      </c>
      <c r="X23" s="771">
        <f t="shared" si="15"/>
        <v>7040.1185475775328</v>
      </c>
      <c r="Y23" s="771">
        <f t="shared" si="15"/>
        <v>7103.615622305846</v>
      </c>
      <c r="Z23" s="765"/>
      <c r="AA23" s="765"/>
      <c r="AB23" s="765"/>
      <c r="AC23" s="765"/>
    </row>
    <row r="24" spans="1:29" outlineLevel="1">
      <c r="A24" s="756"/>
      <c r="B24" s="769" t="s">
        <v>424</v>
      </c>
      <c r="C24" s="770"/>
      <c r="D24" s="770"/>
      <c r="E24" s="770"/>
      <c r="F24" s="770"/>
      <c r="G24" s="771">
        <f>G20</f>
        <v>3960</v>
      </c>
      <c r="H24" s="771">
        <f t="shared" ref="H24:Y24" si="16">H20</f>
        <v>3979.7999999999993</v>
      </c>
      <c r="I24" s="771">
        <f t="shared" si="16"/>
        <v>3999.6989999999992</v>
      </c>
      <c r="J24" s="771">
        <f t="shared" si="16"/>
        <v>4019.6974949999985</v>
      </c>
      <c r="K24" s="771">
        <f t="shared" si="16"/>
        <v>4039.7959824749983</v>
      </c>
      <c r="L24" s="771">
        <f t="shared" si="16"/>
        <v>4059.9949623873722</v>
      </c>
      <c r="M24" s="771">
        <f t="shared" si="16"/>
        <v>4080.2949371993086</v>
      </c>
      <c r="N24" s="771">
        <f t="shared" si="16"/>
        <v>4100.6964118853057</v>
      </c>
      <c r="O24" s="771">
        <f t="shared" si="16"/>
        <v>4121.1998939447312</v>
      </c>
      <c r="P24" s="771">
        <f t="shared" si="16"/>
        <v>4141.8058934144547</v>
      </c>
      <c r="Q24" s="771">
        <f t="shared" si="16"/>
        <v>4162.5149228815271</v>
      </c>
      <c r="R24" s="771">
        <f t="shared" si="16"/>
        <v>4183.327497495934</v>
      </c>
      <c r="S24" s="771">
        <f t="shared" si="16"/>
        <v>4204.2441349834135</v>
      </c>
      <c r="T24" s="771">
        <f t="shared" si="16"/>
        <v>4225.26535565833</v>
      </c>
      <c r="U24" s="771">
        <f t="shared" si="16"/>
        <v>4246.3916824366215</v>
      </c>
      <c r="V24" s="771">
        <f t="shared" si="16"/>
        <v>4267.6236408488039</v>
      </c>
      <c r="W24" s="771">
        <f t="shared" si="16"/>
        <v>4288.9617590530479</v>
      </c>
      <c r="X24" s="771">
        <f t="shared" si="16"/>
        <v>4310.4065678483121</v>
      </c>
      <c r="Y24" s="771">
        <f t="shared" si="16"/>
        <v>4331.9586006875534</v>
      </c>
      <c r="Z24" s="765"/>
      <c r="AA24" s="765"/>
      <c r="AB24" s="765"/>
      <c r="AC24" s="765"/>
    </row>
    <row r="25" spans="1:29" outlineLevel="1">
      <c r="A25" s="756"/>
      <c r="B25" s="769" t="s">
        <v>425</v>
      </c>
      <c r="C25" s="770"/>
      <c r="D25" s="770"/>
      <c r="E25" s="770"/>
      <c r="F25" s="770"/>
      <c r="G25" s="771">
        <f>G20</f>
        <v>3960</v>
      </c>
      <c r="H25" s="771">
        <f t="shared" ref="H25:Y25" si="17">H20</f>
        <v>3979.7999999999993</v>
      </c>
      <c r="I25" s="771">
        <f t="shared" si="17"/>
        <v>3999.6989999999992</v>
      </c>
      <c r="J25" s="771">
        <f t="shared" si="17"/>
        <v>4019.6974949999985</v>
      </c>
      <c r="K25" s="771">
        <f t="shared" si="17"/>
        <v>4039.7959824749983</v>
      </c>
      <c r="L25" s="771">
        <f t="shared" si="17"/>
        <v>4059.9949623873722</v>
      </c>
      <c r="M25" s="771">
        <f t="shared" si="17"/>
        <v>4080.2949371993086</v>
      </c>
      <c r="N25" s="771">
        <f t="shared" si="17"/>
        <v>4100.6964118853057</v>
      </c>
      <c r="O25" s="771">
        <f t="shared" si="17"/>
        <v>4121.1998939447312</v>
      </c>
      <c r="P25" s="771">
        <f t="shared" si="17"/>
        <v>4141.8058934144547</v>
      </c>
      <c r="Q25" s="771">
        <f t="shared" si="17"/>
        <v>4162.5149228815271</v>
      </c>
      <c r="R25" s="771">
        <f t="shared" si="17"/>
        <v>4183.327497495934</v>
      </c>
      <c r="S25" s="771">
        <f t="shared" si="17"/>
        <v>4204.2441349834135</v>
      </c>
      <c r="T25" s="771">
        <f t="shared" si="17"/>
        <v>4225.26535565833</v>
      </c>
      <c r="U25" s="771">
        <f t="shared" si="17"/>
        <v>4246.3916824366215</v>
      </c>
      <c r="V25" s="771">
        <f t="shared" si="17"/>
        <v>4267.6236408488039</v>
      </c>
      <c r="W25" s="771">
        <f t="shared" si="17"/>
        <v>4288.9617590530479</v>
      </c>
      <c r="X25" s="771">
        <f t="shared" si="17"/>
        <v>4310.4065678483121</v>
      </c>
      <c r="Y25" s="771">
        <f t="shared" si="17"/>
        <v>4331.9586006875534</v>
      </c>
      <c r="Z25" s="765"/>
      <c r="AA25" s="765"/>
      <c r="AB25" s="765"/>
      <c r="AC25" s="765"/>
    </row>
    <row r="26" spans="1:29">
      <c r="A26" s="793" t="s">
        <v>578</v>
      </c>
      <c r="B26" s="772" t="s">
        <v>948</v>
      </c>
      <c r="C26" s="770"/>
      <c r="D26" s="770"/>
      <c r="E26" s="770"/>
      <c r="F26" s="770"/>
      <c r="G26" s="773">
        <f>CHOOSE(DCF!$C$25,'US CLL'!G23,'US CLL'!G24,'US CLL'!G25)</f>
        <v>3960</v>
      </c>
      <c r="H26" s="773">
        <f>CHOOSE(DCF!$C$25,'US CLL'!H23,'US CLL'!H24,'US CLL'!H25)</f>
        <v>3979.7999999999993</v>
      </c>
      <c r="I26" s="773">
        <f>CHOOSE(DCF!$C$25,'US CLL'!I23,'US CLL'!I24,'US CLL'!I25)</f>
        <v>3999.6989999999992</v>
      </c>
      <c r="J26" s="773">
        <f>CHOOSE(DCF!$C$25,'US CLL'!J23,'US CLL'!J24,'US CLL'!J25)</f>
        <v>4019.6974949999985</v>
      </c>
      <c r="K26" s="773">
        <f>CHOOSE(DCF!$C$25,'US CLL'!K23,'US CLL'!K24,'US CLL'!K25)</f>
        <v>4039.7959824749983</v>
      </c>
      <c r="L26" s="773">
        <f>CHOOSE(DCF!$C$25,'US CLL'!L23,'US CLL'!L24,'US CLL'!L25)</f>
        <v>4059.9949623873722</v>
      </c>
      <c r="M26" s="773">
        <f>CHOOSE(DCF!$C$25,'US CLL'!M23,'US CLL'!M24,'US CLL'!M25)</f>
        <v>4080.2949371993086</v>
      </c>
      <c r="N26" s="773">
        <f>CHOOSE(DCF!$C$25,'US CLL'!N23,'US CLL'!N24,'US CLL'!N25)</f>
        <v>4100.6964118853057</v>
      </c>
      <c r="O26" s="773">
        <f>CHOOSE(DCF!$C$25,'US CLL'!O23,'US CLL'!O24,'US CLL'!O25)</f>
        <v>4121.1998939447312</v>
      </c>
      <c r="P26" s="773">
        <f>CHOOSE(DCF!$C$25,'US CLL'!P23,'US CLL'!P24,'US CLL'!P25)</f>
        <v>4141.8058934144547</v>
      </c>
      <c r="Q26" s="773">
        <f>CHOOSE(DCF!$C$25,'US CLL'!Q23,'US CLL'!Q24,'US CLL'!Q25)</f>
        <v>4162.5149228815271</v>
      </c>
      <c r="R26" s="773">
        <f>CHOOSE(DCF!$C$25,'US CLL'!R23,'US CLL'!R24,'US CLL'!R25)</f>
        <v>4183.327497495934</v>
      </c>
      <c r="S26" s="773">
        <f>CHOOSE(DCF!$C$25,'US CLL'!S23,'US CLL'!S24,'US CLL'!S25)</f>
        <v>4204.2441349834135</v>
      </c>
      <c r="T26" s="773">
        <f>CHOOSE(DCF!$C$25,'US CLL'!T23,'US CLL'!T24,'US CLL'!T25)</f>
        <v>4225.26535565833</v>
      </c>
      <c r="U26" s="773">
        <f>CHOOSE(DCF!$C$25,'US CLL'!U23,'US CLL'!U24,'US CLL'!U25)</f>
        <v>4246.3916824366215</v>
      </c>
      <c r="V26" s="773">
        <f>CHOOSE(DCF!$C$25,'US CLL'!V23,'US CLL'!V24,'US CLL'!V25)</f>
        <v>4267.6236408488039</v>
      </c>
      <c r="W26" s="773">
        <f>CHOOSE(DCF!$C$25,'US CLL'!W23,'US CLL'!W24,'US CLL'!W25)</f>
        <v>4288.9617590530479</v>
      </c>
      <c r="X26" s="773">
        <f>CHOOSE(DCF!$C$25,'US CLL'!X23,'US CLL'!X24,'US CLL'!X25)</f>
        <v>4310.4065678483121</v>
      </c>
      <c r="Y26" s="773">
        <f>CHOOSE(DCF!$C$25,'US CLL'!Y23,'US CLL'!Y24,'US CLL'!Y25)</f>
        <v>4331.9586006875534</v>
      </c>
      <c r="Z26" s="765"/>
      <c r="AA26" s="765"/>
      <c r="AB26" s="765"/>
      <c r="AC26" s="765"/>
    </row>
    <row r="27" spans="1:29">
      <c r="A27" s="756"/>
      <c r="B27" s="756"/>
      <c r="C27" s="756"/>
      <c r="D27" s="756"/>
      <c r="E27" s="756"/>
      <c r="F27" s="756"/>
      <c r="G27" s="756"/>
      <c r="H27" s="756"/>
      <c r="I27" s="756"/>
      <c r="J27" s="756"/>
      <c r="K27" s="756"/>
      <c r="L27" s="756"/>
      <c r="M27" s="756"/>
      <c r="N27" s="756"/>
      <c r="O27" s="756"/>
      <c r="P27" s="756"/>
      <c r="Q27" s="756"/>
      <c r="R27" s="756"/>
      <c r="S27" s="756"/>
      <c r="T27" s="756"/>
      <c r="U27" s="756"/>
      <c r="V27" s="756"/>
      <c r="W27" s="756"/>
      <c r="X27" s="756"/>
      <c r="Y27" s="756"/>
      <c r="Z27" s="756"/>
      <c r="AA27" s="756"/>
      <c r="AB27" s="756"/>
      <c r="AC27" s="756"/>
    </row>
    <row r="28" spans="1:29">
      <c r="A28" s="756"/>
      <c r="B28" s="758" t="s">
        <v>949</v>
      </c>
      <c r="C28" s="759"/>
      <c r="D28" s="759"/>
      <c r="E28" s="759"/>
      <c r="F28" s="759"/>
      <c r="G28" s="759"/>
      <c r="H28" s="759"/>
      <c r="I28" s="759"/>
      <c r="J28" s="759"/>
      <c r="K28" s="759"/>
      <c r="L28" s="759"/>
      <c r="M28" s="759"/>
      <c r="N28" s="759"/>
      <c r="O28" s="759"/>
      <c r="P28" s="759"/>
      <c r="Q28" s="759"/>
      <c r="R28" s="759"/>
      <c r="S28" s="759"/>
      <c r="T28" s="759"/>
      <c r="U28" s="759"/>
      <c r="V28" s="759"/>
      <c r="W28" s="759"/>
      <c r="X28" s="759"/>
      <c r="Y28" s="759"/>
      <c r="Z28" s="756"/>
      <c r="AA28" s="756"/>
      <c r="AB28" s="756"/>
      <c r="AC28" s="756"/>
    </row>
    <row r="29" spans="1:29">
      <c r="A29" s="756"/>
      <c r="B29" s="756"/>
      <c r="C29" s="756"/>
      <c r="D29" s="756"/>
      <c r="E29" s="756"/>
      <c r="F29" s="756"/>
      <c r="G29" s="756"/>
      <c r="H29" s="756"/>
      <c r="I29" s="756"/>
      <c r="J29" s="756"/>
      <c r="K29" s="756"/>
      <c r="L29" s="756"/>
      <c r="M29" s="756"/>
      <c r="N29" s="756"/>
      <c r="O29" s="756"/>
      <c r="P29" s="756"/>
      <c r="Q29" s="756"/>
      <c r="R29" s="756"/>
      <c r="S29" s="756"/>
      <c r="T29" s="756"/>
      <c r="U29" s="765"/>
      <c r="V29" s="765"/>
      <c r="W29" s="765"/>
      <c r="X29" s="765"/>
      <c r="Y29" s="765"/>
      <c r="Z29" s="756"/>
      <c r="AA29" s="756"/>
      <c r="AB29" s="756"/>
      <c r="AC29" s="756"/>
    </row>
    <row r="30" spans="1:29">
      <c r="A30" s="756"/>
      <c r="B30" s="756" t="s">
        <v>950</v>
      </c>
      <c r="C30" s="756"/>
      <c r="D30" s="756"/>
      <c r="E30" s="756"/>
      <c r="F30" s="756"/>
      <c r="G30" s="756"/>
      <c r="H30" s="756"/>
      <c r="I30" s="756"/>
      <c r="J30" s="756"/>
      <c r="K30" s="756"/>
      <c r="L30" s="774"/>
      <c r="M30" s="835">
        <v>0</v>
      </c>
      <c r="N30" s="835">
        <v>0</v>
      </c>
      <c r="O30" s="835">
        <v>0</v>
      </c>
      <c r="P30" s="835">
        <v>0.25</v>
      </c>
      <c r="Q30" s="835">
        <v>0.35</v>
      </c>
      <c r="R30" s="835">
        <v>0.4</v>
      </c>
      <c r="S30" s="835">
        <v>0.5</v>
      </c>
      <c r="T30" s="835">
        <f>S30</f>
        <v>0.5</v>
      </c>
      <c r="U30" s="835">
        <f t="shared" ref="U30:Y30" si="18">T30</f>
        <v>0.5</v>
      </c>
      <c r="V30" s="835">
        <f t="shared" si="18"/>
        <v>0.5</v>
      </c>
      <c r="W30" s="835">
        <f t="shared" si="18"/>
        <v>0.5</v>
      </c>
      <c r="X30" s="835">
        <f t="shared" si="18"/>
        <v>0.5</v>
      </c>
      <c r="Y30" s="835">
        <f t="shared" si="18"/>
        <v>0.5</v>
      </c>
      <c r="Z30" s="756"/>
      <c r="AA30" s="756"/>
      <c r="AB30" s="756"/>
      <c r="AC30" s="756"/>
    </row>
    <row r="31" spans="1:29" hidden="1" outlineLevel="1">
      <c r="A31" s="756"/>
      <c r="B31" s="846"/>
      <c r="C31" s="846"/>
      <c r="D31" s="846"/>
      <c r="E31" s="846"/>
      <c r="F31" s="846"/>
      <c r="G31" s="846"/>
      <c r="H31" s="846"/>
      <c r="I31" s="846"/>
      <c r="J31" s="846"/>
      <c r="K31" s="846"/>
      <c r="L31" s="846"/>
      <c r="M31" s="846"/>
      <c r="N31" s="846"/>
      <c r="O31" s="851">
        <f>1.2*O32</f>
        <v>0.6</v>
      </c>
      <c r="P31" s="851">
        <f t="shared" ref="P31:Y31" si="19">1.2*P32</f>
        <v>0.48</v>
      </c>
      <c r="Q31" s="851">
        <f t="shared" si="19"/>
        <v>0.36</v>
      </c>
      <c r="R31" s="851">
        <f t="shared" si="19"/>
        <v>0.24</v>
      </c>
      <c r="S31" s="851">
        <f t="shared" si="19"/>
        <v>0.3</v>
      </c>
      <c r="T31" s="851">
        <f t="shared" si="19"/>
        <v>0.3</v>
      </c>
      <c r="U31" s="851">
        <f t="shared" si="19"/>
        <v>0.3</v>
      </c>
      <c r="V31" s="851">
        <f t="shared" si="19"/>
        <v>0.3</v>
      </c>
      <c r="W31" s="851">
        <f t="shared" si="19"/>
        <v>0.3</v>
      </c>
      <c r="X31" s="851">
        <f t="shared" si="19"/>
        <v>0.3</v>
      </c>
      <c r="Y31" s="851">
        <f t="shared" si="19"/>
        <v>0.3</v>
      </c>
      <c r="Z31" s="756"/>
      <c r="AA31" s="756"/>
      <c r="AB31" s="756"/>
      <c r="AC31" s="756"/>
    </row>
    <row r="32" spans="1:29" hidden="1" outlineLevel="1">
      <c r="A32" s="756"/>
      <c r="B32" s="846"/>
      <c r="C32" s="846"/>
      <c r="D32" s="846"/>
      <c r="E32" s="846"/>
      <c r="F32" s="846"/>
      <c r="G32" s="846"/>
      <c r="H32" s="846"/>
      <c r="I32" s="846"/>
      <c r="J32" s="846"/>
      <c r="K32" s="846"/>
      <c r="L32" s="846"/>
      <c r="M32" s="846"/>
      <c r="N32" s="846"/>
      <c r="O32" s="851">
        <v>0.5</v>
      </c>
      <c r="P32" s="851">
        <v>0.4</v>
      </c>
      <c r="Q32" s="851">
        <v>0.3</v>
      </c>
      <c r="R32" s="851">
        <v>0.2</v>
      </c>
      <c r="S32" s="851">
        <v>0.25</v>
      </c>
      <c r="T32" s="851">
        <f>S32</f>
        <v>0.25</v>
      </c>
      <c r="U32" s="851">
        <f t="shared" ref="U32:Y32" si="20">T32</f>
        <v>0.25</v>
      </c>
      <c r="V32" s="851">
        <f t="shared" si="20"/>
        <v>0.25</v>
      </c>
      <c r="W32" s="851">
        <f t="shared" si="20"/>
        <v>0.25</v>
      </c>
      <c r="X32" s="851">
        <f t="shared" si="20"/>
        <v>0.25</v>
      </c>
      <c r="Y32" s="851">
        <f t="shared" si="20"/>
        <v>0.25</v>
      </c>
      <c r="Z32" s="756"/>
      <c r="AA32" s="756"/>
      <c r="AB32" s="756"/>
      <c r="AC32" s="756"/>
    </row>
    <row r="33" spans="1:29" hidden="1" outlineLevel="1">
      <c r="A33" s="756"/>
      <c r="B33" s="846"/>
      <c r="C33" s="846"/>
      <c r="D33" s="846"/>
      <c r="E33" s="846"/>
      <c r="F33" s="846"/>
      <c r="G33" s="846"/>
      <c r="H33" s="846"/>
      <c r="I33" s="846"/>
      <c r="J33" s="846"/>
      <c r="K33" s="846"/>
      <c r="L33" s="846"/>
      <c r="M33" s="846"/>
      <c r="N33" s="846"/>
      <c r="O33" s="851">
        <v>0</v>
      </c>
      <c r="P33" s="851">
        <v>0</v>
      </c>
      <c r="Q33" s="851">
        <v>0</v>
      </c>
      <c r="R33" s="851">
        <v>0</v>
      </c>
      <c r="S33" s="851">
        <v>0</v>
      </c>
      <c r="T33" s="851">
        <v>0</v>
      </c>
      <c r="U33" s="851">
        <v>0</v>
      </c>
      <c r="V33" s="851">
        <v>0</v>
      </c>
      <c r="W33" s="851">
        <v>0</v>
      </c>
      <c r="X33" s="851">
        <v>0</v>
      </c>
      <c r="Y33" s="851">
        <v>0</v>
      </c>
      <c r="Z33" s="756"/>
      <c r="AA33" s="756"/>
      <c r="AB33" s="756"/>
      <c r="AC33" s="756"/>
    </row>
    <row r="34" spans="1:29" collapsed="1">
      <c r="A34" s="756"/>
      <c r="B34" s="815" t="s">
        <v>1016</v>
      </c>
      <c r="C34" s="756"/>
      <c r="D34" s="756"/>
      <c r="E34" s="756"/>
      <c r="F34" s="756"/>
      <c r="G34" s="766"/>
      <c r="H34" s="766"/>
      <c r="I34" s="766"/>
      <c r="J34" s="766"/>
      <c r="K34" s="766"/>
      <c r="L34" s="775"/>
      <c r="M34" s="775">
        <f>CHOOSE(DCF!$C$25,M31,M32,M33)</f>
        <v>0</v>
      </c>
      <c r="N34" s="775">
        <f>CHOOSE(DCF!$C$25,N31,N32,N33)</f>
        <v>0</v>
      </c>
      <c r="O34" s="775">
        <f>CHOOSE(DCF!$C$25,O31,O32,O33)</f>
        <v>0.5</v>
      </c>
      <c r="P34" s="775">
        <f>CHOOSE(DCF!$C$25,P31,P32,P33)</f>
        <v>0.4</v>
      </c>
      <c r="Q34" s="775">
        <f>CHOOSE(DCF!$C$25,Q31,Q32,Q33)</f>
        <v>0.3</v>
      </c>
      <c r="R34" s="775">
        <f>CHOOSE(DCF!$C$25,R31,R32,R33)</f>
        <v>0.2</v>
      </c>
      <c r="S34" s="775">
        <f>CHOOSE(DCF!$C$25,S31,S32,S33)</f>
        <v>0.25</v>
      </c>
      <c r="T34" s="775">
        <f>CHOOSE(DCF!$C$25,T31,T32,T33)</f>
        <v>0.25</v>
      </c>
      <c r="U34" s="775">
        <f>CHOOSE(DCF!$C$25,U31,U32,U33)</f>
        <v>0.25</v>
      </c>
      <c r="V34" s="775">
        <f>CHOOSE(DCF!$C$25,V31,V32,V33)</f>
        <v>0.25</v>
      </c>
      <c r="W34" s="775">
        <f>CHOOSE(DCF!$C$25,W31,W32,W33)</f>
        <v>0.25</v>
      </c>
      <c r="X34" s="775">
        <f>CHOOSE(DCF!$C$25,X31,X32,X33)</f>
        <v>0.25</v>
      </c>
      <c r="Y34" s="775">
        <f>CHOOSE(DCF!$C$25,Y31,Y32,Y33)</f>
        <v>0.25</v>
      </c>
      <c r="Z34" s="756"/>
      <c r="AA34" s="756"/>
      <c r="AB34" s="756"/>
      <c r="AC34" s="756"/>
    </row>
    <row r="35" spans="1:29">
      <c r="A35" s="756"/>
      <c r="B35" s="756" t="s">
        <v>68</v>
      </c>
      <c r="C35" s="756"/>
      <c r="D35" s="756"/>
      <c r="E35" s="756"/>
      <c r="F35" s="756"/>
      <c r="G35" s="756"/>
      <c r="H35" s="756"/>
      <c r="I35" s="756"/>
      <c r="J35" s="756"/>
      <c r="K35" s="756"/>
      <c r="L35" s="756"/>
      <c r="M35" s="775">
        <f>1-M34-M30</f>
        <v>1</v>
      </c>
      <c r="N35" s="775">
        <f t="shared" ref="N35:Y35" si="21">1-N34-N30</f>
        <v>1</v>
      </c>
      <c r="O35" s="775">
        <f t="shared" si="21"/>
        <v>0.5</v>
      </c>
      <c r="P35" s="775">
        <f t="shared" si="21"/>
        <v>0.35</v>
      </c>
      <c r="Q35" s="775">
        <f t="shared" si="21"/>
        <v>0.35</v>
      </c>
      <c r="R35" s="775">
        <f t="shared" si="21"/>
        <v>0.4</v>
      </c>
      <c r="S35" s="775">
        <f t="shared" si="21"/>
        <v>0.25</v>
      </c>
      <c r="T35" s="775">
        <f t="shared" si="21"/>
        <v>0.25</v>
      </c>
      <c r="U35" s="775">
        <f t="shared" si="21"/>
        <v>0.25</v>
      </c>
      <c r="V35" s="775">
        <f t="shared" si="21"/>
        <v>0.25</v>
      </c>
      <c r="W35" s="775">
        <f t="shared" si="21"/>
        <v>0.25</v>
      </c>
      <c r="X35" s="775">
        <f t="shared" si="21"/>
        <v>0.25</v>
      </c>
      <c r="Y35" s="775">
        <f t="shared" si="21"/>
        <v>0.25</v>
      </c>
      <c r="Z35" s="756"/>
      <c r="AA35" s="756"/>
      <c r="AB35" s="756"/>
      <c r="AC35" s="756"/>
    </row>
    <row r="36" spans="1:29">
      <c r="A36" s="756"/>
      <c r="B36" s="776" t="s">
        <v>423</v>
      </c>
      <c r="C36" s="777"/>
      <c r="D36" s="777"/>
      <c r="E36" s="777"/>
      <c r="F36" s="777"/>
      <c r="G36" s="778"/>
      <c r="H36" s="778"/>
      <c r="I36" s="778"/>
      <c r="J36" s="778"/>
      <c r="K36" s="778"/>
      <c r="L36" s="778"/>
      <c r="M36" s="778">
        <f>M37</f>
        <v>0.02</v>
      </c>
      <c r="N36" s="778">
        <f t="shared" ref="N36:Y36" si="22">N37</f>
        <v>0.05</v>
      </c>
      <c r="O36" s="778">
        <f t="shared" si="22"/>
        <v>7.0000000000000007E-2</v>
      </c>
      <c r="P36" s="778">
        <f t="shared" si="22"/>
        <v>0.15</v>
      </c>
      <c r="Q36" s="778">
        <f t="shared" si="22"/>
        <v>0.2</v>
      </c>
      <c r="R36" s="778">
        <f t="shared" si="22"/>
        <v>0.25</v>
      </c>
      <c r="S36" s="778">
        <f t="shared" si="22"/>
        <v>0.3</v>
      </c>
      <c r="T36" s="778">
        <f t="shared" si="22"/>
        <v>0.35</v>
      </c>
      <c r="U36" s="778">
        <f t="shared" si="22"/>
        <v>0.4</v>
      </c>
      <c r="V36" s="778">
        <f t="shared" si="22"/>
        <v>0.45</v>
      </c>
      <c r="W36" s="778">
        <f t="shared" si="22"/>
        <v>0.5</v>
      </c>
      <c r="X36" s="778">
        <f t="shared" si="22"/>
        <v>0.5</v>
      </c>
      <c r="Y36" s="778">
        <f t="shared" si="22"/>
        <v>0.5</v>
      </c>
      <c r="Z36" s="774"/>
      <c r="AA36" s="756"/>
      <c r="AB36" s="756"/>
      <c r="AC36" s="756"/>
    </row>
    <row r="37" spans="1:29">
      <c r="A37" s="756"/>
      <c r="B37" s="776" t="s">
        <v>424</v>
      </c>
      <c r="C37" s="777"/>
      <c r="D37" s="777"/>
      <c r="E37" s="777"/>
      <c r="F37" s="777"/>
      <c r="G37" s="778"/>
      <c r="H37" s="778"/>
      <c r="I37" s="778"/>
      <c r="J37" s="778"/>
      <c r="K37" s="778"/>
      <c r="L37" s="778"/>
      <c r="M37" s="778">
        <v>0.02</v>
      </c>
      <c r="N37" s="778">
        <v>0.05</v>
      </c>
      <c r="O37" s="778">
        <v>7.0000000000000007E-2</v>
      </c>
      <c r="P37" s="778">
        <v>0.15</v>
      </c>
      <c r="Q37" s="778">
        <v>0.2</v>
      </c>
      <c r="R37" s="778">
        <v>0.25</v>
      </c>
      <c r="S37" s="778">
        <v>0.3</v>
      </c>
      <c r="T37" s="778">
        <v>0.35</v>
      </c>
      <c r="U37" s="778">
        <v>0.4</v>
      </c>
      <c r="V37" s="778">
        <v>0.45</v>
      </c>
      <c r="W37" s="778">
        <v>0.5</v>
      </c>
      <c r="X37" s="778">
        <f>W37</f>
        <v>0.5</v>
      </c>
      <c r="Y37" s="778">
        <f>X37</f>
        <v>0.5</v>
      </c>
      <c r="Z37" s="774"/>
      <c r="AA37" s="756"/>
      <c r="AB37" s="756"/>
      <c r="AC37" s="756"/>
    </row>
    <row r="38" spans="1:29">
      <c r="A38" s="756"/>
      <c r="B38" s="776" t="s">
        <v>425</v>
      </c>
      <c r="C38" s="777"/>
      <c r="D38" s="777"/>
      <c r="E38" s="777"/>
      <c r="F38" s="777"/>
      <c r="G38" s="778"/>
      <c r="H38" s="778"/>
      <c r="I38" s="778"/>
      <c r="J38" s="778"/>
      <c r="K38" s="778"/>
      <c r="L38" s="778"/>
      <c r="M38" s="778">
        <v>0</v>
      </c>
      <c r="N38" s="778">
        <v>0</v>
      </c>
      <c r="O38" s="778">
        <v>0</v>
      </c>
      <c r="P38" s="778">
        <v>0</v>
      </c>
      <c r="Q38" s="778">
        <v>0</v>
      </c>
      <c r="R38" s="778">
        <v>0</v>
      </c>
      <c r="S38" s="778">
        <v>0</v>
      </c>
      <c r="T38" s="778">
        <v>0</v>
      </c>
      <c r="U38" s="778">
        <v>0</v>
      </c>
      <c r="V38" s="778">
        <v>0</v>
      </c>
      <c r="W38" s="778">
        <v>0</v>
      </c>
      <c r="X38" s="778">
        <v>0</v>
      </c>
      <c r="Y38" s="778">
        <v>0</v>
      </c>
      <c r="Z38" s="774"/>
      <c r="AA38" s="756"/>
      <c r="AB38" s="756"/>
      <c r="AC38" s="756"/>
    </row>
    <row r="39" spans="1:29">
      <c r="A39" s="756"/>
      <c r="B39" s="756" t="s">
        <v>951</v>
      </c>
      <c r="C39" s="756"/>
      <c r="D39" s="756"/>
      <c r="E39" s="756"/>
      <c r="F39" s="756"/>
      <c r="G39" s="756"/>
      <c r="H39" s="756"/>
      <c r="I39" s="756"/>
      <c r="J39" s="756"/>
      <c r="K39" s="756"/>
      <c r="L39" s="756"/>
      <c r="M39" s="988">
        <v>0</v>
      </c>
      <c r="N39" s="988">
        <v>0</v>
      </c>
      <c r="O39" s="774">
        <f>CHOOSE(DCF!$C$25,'US CLL'!M36,'US CLL'!M37,'US CLL'!M38)</f>
        <v>0.02</v>
      </c>
      <c r="P39" s="774">
        <f>CHOOSE(DCF!$C$25,'US CLL'!N36,'US CLL'!N37,'US CLL'!N38)</f>
        <v>0.05</v>
      </c>
      <c r="Q39" s="774">
        <f>CHOOSE(DCF!$C$25,'US CLL'!O36,'US CLL'!O37,'US CLL'!O38)</f>
        <v>7.0000000000000007E-2</v>
      </c>
      <c r="R39" s="774">
        <f>CHOOSE(DCF!$C$25,'US CLL'!P36,'US CLL'!P37,'US CLL'!P38)</f>
        <v>0.15</v>
      </c>
      <c r="S39" s="774">
        <f>CHOOSE(DCF!$C$25,'US CLL'!Q36,'US CLL'!Q37,'US CLL'!Q38)</f>
        <v>0.2</v>
      </c>
      <c r="T39" s="774">
        <f>CHOOSE(DCF!$C$25,'US CLL'!R36,'US CLL'!R37,'US CLL'!R38)</f>
        <v>0.25</v>
      </c>
      <c r="U39" s="774">
        <f>CHOOSE(DCF!$C$25,'US CLL'!S36,'US CLL'!S37,'US CLL'!S38)</f>
        <v>0.3</v>
      </c>
      <c r="V39" s="774">
        <f>CHOOSE(DCF!$C$25,'US CLL'!T36,'US CLL'!T37,'US CLL'!T38)</f>
        <v>0.35</v>
      </c>
      <c r="W39" s="774">
        <f>CHOOSE(DCF!$C$25,'US CLL'!U36,'US CLL'!U37,'US CLL'!U38)</f>
        <v>0.4</v>
      </c>
      <c r="X39" s="774">
        <f>CHOOSE(DCF!$C$25,'US CLL'!V36,'US CLL'!V37,'US CLL'!V38)</f>
        <v>0.45</v>
      </c>
      <c r="Y39" s="774">
        <f>CHOOSE(DCF!$C$25,'US CLL'!W36,'US CLL'!W37,'US CLL'!W38)</f>
        <v>0.5</v>
      </c>
      <c r="Z39" s="774"/>
      <c r="AA39" s="756"/>
      <c r="AB39" s="756"/>
      <c r="AC39" s="756"/>
    </row>
    <row r="40" spans="1:29">
      <c r="A40" s="756"/>
      <c r="B40" s="756"/>
      <c r="C40" s="756"/>
      <c r="D40" s="756"/>
      <c r="E40" s="756"/>
      <c r="F40" s="756"/>
      <c r="G40" s="756"/>
      <c r="H40" s="756"/>
      <c r="I40" s="756"/>
      <c r="J40" s="756"/>
      <c r="K40" s="756"/>
      <c r="L40" s="756"/>
      <c r="M40" s="756"/>
      <c r="N40" s="756"/>
      <c r="O40" s="756"/>
      <c r="P40" s="756"/>
      <c r="Q40" s="756"/>
      <c r="R40" s="756"/>
      <c r="S40" s="756"/>
      <c r="T40" s="756"/>
      <c r="U40" s="756"/>
      <c r="V40" s="756"/>
      <c r="W40" s="756"/>
      <c r="X40" s="756"/>
      <c r="Y40" s="756"/>
      <c r="Z40" s="756"/>
      <c r="AA40" s="756"/>
      <c r="AB40" s="756"/>
      <c r="AC40" s="756"/>
    </row>
    <row r="41" spans="1:29">
      <c r="A41" s="756"/>
      <c r="B41" s="756" t="s">
        <v>952</v>
      </c>
      <c r="C41" s="756"/>
      <c r="D41" s="756"/>
      <c r="E41" s="756"/>
      <c r="F41" s="756"/>
      <c r="G41" s="756"/>
      <c r="H41" s="756"/>
      <c r="I41" s="756"/>
      <c r="J41" s="756"/>
      <c r="K41" s="756"/>
      <c r="L41" s="756"/>
      <c r="M41" s="779">
        <f>'US ALL'!C72</f>
        <v>1</v>
      </c>
      <c r="N41" s="756">
        <f>M41</f>
        <v>1</v>
      </c>
      <c r="O41" s="756">
        <f t="shared" ref="O41:Y41" si="23">N41</f>
        <v>1</v>
      </c>
      <c r="P41" s="756">
        <f t="shared" si="23"/>
        <v>1</v>
      </c>
      <c r="Q41" s="756">
        <f t="shared" si="23"/>
        <v>1</v>
      </c>
      <c r="R41" s="756">
        <f t="shared" si="23"/>
        <v>1</v>
      </c>
      <c r="S41" s="756">
        <f t="shared" si="23"/>
        <v>1</v>
      </c>
      <c r="T41" s="756">
        <f t="shared" si="23"/>
        <v>1</v>
      </c>
      <c r="U41" s="756">
        <f t="shared" si="23"/>
        <v>1</v>
      </c>
      <c r="V41" s="756">
        <f t="shared" si="23"/>
        <v>1</v>
      </c>
      <c r="W41" s="756">
        <f t="shared" si="23"/>
        <v>1</v>
      </c>
      <c r="X41" s="756">
        <f t="shared" si="23"/>
        <v>1</v>
      </c>
      <c r="Y41" s="756">
        <f t="shared" si="23"/>
        <v>1</v>
      </c>
      <c r="Z41" s="756"/>
      <c r="AA41" s="756"/>
      <c r="AB41" s="756"/>
      <c r="AC41" s="756"/>
    </row>
    <row r="42" spans="1:29">
      <c r="A42" s="756"/>
      <c r="B42" s="756"/>
      <c r="C42" s="756"/>
      <c r="D42" s="756"/>
      <c r="E42" s="756"/>
      <c r="F42" s="756"/>
      <c r="G42" s="756"/>
      <c r="H42" s="756"/>
      <c r="I42" s="756"/>
      <c r="J42" s="756"/>
      <c r="K42" s="756"/>
      <c r="L42" s="756"/>
      <c r="M42" s="756"/>
      <c r="N42" s="756"/>
      <c r="O42" s="756"/>
      <c r="P42" s="756"/>
      <c r="Q42" s="756"/>
      <c r="R42" s="756"/>
      <c r="S42" s="756"/>
      <c r="T42" s="756"/>
      <c r="U42" s="756"/>
      <c r="V42" s="756"/>
      <c r="W42" s="756"/>
      <c r="X42" s="756"/>
      <c r="Y42" s="756"/>
      <c r="Z42" s="756"/>
      <c r="AA42" s="756"/>
      <c r="AB42" s="756"/>
      <c r="AC42" s="756"/>
    </row>
    <row r="43" spans="1:29">
      <c r="A43" s="756"/>
      <c r="B43" s="756" t="s">
        <v>1003</v>
      </c>
      <c r="C43" s="756"/>
      <c r="D43" s="756"/>
      <c r="E43" s="756"/>
      <c r="F43" s="756"/>
      <c r="G43" s="756"/>
      <c r="H43" s="756"/>
      <c r="I43" s="756"/>
      <c r="J43" s="756"/>
      <c r="K43" s="756"/>
      <c r="L43" s="756"/>
      <c r="M43" s="782">
        <f>'US DLBCL'!M43</f>
        <v>325</v>
      </c>
      <c r="N43" s="782">
        <f>'US DLBCL'!N43</f>
        <v>325</v>
      </c>
      <c r="O43" s="782">
        <f>'US DLBCL'!O43</f>
        <v>325</v>
      </c>
      <c r="P43" s="782">
        <f>'US DLBCL'!P43</f>
        <v>325</v>
      </c>
      <c r="Q43" s="782">
        <f>'US DLBCL'!Q43</f>
        <v>325</v>
      </c>
      <c r="R43" s="782">
        <f>'US DLBCL'!R43</f>
        <v>325</v>
      </c>
      <c r="S43" s="782">
        <f>'US DLBCL'!S43</f>
        <v>325</v>
      </c>
      <c r="T43" s="782">
        <f>'US DLBCL'!T43</f>
        <v>325</v>
      </c>
      <c r="U43" s="782">
        <f>'US DLBCL'!U43</f>
        <v>325</v>
      </c>
      <c r="V43" s="782">
        <f>'US DLBCL'!V43</f>
        <v>325</v>
      </c>
      <c r="W43" s="782">
        <f>'US DLBCL'!W43</f>
        <v>325</v>
      </c>
      <c r="X43" s="782">
        <f>'US DLBCL'!X43</f>
        <v>325</v>
      </c>
      <c r="Y43" s="782">
        <f>'US DLBCL'!Y43</f>
        <v>325</v>
      </c>
      <c r="Z43" s="756"/>
      <c r="AA43" s="756"/>
      <c r="AB43" s="756"/>
      <c r="AC43" s="756"/>
    </row>
    <row r="44" spans="1:29">
      <c r="A44" s="784"/>
      <c r="B44" s="819" t="s">
        <v>954</v>
      </c>
      <c r="C44" s="784"/>
      <c r="D44" s="784"/>
      <c r="E44" s="784"/>
      <c r="F44" s="784"/>
      <c r="G44" s="784"/>
      <c r="H44" s="784"/>
      <c r="I44" s="784"/>
      <c r="J44" s="784"/>
      <c r="K44" s="784"/>
      <c r="L44" s="784"/>
      <c r="M44" s="784"/>
      <c r="N44" s="795">
        <f>N43/M43-1</f>
        <v>0</v>
      </c>
      <c r="O44" s="795">
        <f t="shared" ref="O44:Y44" si="24">O43/N43-1</f>
        <v>0</v>
      </c>
      <c r="P44" s="795">
        <f t="shared" si="24"/>
        <v>0</v>
      </c>
      <c r="Q44" s="795">
        <f t="shared" si="24"/>
        <v>0</v>
      </c>
      <c r="R44" s="795">
        <f t="shared" si="24"/>
        <v>0</v>
      </c>
      <c r="S44" s="795">
        <f t="shared" si="24"/>
        <v>0</v>
      </c>
      <c r="T44" s="795">
        <f t="shared" si="24"/>
        <v>0</v>
      </c>
      <c r="U44" s="795">
        <f t="shared" si="24"/>
        <v>0</v>
      </c>
      <c r="V44" s="795">
        <f t="shared" si="24"/>
        <v>0</v>
      </c>
      <c r="W44" s="795">
        <f t="shared" si="24"/>
        <v>0</v>
      </c>
      <c r="X44" s="795">
        <f t="shared" si="24"/>
        <v>0</v>
      </c>
      <c r="Y44" s="795">
        <f t="shared" si="24"/>
        <v>0</v>
      </c>
      <c r="Z44" s="784"/>
      <c r="AA44" s="784"/>
      <c r="AB44" s="784"/>
      <c r="AC44" s="784"/>
    </row>
    <row r="45" spans="1:29">
      <c r="A45" s="756"/>
      <c r="B45" s="756"/>
      <c r="C45" s="756"/>
      <c r="D45" s="756"/>
      <c r="E45" s="756"/>
      <c r="F45" s="756"/>
      <c r="G45" s="756"/>
      <c r="H45" s="756"/>
      <c r="I45" s="756"/>
      <c r="J45" s="756"/>
      <c r="K45" s="756"/>
      <c r="L45" s="756"/>
      <c r="M45" s="756"/>
      <c r="N45" s="756"/>
      <c r="O45" s="756"/>
      <c r="P45" s="756"/>
      <c r="Q45" s="756"/>
      <c r="R45" s="756"/>
      <c r="S45" s="756"/>
      <c r="T45" s="756"/>
      <c r="U45" s="756"/>
      <c r="V45" s="756"/>
      <c r="W45" s="756"/>
      <c r="X45" s="756"/>
      <c r="Y45" s="756"/>
      <c r="Z45" s="756"/>
      <c r="AA45" s="756"/>
      <c r="AB45" s="756"/>
      <c r="AC45" s="756"/>
    </row>
    <row r="46" spans="1:29" ht="15.75" thickBot="1">
      <c r="A46" s="756"/>
      <c r="B46" s="789" t="s">
        <v>1004</v>
      </c>
      <c r="C46" s="789"/>
      <c r="D46" s="789"/>
      <c r="E46" s="789"/>
      <c r="F46" s="789"/>
      <c r="G46" s="789"/>
      <c r="H46" s="789"/>
      <c r="I46" s="789"/>
      <c r="J46" s="789"/>
      <c r="K46" s="789"/>
      <c r="L46" s="789"/>
      <c r="M46" s="791">
        <f>M43*M41*M34*M26*M39/1000</f>
        <v>0</v>
      </c>
      <c r="N46" s="791">
        <f t="shared" ref="N46:Y46" si="25">N43*N41*N34*N26*N39/1000</f>
        <v>0</v>
      </c>
      <c r="O46" s="791">
        <f t="shared" si="25"/>
        <v>13.393899655320377</v>
      </c>
      <c r="P46" s="791">
        <f t="shared" si="25"/>
        <v>26.921738307193959</v>
      </c>
      <c r="Q46" s="791">
        <f t="shared" si="25"/>
        <v>28.409164348666426</v>
      </c>
      <c r="R46" s="791">
        <f t="shared" si="25"/>
        <v>40.787443100585357</v>
      </c>
      <c r="S46" s="791">
        <f t="shared" si="25"/>
        <v>68.318967193480461</v>
      </c>
      <c r="T46" s="791">
        <f t="shared" si="25"/>
        <v>85.825702536809828</v>
      </c>
      <c r="U46" s="791">
        <f t="shared" si="25"/>
        <v>103.50579725939265</v>
      </c>
      <c r="V46" s="791">
        <f t="shared" si="25"/>
        <v>121.36054728663784</v>
      </c>
      <c r="W46" s="791">
        <f t="shared" si="25"/>
        <v>139.39125716922405</v>
      </c>
      <c r="X46" s="791">
        <f t="shared" si="25"/>
        <v>157.59924013695391</v>
      </c>
      <c r="Y46" s="791">
        <f t="shared" si="25"/>
        <v>175.98581815293187</v>
      </c>
      <c r="Z46" s="756"/>
      <c r="AA46" s="756"/>
      <c r="AB46" s="756"/>
      <c r="AC46" s="756"/>
    </row>
    <row r="47" spans="1:29" ht="15.75" thickTop="1">
      <c r="A47" s="756"/>
      <c r="B47" s="756"/>
      <c r="C47" s="756"/>
      <c r="D47" s="756"/>
      <c r="E47" s="756"/>
      <c r="F47" s="756"/>
      <c r="G47" s="756"/>
      <c r="H47" s="756"/>
      <c r="I47" s="756"/>
      <c r="J47" s="756"/>
      <c r="K47" s="756"/>
      <c r="L47" s="756"/>
      <c r="M47" s="756"/>
      <c r="N47" s="756"/>
      <c r="O47" s="756"/>
      <c r="P47" s="756"/>
      <c r="Q47" s="756"/>
      <c r="R47" s="756"/>
      <c r="S47" s="756"/>
      <c r="T47" s="756"/>
      <c r="U47" s="756"/>
      <c r="V47" s="756"/>
      <c r="W47" s="756"/>
      <c r="X47" s="756"/>
      <c r="Y47" s="756"/>
      <c r="Z47" s="756"/>
      <c r="AA47" s="756"/>
      <c r="AB47" s="756"/>
      <c r="AC47" s="756"/>
    </row>
    <row r="48" spans="1:29">
      <c r="A48" s="756"/>
      <c r="B48" s="756"/>
      <c r="C48" s="756"/>
      <c r="D48" s="756"/>
      <c r="E48" s="756"/>
      <c r="F48" s="756"/>
      <c r="G48" s="756"/>
      <c r="H48" s="756"/>
      <c r="I48" s="756"/>
      <c r="J48" s="756"/>
      <c r="K48" s="756"/>
      <c r="L48" s="756"/>
      <c r="M48" s="756"/>
      <c r="N48" s="756"/>
      <c r="O48" s="756"/>
      <c r="P48" s="756"/>
      <c r="Q48" s="756"/>
      <c r="R48" s="756"/>
      <c r="S48" s="756"/>
      <c r="T48" s="756"/>
      <c r="U48" s="756"/>
      <c r="V48" s="756"/>
      <c r="W48" s="756"/>
      <c r="X48" s="756"/>
      <c r="Y48" s="756"/>
      <c r="Z48" s="756"/>
      <c r="AA48" s="756"/>
      <c r="AB48" s="756"/>
      <c r="AC48" s="756"/>
    </row>
    <row r="49" spans="1:29">
      <c r="A49" s="756"/>
      <c r="B49" s="756"/>
      <c r="C49" s="756"/>
      <c r="D49" s="756"/>
      <c r="E49" s="756"/>
      <c r="F49" s="756"/>
      <c r="G49" s="756"/>
      <c r="H49" s="756"/>
      <c r="I49" s="756"/>
      <c r="J49" s="756"/>
      <c r="K49" s="756"/>
      <c r="L49" s="756"/>
      <c r="M49" s="756"/>
      <c r="N49" s="756"/>
      <c r="O49" s="756"/>
      <c r="P49" s="756"/>
      <c r="Q49" s="756"/>
      <c r="R49" s="756"/>
      <c r="S49" s="756"/>
      <c r="T49" s="756"/>
      <c r="U49" s="756"/>
      <c r="V49" s="756"/>
      <c r="W49" s="756"/>
      <c r="X49" s="756"/>
      <c r="Y49" s="756"/>
      <c r="Z49" s="756"/>
      <c r="AA49" s="756"/>
      <c r="AB49" s="756"/>
      <c r="AC49" s="756"/>
    </row>
    <row r="50" spans="1:29">
      <c r="A50" s="756"/>
      <c r="B50" s="756"/>
      <c r="C50" s="756"/>
      <c r="D50" s="756"/>
      <c r="E50" s="756"/>
      <c r="F50" s="756"/>
      <c r="G50" s="792">
        <f>G6/G5</f>
        <v>0.34375</v>
      </c>
      <c r="H50" s="792">
        <f>G50</f>
        <v>0.34375</v>
      </c>
      <c r="I50" s="792">
        <f t="shared" ref="I50:Y50" si="26">H50</f>
        <v>0.34375</v>
      </c>
      <c r="J50" s="792">
        <f t="shared" si="26"/>
        <v>0.34375</v>
      </c>
      <c r="K50" s="792">
        <f t="shared" si="26"/>
        <v>0.34375</v>
      </c>
      <c r="L50" s="792">
        <f t="shared" si="26"/>
        <v>0.34375</v>
      </c>
      <c r="M50" s="792">
        <f t="shared" si="26"/>
        <v>0.34375</v>
      </c>
      <c r="N50" s="792">
        <f t="shared" si="26"/>
        <v>0.34375</v>
      </c>
      <c r="O50" s="792">
        <f t="shared" si="26"/>
        <v>0.34375</v>
      </c>
      <c r="P50" s="792">
        <f t="shared" si="26"/>
        <v>0.34375</v>
      </c>
      <c r="Q50" s="792">
        <f t="shared" si="26"/>
        <v>0.34375</v>
      </c>
      <c r="R50" s="792">
        <f t="shared" si="26"/>
        <v>0.34375</v>
      </c>
      <c r="S50" s="792">
        <f t="shared" si="26"/>
        <v>0.34375</v>
      </c>
      <c r="T50" s="792">
        <f t="shared" si="26"/>
        <v>0.34375</v>
      </c>
      <c r="U50" s="792">
        <f t="shared" si="26"/>
        <v>0.34375</v>
      </c>
      <c r="V50" s="792">
        <f t="shared" si="26"/>
        <v>0.34375</v>
      </c>
      <c r="W50" s="792">
        <f t="shared" si="26"/>
        <v>0.34375</v>
      </c>
      <c r="X50" s="792">
        <f t="shared" si="26"/>
        <v>0.34375</v>
      </c>
      <c r="Y50" s="792">
        <f t="shared" si="26"/>
        <v>0.34375</v>
      </c>
      <c r="Z50" s="756"/>
      <c r="AA50" s="756"/>
      <c r="AB50" s="756"/>
      <c r="AC50" s="756"/>
    </row>
    <row r="51" spans="1:29">
      <c r="A51" s="756"/>
      <c r="B51" s="756"/>
      <c r="C51" s="756"/>
      <c r="D51" s="756"/>
      <c r="E51" s="756"/>
      <c r="F51" s="756"/>
      <c r="G51" s="756"/>
      <c r="H51" s="756"/>
      <c r="I51" s="756"/>
      <c r="J51" s="756"/>
      <c r="K51" s="756"/>
      <c r="L51" s="756"/>
      <c r="M51" s="756"/>
      <c r="N51" s="756"/>
      <c r="O51" s="756"/>
      <c r="P51" s="756"/>
      <c r="Q51" s="756"/>
      <c r="R51" s="756"/>
      <c r="S51" s="756"/>
      <c r="T51" s="756"/>
      <c r="U51" s="756"/>
      <c r="V51" s="756"/>
      <c r="W51" s="756"/>
      <c r="X51" s="756"/>
      <c r="Y51" s="756"/>
      <c r="Z51" s="756"/>
      <c r="AA51" s="756"/>
      <c r="AB51" s="756"/>
      <c r="AC51" s="756"/>
    </row>
    <row r="52" spans="1:29">
      <c r="A52" s="756"/>
      <c r="B52" s="756"/>
      <c r="C52" s="756"/>
      <c r="D52" s="756"/>
      <c r="E52" s="756"/>
      <c r="F52" s="756"/>
      <c r="G52" s="756"/>
      <c r="H52" s="756"/>
      <c r="I52" s="756"/>
      <c r="J52" s="756"/>
      <c r="K52" s="756"/>
      <c r="L52" s="756"/>
      <c r="M52" s="756"/>
      <c r="N52" s="756"/>
      <c r="O52" s="756"/>
      <c r="P52" s="756"/>
      <c r="Q52" s="756"/>
      <c r="R52" s="756"/>
      <c r="S52" s="756"/>
      <c r="T52" s="756"/>
      <c r="U52" s="756"/>
      <c r="V52" s="756"/>
      <c r="W52" s="756"/>
      <c r="X52" s="756"/>
      <c r="Y52" s="756"/>
      <c r="Z52" s="756"/>
      <c r="AA52" s="756"/>
      <c r="AB52" s="756"/>
      <c r="AC52" s="756"/>
    </row>
    <row r="53" spans="1:29">
      <c r="A53" s="756"/>
      <c r="B53" s="756"/>
      <c r="C53" s="756"/>
      <c r="D53" s="756"/>
      <c r="E53" s="756"/>
      <c r="F53" s="756"/>
      <c r="G53" s="756"/>
      <c r="H53" s="756"/>
      <c r="I53" s="756"/>
      <c r="J53" s="756"/>
      <c r="K53" s="756"/>
      <c r="L53" s="756"/>
      <c r="M53" s="756"/>
      <c r="N53" s="756"/>
      <c r="O53" s="756"/>
      <c r="P53" s="756"/>
      <c r="Q53" s="756"/>
      <c r="R53" s="756"/>
      <c r="S53" s="756"/>
      <c r="T53" s="756"/>
      <c r="U53" s="756"/>
      <c r="V53" s="756"/>
      <c r="W53" s="756"/>
      <c r="X53" s="756"/>
      <c r="Y53" s="756"/>
      <c r="Z53" s="756"/>
      <c r="AA53" s="756"/>
      <c r="AB53" s="756"/>
      <c r="AC53" s="756"/>
    </row>
    <row r="54" spans="1:29">
      <c r="A54" s="756"/>
      <c r="B54" s="756"/>
      <c r="C54" s="756"/>
      <c r="D54" s="756"/>
      <c r="E54" s="756"/>
      <c r="F54" s="756"/>
      <c r="G54" s="756"/>
      <c r="H54" s="756"/>
      <c r="I54" s="756"/>
      <c r="J54" s="756"/>
      <c r="K54" s="756"/>
      <c r="L54" s="756"/>
      <c r="M54" s="756"/>
      <c r="N54" s="756"/>
      <c r="O54" s="756"/>
      <c r="P54" s="756"/>
      <c r="Q54" s="756"/>
      <c r="R54" s="756"/>
      <c r="S54" s="756"/>
      <c r="T54" s="756"/>
      <c r="U54" s="756"/>
      <c r="V54" s="756"/>
      <c r="W54" s="756"/>
      <c r="X54" s="756"/>
      <c r="Y54" s="756"/>
      <c r="Z54" s="756"/>
      <c r="AA54" s="756"/>
      <c r="AB54" s="756"/>
      <c r="AC54" s="756"/>
    </row>
    <row r="55" spans="1:29">
      <c r="A55" s="756"/>
      <c r="B55" s="756"/>
      <c r="C55" s="756"/>
      <c r="D55" s="756"/>
      <c r="E55" s="756"/>
      <c r="F55" s="756"/>
      <c r="G55" s="756"/>
      <c r="H55" s="756"/>
      <c r="I55" s="756"/>
      <c r="J55" s="756"/>
      <c r="K55" s="756"/>
      <c r="L55" s="756"/>
      <c r="M55" s="756"/>
      <c r="N55" s="756"/>
      <c r="O55" s="756"/>
      <c r="P55" s="756"/>
      <c r="Q55" s="756"/>
      <c r="R55" s="756"/>
      <c r="S55" s="756"/>
      <c r="T55" s="756"/>
      <c r="U55" s="756"/>
      <c r="V55" s="756"/>
      <c r="W55" s="756"/>
      <c r="X55" s="756"/>
      <c r="Y55" s="756"/>
      <c r="Z55" s="756"/>
      <c r="AA55" s="756"/>
      <c r="AB55" s="756"/>
      <c r="AC55" s="756"/>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W42"/>
  <sheetViews>
    <sheetView showGridLines="0" topLeftCell="B5" zoomScaleNormal="100" workbookViewId="0">
      <selection activeCell="P17" sqref="P17"/>
    </sheetView>
  </sheetViews>
  <sheetFormatPr defaultRowHeight="15" outlineLevelRow="1"/>
  <cols>
    <col min="1" max="1" width="2.140625" customWidth="1"/>
    <col min="2" max="2" width="35.140625" customWidth="1"/>
  </cols>
  <sheetData>
    <row r="1" spans="1:23">
      <c r="A1" s="605"/>
      <c r="B1" s="605"/>
      <c r="C1" s="605"/>
      <c r="D1" s="605"/>
      <c r="E1" s="605"/>
      <c r="F1" s="605"/>
      <c r="G1" s="605"/>
      <c r="H1" s="605"/>
      <c r="I1" s="605"/>
      <c r="J1" s="605"/>
      <c r="K1" s="605"/>
      <c r="L1" s="605"/>
      <c r="M1" s="605"/>
      <c r="N1" s="605"/>
      <c r="O1" s="605"/>
      <c r="P1" s="605"/>
      <c r="Q1" s="605"/>
      <c r="R1" s="605"/>
      <c r="S1" s="605"/>
      <c r="T1" s="605"/>
      <c r="U1" s="605"/>
      <c r="V1" s="605"/>
      <c r="W1" s="605"/>
    </row>
    <row r="2" spans="1:23">
      <c r="A2" s="820"/>
      <c r="B2" s="821" t="s">
        <v>993</v>
      </c>
      <c r="C2" s="845">
        <f>DCF!C25</f>
        <v>2</v>
      </c>
      <c r="D2" s="820"/>
      <c r="E2" s="820"/>
      <c r="F2" s="820"/>
      <c r="G2" s="820"/>
      <c r="H2" s="820"/>
      <c r="I2" s="820"/>
      <c r="J2" s="820"/>
      <c r="K2" s="820"/>
      <c r="L2" s="820"/>
      <c r="M2" s="820"/>
      <c r="N2" s="820"/>
      <c r="O2" s="820"/>
      <c r="P2" s="820"/>
      <c r="Q2" s="820"/>
      <c r="R2" s="820"/>
      <c r="S2" s="820"/>
      <c r="T2" s="820"/>
      <c r="U2" s="605"/>
      <c r="V2" s="605"/>
      <c r="W2" s="605"/>
    </row>
    <row r="3" spans="1:23">
      <c r="A3" s="820"/>
      <c r="B3" s="820"/>
      <c r="C3" s="820"/>
      <c r="D3" s="820"/>
      <c r="E3" s="820"/>
      <c r="F3" s="820"/>
      <c r="G3" s="820"/>
      <c r="H3" s="820"/>
      <c r="I3" s="820"/>
      <c r="J3" s="820"/>
      <c r="K3" s="820"/>
      <c r="L3" s="820"/>
      <c r="M3" s="820"/>
      <c r="N3" s="820"/>
      <c r="O3" s="820"/>
      <c r="P3" s="820"/>
      <c r="Q3" s="820"/>
      <c r="R3" s="820"/>
      <c r="S3" s="820"/>
      <c r="T3" s="820"/>
      <c r="U3" s="605"/>
      <c r="V3" s="605"/>
      <c r="W3" s="605"/>
    </row>
    <row r="4" spans="1:23">
      <c r="A4" s="820"/>
      <c r="B4" s="822" t="s">
        <v>1005</v>
      </c>
      <c r="C4" s="820"/>
      <c r="D4" s="820"/>
      <c r="E4" s="820"/>
      <c r="F4" s="820"/>
      <c r="G4" s="820"/>
      <c r="H4" s="820"/>
      <c r="I4" s="820"/>
      <c r="J4" s="820"/>
      <c r="K4" s="820"/>
      <c r="L4" s="820"/>
      <c r="M4" s="820"/>
      <c r="N4" s="820"/>
      <c r="O4" s="820"/>
      <c r="P4" s="820"/>
      <c r="Q4" s="820"/>
      <c r="R4" s="820"/>
      <c r="S4" s="820"/>
      <c r="T4" s="820"/>
      <c r="U4" s="605"/>
      <c r="V4" s="605"/>
      <c r="W4" s="605"/>
    </row>
    <row r="5" spans="1:23">
      <c r="A5" s="820"/>
      <c r="B5" s="820"/>
      <c r="C5" s="820"/>
      <c r="D5" s="820"/>
      <c r="E5" s="820"/>
      <c r="F5" s="820"/>
      <c r="G5" s="820"/>
      <c r="H5" s="820"/>
      <c r="I5" s="820"/>
      <c r="J5" s="820"/>
      <c r="K5" s="820"/>
      <c r="L5" s="820"/>
      <c r="M5" s="820"/>
      <c r="N5" s="820"/>
      <c r="O5" s="820"/>
      <c r="P5" s="820"/>
      <c r="Q5" s="820"/>
      <c r="R5" s="820"/>
      <c r="S5" s="820"/>
      <c r="T5" s="820"/>
      <c r="U5" s="605"/>
      <c r="V5" s="605"/>
      <c r="W5" s="605"/>
    </row>
    <row r="6" spans="1:23">
      <c r="A6" s="820"/>
      <c r="B6" s="823"/>
      <c r="C6" s="824">
        <v>2014</v>
      </c>
      <c r="D6" s="825">
        <f>C6+1</f>
        <v>2015</v>
      </c>
      <c r="E6" s="825">
        <f t="shared" ref="E6:N6" si="0">D6+1</f>
        <v>2016</v>
      </c>
      <c r="F6" s="825">
        <f t="shared" si="0"/>
        <v>2017</v>
      </c>
      <c r="G6" s="825">
        <f t="shared" si="0"/>
        <v>2018</v>
      </c>
      <c r="H6" s="825">
        <f t="shared" si="0"/>
        <v>2019</v>
      </c>
      <c r="I6" s="825">
        <f t="shared" si="0"/>
        <v>2020</v>
      </c>
      <c r="J6" s="825">
        <f t="shared" si="0"/>
        <v>2021</v>
      </c>
      <c r="K6" s="825">
        <f t="shared" si="0"/>
        <v>2022</v>
      </c>
      <c r="L6" s="825">
        <f t="shared" si="0"/>
        <v>2023</v>
      </c>
      <c r="M6" s="825">
        <f t="shared" si="0"/>
        <v>2024</v>
      </c>
      <c r="N6" s="825">
        <f t="shared" si="0"/>
        <v>2025</v>
      </c>
      <c r="O6" s="825">
        <f>N6+1</f>
        <v>2026</v>
      </c>
      <c r="P6" s="825">
        <f>O6+1</f>
        <v>2027</v>
      </c>
      <c r="Q6" s="825">
        <f>P6+1</f>
        <v>2028</v>
      </c>
      <c r="R6" s="825">
        <f>Q6+1</f>
        <v>2029</v>
      </c>
      <c r="S6" s="825">
        <f>R6+1</f>
        <v>2030</v>
      </c>
      <c r="T6" s="820"/>
      <c r="U6" s="605"/>
      <c r="V6" s="605"/>
      <c r="W6" s="605"/>
    </row>
    <row r="7" spans="1:23">
      <c r="A7" s="820"/>
      <c r="B7" s="822"/>
      <c r="C7" s="820"/>
      <c r="D7" s="820"/>
      <c r="E7" s="820"/>
      <c r="F7" s="820"/>
      <c r="G7" s="820"/>
      <c r="H7" s="820"/>
      <c r="I7" s="820"/>
      <c r="J7" s="820"/>
      <c r="K7" s="820"/>
      <c r="L7" s="820"/>
      <c r="M7" s="820"/>
      <c r="N7" s="820"/>
      <c r="O7" s="820"/>
      <c r="P7" s="820"/>
      <c r="Q7" s="820"/>
      <c r="R7" s="820"/>
      <c r="S7" s="820"/>
      <c r="T7" s="820"/>
      <c r="U7" s="605"/>
      <c r="V7" s="605"/>
      <c r="W7" s="605"/>
    </row>
    <row r="8" spans="1:23">
      <c r="A8" s="820"/>
      <c r="B8" s="822" t="s">
        <v>1006</v>
      </c>
      <c r="C8" s="820"/>
      <c r="D8" s="820"/>
      <c r="E8" s="820"/>
      <c r="F8" s="820"/>
      <c r="G8" s="820"/>
      <c r="H8" s="820"/>
      <c r="I8" s="820"/>
      <c r="J8" s="820"/>
      <c r="K8" s="820"/>
      <c r="L8" s="820"/>
      <c r="M8" s="820"/>
      <c r="N8" s="820"/>
      <c r="O8" s="820"/>
      <c r="P8" s="820"/>
      <c r="Q8" s="820"/>
      <c r="R8" s="820"/>
      <c r="S8" s="820"/>
      <c r="T8" s="820"/>
      <c r="U8" s="605"/>
      <c r="V8" s="605"/>
      <c r="W8" s="605"/>
    </row>
    <row r="9" spans="1:23">
      <c r="A9" s="820"/>
      <c r="B9" s="826" t="s">
        <v>1007</v>
      </c>
      <c r="C9" s="827">
        <f>CHOOSE($C$2,C10,C11,C12)</f>
        <v>0</v>
      </c>
      <c r="D9" s="827">
        <f t="shared" ref="D9:S9" si="1">CHOOSE($C$2,D10,D11,D12)</f>
        <v>0</v>
      </c>
      <c r="E9" s="827">
        <f t="shared" si="1"/>
        <v>0</v>
      </c>
      <c r="F9" s="827">
        <f t="shared" si="1"/>
        <v>0</v>
      </c>
      <c r="G9" s="827">
        <f t="shared" si="1"/>
        <v>0</v>
      </c>
      <c r="H9" s="827">
        <f t="shared" si="1"/>
        <v>0</v>
      </c>
      <c r="I9" s="827">
        <f t="shared" si="1"/>
        <v>2.75E-2</v>
      </c>
      <c r="J9" s="827">
        <f t="shared" si="1"/>
        <v>0.11</v>
      </c>
      <c r="K9" s="827">
        <f t="shared" si="1"/>
        <v>0.16500000000000001</v>
      </c>
      <c r="L9" s="827">
        <f t="shared" si="1"/>
        <v>0.2475</v>
      </c>
      <c r="M9" s="827">
        <f t="shared" si="1"/>
        <v>0.39600000000000002</v>
      </c>
      <c r="N9" s="827">
        <f t="shared" si="1"/>
        <v>0.59400000000000008</v>
      </c>
      <c r="O9" s="827">
        <f t="shared" si="1"/>
        <v>0.65340000000000009</v>
      </c>
      <c r="P9" s="827">
        <f t="shared" si="1"/>
        <v>0.66646800000000006</v>
      </c>
      <c r="Q9" s="827">
        <f t="shared" si="1"/>
        <v>0.67979736000000013</v>
      </c>
      <c r="R9" s="827">
        <f t="shared" si="1"/>
        <v>0.69339330720000014</v>
      </c>
      <c r="S9" s="827">
        <f t="shared" si="1"/>
        <v>0.70726117334400018</v>
      </c>
      <c r="T9" s="820"/>
      <c r="U9" s="605"/>
      <c r="V9" s="605"/>
      <c r="W9" s="605"/>
    </row>
    <row r="10" spans="1:23">
      <c r="A10" s="820"/>
      <c r="B10" s="828" t="s">
        <v>1008</v>
      </c>
      <c r="C10" s="829">
        <v>0</v>
      </c>
      <c r="D10" s="830">
        <f t="shared" ref="D10:H12" si="2">C10</f>
        <v>0</v>
      </c>
      <c r="E10" s="830">
        <f t="shared" si="2"/>
        <v>0</v>
      </c>
      <c r="F10" s="830">
        <f t="shared" si="2"/>
        <v>0</v>
      </c>
      <c r="G10" s="830">
        <f t="shared" si="2"/>
        <v>0</v>
      </c>
      <c r="H10" s="830">
        <f t="shared" si="2"/>
        <v>0</v>
      </c>
      <c r="I10" s="830">
        <f>I11+0.02</f>
        <v>4.7500000000000001E-2</v>
      </c>
      <c r="J10" s="830">
        <f>I10*2</f>
        <v>9.5000000000000001E-2</v>
      </c>
      <c r="K10" s="830">
        <f>J10*1.7</f>
        <v>0.1615</v>
      </c>
      <c r="L10" s="830">
        <f>K10*1.6</f>
        <v>0.25840000000000002</v>
      </c>
      <c r="M10" s="830">
        <f>L10*1.5</f>
        <v>0.38760000000000006</v>
      </c>
      <c r="N10" s="830">
        <f>M10*1.4</f>
        <v>0.54264000000000001</v>
      </c>
      <c r="O10" s="830">
        <f>N10*1.3</f>
        <v>0.70543200000000006</v>
      </c>
      <c r="P10" s="830">
        <f>O10*1.2</f>
        <v>0.8465184</v>
      </c>
      <c r="Q10" s="830">
        <f>P10</f>
        <v>0.8465184</v>
      </c>
      <c r="R10" s="830">
        <f>Q10</f>
        <v>0.8465184</v>
      </c>
      <c r="S10" s="830">
        <f>R10</f>
        <v>0.8465184</v>
      </c>
      <c r="T10" s="820"/>
      <c r="U10" s="605"/>
      <c r="V10" s="605"/>
      <c r="W10" s="605"/>
    </row>
    <row r="11" spans="1:23">
      <c r="A11" s="820"/>
      <c r="B11" s="828" t="s">
        <v>1009</v>
      </c>
      <c r="C11" s="829">
        <v>0</v>
      </c>
      <c r="D11" s="830">
        <f t="shared" si="2"/>
        <v>0</v>
      </c>
      <c r="E11" s="830">
        <f t="shared" si="2"/>
        <v>0</v>
      </c>
      <c r="F11" s="830">
        <f t="shared" si="2"/>
        <v>0</v>
      </c>
      <c r="G11" s="830">
        <f t="shared" si="2"/>
        <v>0</v>
      </c>
      <c r="H11" s="830">
        <f t="shared" si="2"/>
        <v>0</v>
      </c>
      <c r="I11" s="829">
        <v>2.75E-2</v>
      </c>
      <c r="J11" s="830">
        <f>I11*4</f>
        <v>0.11</v>
      </c>
      <c r="K11" s="830">
        <f>J11*1.5</f>
        <v>0.16500000000000001</v>
      </c>
      <c r="L11" s="830">
        <f>K11*1.5</f>
        <v>0.2475</v>
      </c>
      <c r="M11" s="830">
        <f>L11*1.6</f>
        <v>0.39600000000000002</v>
      </c>
      <c r="N11" s="830">
        <f>M11*1.5</f>
        <v>0.59400000000000008</v>
      </c>
      <c r="O11" s="830">
        <f>N11*1.1</f>
        <v>0.65340000000000009</v>
      </c>
      <c r="P11" s="830">
        <f>O11*1.02</f>
        <v>0.66646800000000006</v>
      </c>
      <c r="Q11" s="830">
        <f t="shared" ref="Q11:S11" si="3">P11*1.02</f>
        <v>0.67979736000000013</v>
      </c>
      <c r="R11" s="830">
        <f t="shared" si="3"/>
        <v>0.69339330720000014</v>
      </c>
      <c r="S11" s="830">
        <f t="shared" si="3"/>
        <v>0.70726117334400018</v>
      </c>
      <c r="T11" s="820"/>
      <c r="U11" s="605"/>
      <c r="V11" s="605"/>
      <c r="W11" s="605"/>
    </row>
    <row r="12" spans="1:23">
      <c r="A12" s="820"/>
      <c r="B12" s="828" t="s">
        <v>425</v>
      </c>
      <c r="C12" s="829">
        <v>0</v>
      </c>
      <c r="D12" s="830">
        <f t="shared" si="2"/>
        <v>0</v>
      </c>
      <c r="E12" s="830">
        <f t="shared" si="2"/>
        <v>0</v>
      </c>
      <c r="F12" s="830">
        <f t="shared" si="2"/>
        <v>0</v>
      </c>
      <c r="G12" s="830">
        <f t="shared" si="2"/>
        <v>0</v>
      </c>
      <c r="H12" s="830">
        <f t="shared" si="2"/>
        <v>0</v>
      </c>
      <c r="I12" s="830">
        <f>I11*0.25</f>
        <v>6.875E-3</v>
      </c>
      <c r="J12" s="830">
        <f t="shared" ref="J12:S12" si="4">J11*0.25</f>
        <v>2.75E-2</v>
      </c>
      <c r="K12" s="830">
        <f t="shared" si="4"/>
        <v>4.1250000000000002E-2</v>
      </c>
      <c r="L12" s="830">
        <f t="shared" si="4"/>
        <v>6.1874999999999999E-2</v>
      </c>
      <c r="M12" s="830">
        <f t="shared" si="4"/>
        <v>9.9000000000000005E-2</v>
      </c>
      <c r="N12" s="830">
        <f t="shared" si="4"/>
        <v>0.14850000000000002</v>
      </c>
      <c r="O12" s="830">
        <f t="shared" si="4"/>
        <v>0.16335000000000002</v>
      </c>
      <c r="P12" s="830">
        <f t="shared" si="4"/>
        <v>0.16661700000000002</v>
      </c>
      <c r="Q12" s="830">
        <f t="shared" si="4"/>
        <v>0.16994934000000003</v>
      </c>
      <c r="R12" s="830">
        <f t="shared" si="4"/>
        <v>0.17334832680000004</v>
      </c>
      <c r="S12" s="830">
        <f t="shared" si="4"/>
        <v>0.17681529333600005</v>
      </c>
      <c r="T12" s="820"/>
      <c r="U12" s="605"/>
      <c r="V12" s="605"/>
      <c r="W12" s="605"/>
    </row>
    <row r="13" spans="1:23">
      <c r="A13" s="820"/>
      <c r="B13" s="831"/>
      <c r="C13" s="831"/>
      <c r="D13" s="831"/>
      <c r="E13" s="831"/>
      <c r="F13" s="831"/>
      <c r="G13" s="831"/>
      <c r="H13" s="831"/>
      <c r="I13" s="831"/>
      <c r="J13" s="831"/>
      <c r="K13" s="831"/>
      <c r="L13" s="831"/>
      <c r="M13" s="831"/>
      <c r="N13" s="831"/>
      <c r="O13" s="831"/>
      <c r="P13" s="831"/>
      <c r="Q13" s="831"/>
      <c r="R13" s="831"/>
      <c r="S13" s="831"/>
      <c r="T13" s="820"/>
      <c r="U13" s="605"/>
      <c r="V13" s="605"/>
      <c r="W13" s="605"/>
    </row>
    <row r="14" spans="1:23">
      <c r="A14" s="820"/>
      <c r="B14" s="831" t="s">
        <v>1010</v>
      </c>
      <c r="C14" s="832">
        <v>0.5</v>
      </c>
      <c r="D14" s="832">
        <v>0.5</v>
      </c>
      <c r="E14" s="832">
        <v>0.52500000000000002</v>
      </c>
      <c r="F14" s="832">
        <v>0.51500000000000001</v>
      </c>
      <c r="G14" s="832">
        <v>0.505</v>
      </c>
      <c r="H14" s="832">
        <v>0.5</v>
      </c>
      <c r="I14" s="832">
        <v>0.5</v>
      </c>
      <c r="J14" s="832">
        <v>0.5</v>
      </c>
      <c r="K14" s="832">
        <v>0.5</v>
      </c>
      <c r="L14" s="832">
        <v>0.5</v>
      </c>
      <c r="M14" s="832">
        <v>0.5</v>
      </c>
      <c r="N14" s="832">
        <v>0.5</v>
      </c>
      <c r="O14" s="832">
        <v>0.5</v>
      </c>
      <c r="P14" s="832">
        <v>0.5</v>
      </c>
      <c r="Q14" s="832">
        <v>0.5</v>
      </c>
      <c r="R14" s="832">
        <v>0.5</v>
      </c>
      <c r="S14" s="832">
        <v>0.5</v>
      </c>
      <c r="T14" s="820"/>
      <c r="U14" s="605"/>
      <c r="V14" s="605"/>
      <c r="W14" s="605"/>
    </row>
    <row r="15" spans="1:23">
      <c r="A15" s="820"/>
      <c r="B15" s="833" t="s">
        <v>1011</v>
      </c>
      <c r="C15" s="834">
        <f>C9</f>
        <v>0</v>
      </c>
      <c r="D15" s="834">
        <f t="shared" ref="D15:S15" si="5">D9</f>
        <v>0</v>
      </c>
      <c r="E15" s="834">
        <f t="shared" si="5"/>
        <v>0</v>
      </c>
      <c r="F15" s="834">
        <f t="shared" si="5"/>
        <v>0</v>
      </c>
      <c r="G15" s="834">
        <f t="shared" si="5"/>
        <v>0</v>
      </c>
      <c r="H15" s="834">
        <f t="shared" si="5"/>
        <v>0</v>
      </c>
      <c r="I15" s="834">
        <f t="shared" si="5"/>
        <v>2.75E-2</v>
      </c>
      <c r="J15" s="834">
        <f t="shared" si="5"/>
        <v>0.11</v>
      </c>
      <c r="K15" s="834">
        <f t="shared" si="5"/>
        <v>0.16500000000000001</v>
      </c>
      <c r="L15" s="834">
        <f t="shared" si="5"/>
        <v>0.2475</v>
      </c>
      <c r="M15" s="834">
        <f t="shared" si="5"/>
        <v>0.39600000000000002</v>
      </c>
      <c r="N15" s="834">
        <f t="shared" si="5"/>
        <v>0.59400000000000008</v>
      </c>
      <c r="O15" s="834">
        <f t="shared" si="5"/>
        <v>0.65340000000000009</v>
      </c>
      <c r="P15" s="834">
        <f t="shared" si="5"/>
        <v>0.66646800000000006</v>
      </c>
      <c r="Q15" s="834">
        <f t="shared" si="5"/>
        <v>0.67979736000000013</v>
      </c>
      <c r="R15" s="834">
        <f t="shared" si="5"/>
        <v>0.69339330720000014</v>
      </c>
      <c r="S15" s="834">
        <f t="shared" si="5"/>
        <v>0.70726117334400018</v>
      </c>
      <c r="T15" s="820"/>
      <c r="U15" s="605"/>
      <c r="V15" s="605"/>
      <c r="W15" s="605"/>
    </row>
    <row r="16" spans="1:23">
      <c r="A16" s="820"/>
      <c r="B16" s="849" t="s">
        <v>1012</v>
      </c>
      <c r="C16" s="831"/>
      <c r="D16" s="831"/>
      <c r="E16" s="831"/>
      <c r="F16" s="831"/>
      <c r="G16" s="831"/>
      <c r="H16" s="835"/>
      <c r="I16" s="835">
        <v>1</v>
      </c>
      <c r="J16" s="835">
        <v>0.9</v>
      </c>
      <c r="K16" s="835">
        <v>0.8</v>
      </c>
      <c r="L16" s="835">
        <v>0.7</v>
      </c>
      <c r="M16" s="835">
        <v>0.6</v>
      </c>
      <c r="N16" s="835">
        <v>0.5</v>
      </c>
      <c r="O16" s="835">
        <v>0.5</v>
      </c>
      <c r="P16" s="835">
        <v>0.5</v>
      </c>
      <c r="Q16" s="835">
        <v>0.5</v>
      </c>
      <c r="R16" s="835">
        <v>0.5</v>
      </c>
      <c r="S16" s="835">
        <v>0.5</v>
      </c>
      <c r="T16" s="820"/>
      <c r="U16" s="605"/>
      <c r="V16" s="605"/>
      <c r="W16" s="605"/>
    </row>
    <row r="17" spans="1:23" s="859" customFormat="1">
      <c r="A17" s="820"/>
      <c r="B17" s="849" t="s">
        <v>1099</v>
      </c>
      <c r="C17" s="831"/>
      <c r="D17" s="831"/>
      <c r="E17" s="831"/>
      <c r="F17" s="831"/>
      <c r="G17" s="831"/>
      <c r="H17" s="835"/>
      <c r="I17" s="835">
        <v>0</v>
      </c>
      <c r="J17" s="835">
        <f>I17</f>
        <v>0</v>
      </c>
      <c r="K17" s="835">
        <f t="shared" ref="K17:S17" si="6">J17</f>
        <v>0</v>
      </c>
      <c r="L17" s="835">
        <f t="shared" si="6"/>
        <v>0</v>
      </c>
      <c r="M17" s="835">
        <f t="shared" si="6"/>
        <v>0</v>
      </c>
      <c r="N17" s="835">
        <f t="shared" si="6"/>
        <v>0</v>
      </c>
      <c r="O17" s="835">
        <f t="shared" si="6"/>
        <v>0</v>
      </c>
      <c r="P17" s="835">
        <f t="shared" si="6"/>
        <v>0</v>
      </c>
      <c r="Q17" s="835">
        <f t="shared" si="6"/>
        <v>0</v>
      </c>
      <c r="R17" s="835">
        <f t="shared" si="6"/>
        <v>0</v>
      </c>
      <c r="S17" s="835">
        <f t="shared" si="6"/>
        <v>0</v>
      </c>
      <c r="T17" s="820"/>
      <c r="U17" s="605"/>
      <c r="V17" s="605"/>
      <c r="W17" s="605"/>
    </row>
    <row r="18" spans="1:23" hidden="1" outlineLevel="1">
      <c r="A18" s="820"/>
      <c r="B18" s="850" t="s">
        <v>1018</v>
      </c>
      <c r="C18" s="847"/>
      <c r="D18" s="847"/>
      <c r="E18" s="847"/>
      <c r="F18" s="847"/>
      <c r="G18" s="847"/>
      <c r="H18" s="847"/>
      <c r="I18" s="848"/>
      <c r="J18" s="848">
        <f>1.2*J19</f>
        <v>0.06</v>
      </c>
      <c r="K18" s="848">
        <f t="shared" ref="K18:S18" si="7">1.2*K19</f>
        <v>0.12</v>
      </c>
      <c r="L18" s="848">
        <f t="shared" si="7"/>
        <v>0.18</v>
      </c>
      <c r="M18" s="848">
        <f t="shared" si="7"/>
        <v>0.24</v>
      </c>
      <c r="N18" s="848">
        <f t="shared" si="7"/>
        <v>0.24</v>
      </c>
      <c r="O18" s="848">
        <f t="shared" si="7"/>
        <v>0.24</v>
      </c>
      <c r="P18" s="848">
        <f t="shared" si="7"/>
        <v>0.24</v>
      </c>
      <c r="Q18" s="848">
        <f t="shared" si="7"/>
        <v>0.24</v>
      </c>
      <c r="R18" s="848">
        <f t="shared" si="7"/>
        <v>0.24</v>
      </c>
      <c r="S18" s="848">
        <f t="shared" si="7"/>
        <v>0.24</v>
      </c>
      <c r="T18" s="820"/>
      <c r="U18" s="605"/>
      <c r="V18" s="605"/>
      <c r="W18" s="605"/>
    </row>
    <row r="19" spans="1:23" hidden="1" outlineLevel="1">
      <c r="A19" s="820"/>
      <c r="B19" s="850" t="s">
        <v>1019</v>
      </c>
      <c r="C19" s="847"/>
      <c r="D19" s="847"/>
      <c r="E19" s="847"/>
      <c r="F19" s="847"/>
      <c r="G19" s="847"/>
      <c r="H19" s="847"/>
      <c r="I19" s="848"/>
      <c r="J19" s="848">
        <v>0.05</v>
      </c>
      <c r="K19" s="848">
        <v>0.1</v>
      </c>
      <c r="L19" s="848">
        <v>0.15</v>
      </c>
      <c r="M19" s="848">
        <v>0.2</v>
      </c>
      <c r="N19" s="848">
        <v>0.2</v>
      </c>
      <c r="O19" s="848">
        <v>0.2</v>
      </c>
      <c r="P19" s="848">
        <v>0.2</v>
      </c>
      <c r="Q19" s="848">
        <v>0.2</v>
      </c>
      <c r="R19" s="848">
        <v>0.2</v>
      </c>
      <c r="S19" s="848">
        <v>0.2</v>
      </c>
      <c r="T19" s="820"/>
      <c r="U19" s="605"/>
      <c r="V19" s="605"/>
      <c r="W19" s="605"/>
    </row>
    <row r="20" spans="1:23" hidden="1" outlineLevel="1">
      <c r="A20" s="820"/>
      <c r="B20" s="850" t="s">
        <v>1020</v>
      </c>
      <c r="C20" s="847"/>
      <c r="D20" s="847"/>
      <c r="E20" s="847"/>
      <c r="F20" s="847"/>
      <c r="G20" s="847"/>
      <c r="H20" s="847"/>
      <c r="I20" s="848"/>
      <c r="J20" s="848">
        <v>0</v>
      </c>
      <c r="K20" s="848">
        <v>0</v>
      </c>
      <c r="L20" s="848">
        <v>0</v>
      </c>
      <c r="M20" s="848">
        <v>0</v>
      </c>
      <c r="N20" s="848">
        <v>0</v>
      </c>
      <c r="O20" s="848">
        <v>0</v>
      </c>
      <c r="P20" s="848">
        <v>0</v>
      </c>
      <c r="Q20" s="848">
        <v>0</v>
      </c>
      <c r="R20" s="848">
        <v>0</v>
      </c>
      <c r="S20" s="848">
        <v>0</v>
      </c>
      <c r="T20" s="820"/>
      <c r="U20" s="605"/>
      <c r="V20" s="605"/>
      <c r="W20" s="605"/>
    </row>
    <row r="21" spans="1:23" collapsed="1">
      <c r="A21" s="820"/>
      <c r="B21" s="849" t="s">
        <v>1022</v>
      </c>
      <c r="C21" s="831"/>
      <c r="D21" s="831"/>
      <c r="E21" s="831"/>
      <c r="F21" s="831"/>
      <c r="G21" s="831"/>
      <c r="H21" s="831"/>
      <c r="I21" s="835">
        <f>CHOOSE($C$2,I18,I19,I20)</f>
        <v>0</v>
      </c>
      <c r="J21" s="835">
        <v>0.05</v>
      </c>
      <c r="K21" s="835">
        <v>0.1</v>
      </c>
      <c r="L21" s="835">
        <v>0.15</v>
      </c>
      <c r="M21" s="835">
        <v>0.2</v>
      </c>
      <c r="N21" s="835">
        <f>M21</f>
        <v>0.2</v>
      </c>
      <c r="O21" s="835">
        <f t="shared" ref="O21:S21" si="8">N21</f>
        <v>0.2</v>
      </c>
      <c r="P21" s="835">
        <f t="shared" si="8"/>
        <v>0.2</v>
      </c>
      <c r="Q21" s="835">
        <f t="shared" si="8"/>
        <v>0.2</v>
      </c>
      <c r="R21" s="835">
        <f t="shared" si="8"/>
        <v>0.2</v>
      </c>
      <c r="S21" s="835">
        <f t="shared" si="8"/>
        <v>0.2</v>
      </c>
      <c r="T21" s="820"/>
      <c r="U21" s="605"/>
      <c r="V21" s="605"/>
      <c r="W21" s="605"/>
    </row>
    <row r="22" spans="1:23">
      <c r="A22" s="820"/>
      <c r="B22" s="849" t="s">
        <v>1023</v>
      </c>
      <c r="C22" s="831"/>
      <c r="D22" s="831"/>
      <c r="E22" s="831"/>
      <c r="F22" s="831"/>
      <c r="G22" s="831"/>
      <c r="H22" s="831"/>
      <c r="I22" s="835">
        <f>1-I16-I21-I17</f>
        <v>0</v>
      </c>
      <c r="J22" s="835">
        <f t="shared" ref="J22:S22" si="9">1-J16-J21-J17</f>
        <v>4.9999999999999975E-2</v>
      </c>
      <c r="K22" s="835">
        <f t="shared" si="9"/>
        <v>9.999999999999995E-2</v>
      </c>
      <c r="L22" s="835">
        <f t="shared" si="9"/>
        <v>0.15000000000000005</v>
      </c>
      <c r="M22" s="835">
        <f t="shared" si="9"/>
        <v>0.2</v>
      </c>
      <c r="N22" s="835">
        <f t="shared" si="9"/>
        <v>0.3</v>
      </c>
      <c r="O22" s="835">
        <f t="shared" si="9"/>
        <v>0.3</v>
      </c>
      <c r="P22" s="835">
        <f t="shared" si="9"/>
        <v>0.3</v>
      </c>
      <c r="Q22" s="835">
        <f t="shared" si="9"/>
        <v>0.3</v>
      </c>
      <c r="R22" s="835">
        <f t="shared" si="9"/>
        <v>0.3</v>
      </c>
      <c r="S22" s="835">
        <f t="shared" si="9"/>
        <v>0.3</v>
      </c>
      <c r="T22" s="820"/>
      <c r="U22" s="605"/>
      <c r="V22" s="605"/>
      <c r="W22" s="605"/>
    </row>
    <row r="23" spans="1:23">
      <c r="A23" s="820"/>
      <c r="B23" s="833"/>
      <c r="C23" s="831"/>
      <c r="D23" s="831"/>
      <c r="E23" s="831"/>
      <c r="F23" s="831"/>
      <c r="G23" s="831"/>
      <c r="H23" s="831"/>
      <c r="I23" s="835"/>
      <c r="J23" s="835"/>
      <c r="K23" s="835"/>
      <c r="L23" s="835"/>
      <c r="M23" s="835"/>
      <c r="N23" s="835"/>
      <c r="O23" s="835"/>
      <c r="P23" s="835"/>
      <c r="Q23" s="835"/>
      <c r="R23" s="835"/>
      <c r="S23" s="835"/>
      <c r="T23" s="820"/>
      <c r="U23" s="605"/>
      <c r="V23" s="605"/>
      <c r="W23" s="605"/>
    </row>
    <row r="24" spans="1:23">
      <c r="A24" s="820"/>
      <c r="B24" s="831" t="s">
        <v>1021</v>
      </c>
      <c r="C24" s="832">
        <f t="shared" ref="C24:S24" si="10">C21*C15*C14</f>
        <v>0</v>
      </c>
      <c r="D24" s="832">
        <f t="shared" si="10"/>
        <v>0</v>
      </c>
      <c r="E24" s="832">
        <f t="shared" si="10"/>
        <v>0</v>
      </c>
      <c r="F24" s="832">
        <f t="shared" si="10"/>
        <v>0</v>
      </c>
      <c r="G24" s="832">
        <f t="shared" si="10"/>
        <v>0</v>
      </c>
      <c r="H24" s="832">
        <f t="shared" si="10"/>
        <v>0</v>
      </c>
      <c r="I24" s="832">
        <f t="shared" si="10"/>
        <v>0</v>
      </c>
      <c r="J24" s="832">
        <f t="shared" si="10"/>
        <v>2.7500000000000003E-3</v>
      </c>
      <c r="K24" s="832">
        <f t="shared" si="10"/>
        <v>8.2500000000000004E-3</v>
      </c>
      <c r="L24" s="832">
        <f t="shared" si="10"/>
        <v>1.8562499999999999E-2</v>
      </c>
      <c r="M24" s="832">
        <f t="shared" si="10"/>
        <v>3.9600000000000003E-2</v>
      </c>
      <c r="N24" s="832">
        <f t="shared" si="10"/>
        <v>5.9400000000000008E-2</v>
      </c>
      <c r="O24" s="832">
        <f t="shared" si="10"/>
        <v>6.5340000000000009E-2</v>
      </c>
      <c r="P24" s="832">
        <f t="shared" si="10"/>
        <v>6.6646800000000006E-2</v>
      </c>
      <c r="Q24" s="832">
        <f t="shared" si="10"/>
        <v>6.7979736000000013E-2</v>
      </c>
      <c r="R24" s="832">
        <f t="shared" si="10"/>
        <v>6.9339330720000023E-2</v>
      </c>
      <c r="S24" s="832">
        <f t="shared" si="10"/>
        <v>7.0726117334400027E-2</v>
      </c>
      <c r="T24" s="820"/>
      <c r="U24" s="605"/>
      <c r="V24" s="605"/>
      <c r="W24" s="605"/>
    </row>
    <row r="25" spans="1:23">
      <c r="A25" s="820"/>
      <c r="B25" s="831"/>
      <c r="C25" s="831"/>
      <c r="D25" s="831"/>
      <c r="E25" s="831"/>
      <c r="F25" s="831"/>
      <c r="G25" s="831"/>
      <c r="H25" s="831"/>
      <c r="I25" s="831"/>
      <c r="J25" s="831"/>
      <c r="K25" s="831"/>
      <c r="L25" s="831"/>
      <c r="M25" s="831"/>
      <c r="N25" s="831"/>
      <c r="O25" s="831"/>
      <c r="P25" s="831"/>
      <c r="Q25" s="831"/>
      <c r="R25" s="831"/>
      <c r="S25" s="831"/>
      <c r="T25" s="820"/>
      <c r="U25" s="605"/>
      <c r="V25" s="605"/>
      <c r="W25" s="605"/>
    </row>
    <row r="26" spans="1:23">
      <c r="A26" s="822"/>
      <c r="B26" s="822" t="s">
        <v>1024</v>
      </c>
      <c r="C26" s="822"/>
      <c r="D26" s="822"/>
      <c r="E26" s="822"/>
      <c r="F26" s="822"/>
      <c r="G26" s="822"/>
      <c r="H26" s="822"/>
      <c r="I26" s="822"/>
      <c r="J26" s="822"/>
      <c r="K26" s="822"/>
      <c r="L26" s="822"/>
      <c r="M26" s="822"/>
      <c r="N26" s="822"/>
      <c r="O26" s="822"/>
      <c r="P26" s="822"/>
      <c r="Q26" s="822"/>
      <c r="R26" s="822"/>
      <c r="S26" s="822"/>
      <c r="T26" s="822"/>
      <c r="U26" s="605"/>
      <c r="V26" s="605"/>
      <c r="W26" s="605"/>
    </row>
    <row r="27" spans="1:23">
      <c r="A27" s="820"/>
      <c r="B27" s="820" t="s">
        <v>1013</v>
      </c>
      <c r="C27" s="820"/>
      <c r="D27" s="820"/>
      <c r="E27" s="820"/>
      <c r="F27" s="820"/>
      <c r="G27" s="836"/>
      <c r="H27" s="836"/>
      <c r="I27" s="837">
        <f>'US CLL'!O43</f>
        <v>325</v>
      </c>
      <c r="J27" s="837">
        <f>'US CLL'!P43</f>
        <v>325</v>
      </c>
      <c r="K27" s="837">
        <f>'US CLL'!Q43</f>
        <v>325</v>
      </c>
      <c r="L27" s="837">
        <f>'US CLL'!R43</f>
        <v>325</v>
      </c>
      <c r="M27" s="837">
        <f>'US CLL'!S43</f>
        <v>325</v>
      </c>
      <c r="N27" s="837">
        <f>'US CLL'!T43</f>
        <v>325</v>
      </c>
      <c r="O27" s="837">
        <f>'US CLL'!U43</f>
        <v>325</v>
      </c>
      <c r="P27" s="837">
        <f>'US CLL'!V43</f>
        <v>325</v>
      </c>
      <c r="Q27" s="837">
        <f>'US CLL'!W43</f>
        <v>325</v>
      </c>
      <c r="R27" s="837">
        <f>'US CLL'!X43</f>
        <v>325</v>
      </c>
      <c r="S27" s="837">
        <f>'US CLL'!Y43</f>
        <v>325</v>
      </c>
      <c r="T27" s="820"/>
      <c r="U27" s="605"/>
      <c r="V27" s="605"/>
      <c r="W27" s="605"/>
    </row>
    <row r="28" spans="1:23">
      <c r="A28" s="820"/>
      <c r="B28" s="838" t="s">
        <v>1014</v>
      </c>
      <c r="C28" s="820"/>
      <c r="D28" s="820"/>
      <c r="E28" s="820"/>
      <c r="F28" s="820"/>
      <c r="G28" s="830"/>
      <c r="H28" s="830"/>
      <c r="I28" s="839" t="s">
        <v>453</v>
      </c>
      <c r="J28" s="989">
        <f>J27/I27-1</f>
        <v>0</v>
      </c>
      <c r="K28" s="989">
        <f t="shared" ref="K28:S28" si="11">K27/J27-1</f>
        <v>0</v>
      </c>
      <c r="L28" s="989">
        <f t="shared" si="11"/>
        <v>0</v>
      </c>
      <c r="M28" s="989">
        <f t="shared" si="11"/>
        <v>0</v>
      </c>
      <c r="N28" s="989">
        <f t="shared" si="11"/>
        <v>0</v>
      </c>
      <c r="O28" s="989">
        <f t="shared" si="11"/>
        <v>0</v>
      </c>
      <c r="P28" s="989">
        <f t="shared" si="11"/>
        <v>0</v>
      </c>
      <c r="Q28" s="989">
        <f t="shared" si="11"/>
        <v>0</v>
      </c>
      <c r="R28" s="989">
        <f t="shared" si="11"/>
        <v>0</v>
      </c>
      <c r="S28" s="989">
        <f t="shared" si="11"/>
        <v>0</v>
      </c>
      <c r="T28" s="820"/>
      <c r="U28" s="605"/>
      <c r="V28" s="605"/>
      <c r="W28" s="605"/>
    </row>
    <row r="29" spans="1:23">
      <c r="A29" s="820"/>
      <c r="B29" s="838" t="s">
        <v>494</v>
      </c>
      <c r="C29" s="820"/>
      <c r="D29" s="820"/>
      <c r="E29" s="820"/>
      <c r="F29" s="820"/>
      <c r="G29" s="830"/>
      <c r="H29" s="830"/>
      <c r="I29" s="829">
        <v>0.1</v>
      </c>
      <c r="J29" s="840">
        <f>I29</f>
        <v>0.1</v>
      </c>
      <c r="K29" s="840">
        <f t="shared" ref="K29:S29" si="12">J29</f>
        <v>0.1</v>
      </c>
      <c r="L29" s="840">
        <f t="shared" si="12"/>
        <v>0.1</v>
      </c>
      <c r="M29" s="840">
        <f t="shared" si="12"/>
        <v>0.1</v>
      </c>
      <c r="N29" s="840">
        <f t="shared" si="12"/>
        <v>0.1</v>
      </c>
      <c r="O29" s="840">
        <f t="shared" si="12"/>
        <v>0.1</v>
      </c>
      <c r="P29" s="840">
        <f t="shared" si="12"/>
        <v>0.1</v>
      </c>
      <c r="Q29" s="840">
        <f t="shared" si="12"/>
        <v>0.1</v>
      </c>
      <c r="R29" s="840">
        <f t="shared" si="12"/>
        <v>0.1</v>
      </c>
      <c r="S29" s="840">
        <f t="shared" si="12"/>
        <v>0.1</v>
      </c>
      <c r="T29" s="820"/>
      <c r="U29" s="605"/>
      <c r="V29" s="605"/>
      <c r="W29" s="605"/>
    </row>
    <row r="30" spans="1:23">
      <c r="A30" s="820"/>
      <c r="B30" s="841" t="s">
        <v>1015</v>
      </c>
      <c r="C30" s="841"/>
      <c r="D30" s="841"/>
      <c r="E30" s="841"/>
      <c r="F30" s="841"/>
      <c r="G30" s="842"/>
      <c r="H30" s="842"/>
      <c r="I30" s="842">
        <f>I27*(1-I29)</f>
        <v>292.5</v>
      </c>
      <c r="J30" s="842">
        <f t="shared" ref="J30:S30" si="13">J27*(1-J29)</f>
        <v>292.5</v>
      </c>
      <c r="K30" s="842">
        <f t="shared" si="13"/>
        <v>292.5</v>
      </c>
      <c r="L30" s="842">
        <f t="shared" si="13"/>
        <v>292.5</v>
      </c>
      <c r="M30" s="842">
        <f t="shared" si="13"/>
        <v>292.5</v>
      </c>
      <c r="N30" s="842">
        <f t="shared" si="13"/>
        <v>292.5</v>
      </c>
      <c r="O30" s="842">
        <f t="shared" si="13"/>
        <v>292.5</v>
      </c>
      <c r="P30" s="842">
        <f t="shared" si="13"/>
        <v>292.5</v>
      </c>
      <c r="Q30" s="842">
        <f t="shared" si="13"/>
        <v>292.5</v>
      </c>
      <c r="R30" s="842">
        <f t="shared" si="13"/>
        <v>292.5</v>
      </c>
      <c r="S30" s="842">
        <f t="shared" si="13"/>
        <v>292.5</v>
      </c>
      <c r="T30" s="820"/>
      <c r="U30" s="605"/>
      <c r="V30" s="605"/>
      <c r="W30" s="605"/>
    </row>
    <row r="31" spans="1:23">
      <c r="A31" s="820"/>
      <c r="B31" s="841"/>
      <c r="C31" s="841"/>
      <c r="D31" s="841"/>
      <c r="E31" s="841"/>
      <c r="F31" s="841"/>
      <c r="G31" s="841"/>
      <c r="H31" s="841"/>
      <c r="I31" s="841"/>
      <c r="J31" s="841"/>
      <c r="K31" s="841"/>
      <c r="L31" s="841"/>
      <c r="M31" s="841"/>
      <c r="N31" s="841"/>
      <c r="O31" s="841"/>
      <c r="P31" s="841"/>
      <c r="Q31" s="841"/>
      <c r="R31" s="841"/>
      <c r="S31" s="841"/>
      <c r="T31" s="820"/>
      <c r="U31" s="605"/>
      <c r="V31" s="605"/>
      <c r="W31" s="605"/>
    </row>
    <row r="32" spans="1:23" ht="15.75" thickBot="1">
      <c r="A32" s="820"/>
      <c r="B32" s="820"/>
      <c r="C32" s="820"/>
      <c r="D32" s="820"/>
      <c r="E32" s="820"/>
      <c r="F32" s="820"/>
      <c r="G32" s="820"/>
      <c r="H32" s="820"/>
      <c r="I32" s="820"/>
      <c r="J32" s="820"/>
      <c r="K32" s="820"/>
      <c r="L32" s="820"/>
      <c r="M32" s="820"/>
      <c r="N32" s="820"/>
      <c r="O32" s="820"/>
      <c r="P32" s="820"/>
      <c r="Q32" s="820"/>
      <c r="R32" s="820"/>
      <c r="S32" s="820"/>
      <c r="T32" s="820"/>
      <c r="U32" s="605"/>
      <c r="V32" s="605"/>
      <c r="W32" s="605"/>
    </row>
    <row r="33" spans="1:23" ht="15.75" thickBot="1">
      <c r="A33" s="820"/>
      <c r="B33" s="843" t="s">
        <v>1025</v>
      </c>
      <c r="C33" s="843"/>
      <c r="D33" s="843"/>
      <c r="E33" s="843"/>
      <c r="F33" s="843"/>
      <c r="G33" s="844"/>
      <c r="H33" s="844"/>
      <c r="I33" s="844">
        <f>I30*I24/1000</f>
        <v>0</v>
      </c>
      <c r="J33" s="844">
        <f t="shared" ref="J33:S33" si="14">J30*J24/1000</f>
        <v>8.0437500000000008E-4</v>
      </c>
      <c r="K33" s="844">
        <f t="shared" si="14"/>
        <v>2.4131249999999999E-3</v>
      </c>
      <c r="L33" s="844">
        <f t="shared" si="14"/>
        <v>5.4295312500000003E-3</v>
      </c>
      <c r="M33" s="844">
        <f t="shared" si="14"/>
        <v>1.1583E-2</v>
      </c>
      <c r="N33" s="844">
        <f t="shared" si="14"/>
        <v>1.7374500000000001E-2</v>
      </c>
      <c r="O33" s="844">
        <f t="shared" si="14"/>
        <v>1.9111950000000003E-2</v>
      </c>
      <c r="P33" s="844">
        <f t="shared" si="14"/>
        <v>1.9494189000000002E-2</v>
      </c>
      <c r="Q33" s="844">
        <f t="shared" si="14"/>
        <v>1.9884072780000005E-2</v>
      </c>
      <c r="R33" s="844">
        <f t="shared" si="14"/>
        <v>2.0281754235600007E-2</v>
      </c>
      <c r="S33" s="844">
        <f t="shared" si="14"/>
        <v>2.0687389320312007E-2</v>
      </c>
      <c r="T33" s="820"/>
      <c r="U33" s="605"/>
      <c r="V33" s="605"/>
      <c r="W33" s="605"/>
    </row>
    <row r="34" spans="1:23">
      <c r="A34" s="820"/>
      <c r="B34" s="820"/>
      <c r="C34" s="820"/>
      <c r="D34" s="820"/>
      <c r="E34" s="820"/>
      <c r="F34" s="820"/>
      <c r="G34" s="820"/>
      <c r="H34" s="820"/>
      <c r="I34" s="820"/>
      <c r="J34" s="820"/>
      <c r="K34" s="820"/>
      <c r="L34" s="820"/>
      <c r="M34" s="820"/>
      <c r="N34" s="820"/>
      <c r="O34" s="820"/>
      <c r="P34" s="820"/>
      <c r="Q34" s="820"/>
      <c r="R34" s="820"/>
      <c r="S34" s="820"/>
      <c r="T34" s="820"/>
      <c r="U34" s="605"/>
      <c r="V34" s="605"/>
      <c r="W34" s="605"/>
    </row>
    <row r="35" spans="1:23">
      <c r="A35" s="605"/>
      <c r="B35" s="605"/>
      <c r="C35" s="605"/>
      <c r="D35" s="605"/>
      <c r="E35" s="605"/>
      <c r="F35" s="605"/>
      <c r="G35" s="605"/>
      <c r="H35" s="605"/>
      <c r="I35" s="605"/>
      <c r="J35" s="605"/>
      <c r="K35" s="605"/>
      <c r="L35" s="605"/>
      <c r="M35" s="605"/>
      <c r="N35" s="605"/>
      <c r="O35" s="605"/>
      <c r="P35" s="605"/>
      <c r="Q35" s="605"/>
      <c r="R35" s="605"/>
      <c r="S35" s="605"/>
      <c r="T35" s="605"/>
      <c r="U35" s="605"/>
      <c r="V35" s="605"/>
      <c r="W35" s="605"/>
    </row>
    <row r="36" spans="1:23">
      <c r="A36" s="605"/>
      <c r="B36" s="605"/>
      <c r="C36" s="605"/>
      <c r="D36" s="605"/>
      <c r="E36" s="605"/>
      <c r="F36" s="605"/>
      <c r="G36" s="605"/>
      <c r="H36" s="605"/>
      <c r="I36" s="605"/>
      <c r="J36" s="605"/>
      <c r="K36" s="605"/>
      <c r="L36" s="605"/>
      <c r="M36" s="605"/>
      <c r="N36" s="605"/>
      <c r="O36" s="605"/>
      <c r="P36" s="605"/>
      <c r="Q36" s="605"/>
      <c r="R36" s="605"/>
      <c r="S36" s="605"/>
      <c r="T36" s="605"/>
      <c r="U36" s="605"/>
      <c r="V36" s="605"/>
      <c r="W36" s="605"/>
    </row>
    <row r="37" spans="1:23">
      <c r="A37" s="605"/>
      <c r="B37" s="605"/>
      <c r="C37" s="605"/>
      <c r="D37" s="605"/>
      <c r="E37" s="605"/>
      <c r="F37" s="605"/>
      <c r="G37" s="605"/>
      <c r="H37" s="605"/>
      <c r="I37" s="605"/>
      <c r="J37" s="605"/>
      <c r="K37" s="605"/>
      <c r="L37" s="605"/>
      <c r="M37" s="605"/>
      <c r="N37" s="605"/>
      <c r="O37" s="605"/>
      <c r="P37" s="605"/>
      <c r="Q37" s="605"/>
      <c r="R37" s="605"/>
      <c r="S37" s="605"/>
      <c r="T37" s="605"/>
      <c r="U37" s="605"/>
      <c r="V37" s="605"/>
      <c r="W37" s="605"/>
    </row>
    <row r="38" spans="1:23">
      <c r="A38" s="605"/>
      <c r="B38" s="605"/>
      <c r="C38" s="605"/>
      <c r="D38" s="605"/>
      <c r="E38" s="605"/>
      <c r="F38" s="605"/>
      <c r="G38" s="605"/>
      <c r="H38" s="605"/>
      <c r="I38" s="605"/>
      <c r="J38" s="605"/>
      <c r="K38" s="605"/>
      <c r="L38" s="605"/>
      <c r="M38" s="605"/>
      <c r="N38" s="605"/>
      <c r="O38" s="605"/>
      <c r="P38" s="605"/>
      <c r="Q38" s="605"/>
      <c r="R38" s="605"/>
      <c r="S38" s="605"/>
      <c r="T38" s="605"/>
      <c r="U38" s="605"/>
      <c r="V38" s="605"/>
      <c r="W38" s="605"/>
    </row>
    <row r="39" spans="1:23">
      <c r="A39" s="605"/>
      <c r="B39" s="605"/>
      <c r="C39" s="605"/>
      <c r="D39" s="605"/>
      <c r="E39" s="605"/>
      <c r="F39" s="605"/>
      <c r="G39" s="605"/>
      <c r="H39" s="605"/>
      <c r="I39" s="605"/>
      <c r="J39" s="605"/>
      <c r="K39" s="605"/>
      <c r="L39" s="605"/>
      <c r="M39" s="605"/>
      <c r="N39" s="605"/>
      <c r="O39" s="605"/>
      <c r="P39" s="605"/>
      <c r="Q39" s="605"/>
      <c r="R39" s="605"/>
      <c r="S39" s="605"/>
      <c r="T39" s="605"/>
      <c r="U39" s="605"/>
      <c r="V39" s="605"/>
      <c r="W39" s="605"/>
    </row>
    <row r="40" spans="1:23">
      <c r="A40" s="605"/>
      <c r="B40" s="605"/>
      <c r="C40" s="605"/>
      <c r="D40" s="605"/>
      <c r="E40" s="605"/>
      <c r="F40" s="605"/>
      <c r="G40" s="605"/>
      <c r="H40" s="605"/>
      <c r="I40" s="605"/>
      <c r="J40" s="605"/>
      <c r="K40" s="605"/>
      <c r="L40" s="605"/>
      <c r="M40" s="605"/>
      <c r="N40" s="605"/>
      <c r="O40" s="605"/>
      <c r="P40" s="605"/>
      <c r="Q40" s="605"/>
      <c r="R40" s="605"/>
      <c r="S40" s="605"/>
      <c r="T40" s="605"/>
      <c r="U40" s="605"/>
      <c r="V40" s="605"/>
      <c r="W40" s="605"/>
    </row>
    <row r="41" spans="1:23">
      <c r="A41" s="605"/>
      <c r="B41" s="605"/>
      <c r="C41" s="605"/>
      <c r="D41" s="605"/>
      <c r="E41" s="605"/>
      <c r="F41" s="605"/>
      <c r="G41" s="605"/>
      <c r="H41" s="605"/>
      <c r="I41" s="605"/>
      <c r="J41" s="605"/>
      <c r="K41" s="605"/>
      <c r="L41" s="605"/>
      <c r="M41" s="605"/>
      <c r="N41" s="605"/>
      <c r="O41" s="605"/>
      <c r="P41" s="605"/>
      <c r="Q41" s="605"/>
      <c r="R41" s="605"/>
      <c r="S41" s="605"/>
      <c r="T41" s="605"/>
      <c r="U41" s="605"/>
      <c r="V41" s="605"/>
      <c r="W41" s="605"/>
    </row>
    <row r="42" spans="1:23">
      <c r="A42" s="605"/>
      <c r="B42" s="605"/>
      <c r="C42" s="605"/>
      <c r="D42" s="605"/>
      <c r="E42" s="605"/>
      <c r="F42" s="605"/>
      <c r="G42" s="605"/>
      <c r="H42" s="605"/>
      <c r="I42" s="605"/>
      <c r="J42" s="605"/>
      <c r="K42" s="605"/>
      <c r="L42" s="605"/>
      <c r="M42" s="605"/>
      <c r="N42" s="605"/>
      <c r="O42" s="605"/>
      <c r="P42" s="605"/>
      <c r="Q42" s="605"/>
      <c r="R42" s="605"/>
      <c r="S42" s="605"/>
      <c r="T42" s="605"/>
      <c r="U42" s="605"/>
      <c r="V42" s="605"/>
      <c r="W42" s="605"/>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T40"/>
  <sheetViews>
    <sheetView zoomScaleNormal="100" workbookViewId="0">
      <selection activeCell="H37" sqref="H37"/>
    </sheetView>
  </sheetViews>
  <sheetFormatPr defaultRowHeight="15" outlineLevelRow="1"/>
  <cols>
    <col min="1" max="1" width="2.5703125" customWidth="1"/>
  </cols>
  <sheetData>
    <row r="1" spans="1:20">
      <c r="A1" s="859"/>
      <c r="B1" s="868" t="s">
        <v>1031</v>
      </c>
      <c r="C1" s="869"/>
      <c r="D1" s="1014">
        <f>DCF!C25</f>
        <v>2</v>
      </c>
      <c r="E1" s="1014"/>
      <c r="F1" s="869"/>
      <c r="G1" s="1015" t="s">
        <v>603</v>
      </c>
      <c r="H1" s="1015"/>
      <c r="I1" s="1015"/>
      <c r="J1" s="869"/>
      <c r="K1" s="869"/>
      <c r="L1" s="869"/>
      <c r="M1" s="869"/>
      <c r="N1" s="869"/>
      <c r="O1" s="869"/>
      <c r="P1" s="869"/>
      <c r="Q1" s="869"/>
      <c r="R1" s="869"/>
      <c r="S1" s="869"/>
      <c r="T1" s="859"/>
    </row>
    <row r="2" spans="1:20">
      <c r="A2" s="859"/>
      <c r="B2" s="869"/>
      <c r="C2" s="869"/>
      <c r="D2" s="869"/>
      <c r="E2" s="869"/>
      <c r="F2" s="869"/>
      <c r="G2" s="869"/>
      <c r="H2" s="869"/>
      <c r="I2" s="869"/>
      <c r="J2" s="869"/>
      <c r="K2" s="869"/>
      <c r="L2" s="869"/>
      <c r="M2" s="869"/>
      <c r="N2" s="869"/>
      <c r="O2" s="869"/>
      <c r="P2" s="869"/>
      <c r="Q2" s="869"/>
      <c r="R2" s="869"/>
      <c r="S2" s="869"/>
      <c r="T2" s="859"/>
    </row>
    <row r="3" spans="1:20">
      <c r="A3" s="859"/>
      <c r="B3" s="869"/>
      <c r="C3" s="869"/>
      <c r="D3" s="869"/>
      <c r="E3" s="869"/>
      <c r="F3" s="869"/>
      <c r="G3" s="869"/>
      <c r="H3" s="869"/>
      <c r="I3" s="869"/>
      <c r="J3" s="869"/>
      <c r="K3" s="869"/>
      <c r="L3" s="869"/>
      <c r="M3" s="869"/>
      <c r="N3" s="869"/>
      <c r="O3" s="869"/>
      <c r="P3" s="869"/>
      <c r="Q3" s="869"/>
      <c r="R3" s="869"/>
      <c r="S3" s="869"/>
      <c r="T3" s="859"/>
    </row>
    <row r="4" spans="1:20" ht="15.75" thickBot="1">
      <c r="A4" s="859"/>
      <c r="B4" s="870"/>
      <c r="C4" s="870"/>
      <c r="D4" s="871">
        <v>2015</v>
      </c>
      <c r="E4" s="871">
        <v>2016</v>
      </c>
      <c r="F4" s="871">
        <v>2017</v>
      </c>
      <c r="G4" s="871">
        <v>2018</v>
      </c>
      <c r="H4" s="871">
        <v>2019</v>
      </c>
      <c r="I4" s="871">
        <v>2020</v>
      </c>
      <c r="J4" s="871">
        <v>2021</v>
      </c>
      <c r="K4" s="871">
        <v>2022</v>
      </c>
      <c r="L4" s="871">
        <v>2023</v>
      </c>
      <c r="M4" s="871">
        <v>2024</v>
      </c>
      <c r="N4" s="871">
        <v>2025</v>
      </c>
      <c r="O4" s="871">
        <v>2026</v>
      </c>
      <c r="P4" s="871">
        <v>2027</v>
      </c>
      <c r="Q4" s="871">
        <v>2028</v>
      </c>
      <c r="R4" s="871">
        <v>2029</v>
      </c>
      <c r="S4" s="871">
        <v>2030</v>
      </c>
      <c r="T4" s="859"/>
    </row>
    <row r="5" spans="1:20">
      <c r="A5" s="859"/>
      <c r="B5" s="872" t="s">
        <v>1032</v>
      </c>
      <c r="C5" s="872"/>
      <c r="D5" s="872"/>
      <c r="E5" s="872"/>
      <c r="F5" s="872"/>
      <c r="G5" s="872"/>
      <c r="H5" s="872"/>
      <c r="I5" s="872"/>
      <c r="J5" s="872"/>
      <c r="K5" s="872"/>
      <c r="L5" s="872"/>
      <c r="M5" s="872"/>
      <c r="N5" s="872"/>
      <c r="O5" s="872"/>
      <c r="P5" s="872"/>
      <c r="Q5" s="872"/>
      <c r="R5" s="872"/>
      <c r="S5" s="872"/>
      <c r="T5" s="859"/>
    </row>
    <row r="6" spans="1:20">
      <c r="A6" s="859"/>
      <c r="B6" s="869"/>
      <c r="C6" s="869"/>
      <c r="D6" s="869"/>
      <c r="E6" s="869"/>
      <c r="F6" s="869"/>
      <c r="G6" s="869"/>
      <c r="H6" s="869"/>
      <c r="I6" s="869"/>
      <c r="J6" s="869"/>
      <c r="K6" s="869"/>
      <c r="L6" s="869"/>
      <c r="M6" s="869"/>
      <c r="N6" s="869"/>
      <c r="O6" s="869"/>
      <c r="P6" s="869"/>
      <c r="Q6" s="869"/>
      <c r="R6" s="869"/>
      <c r="S6" s="869"/>
      <c r="T6" s="859"/>
    </row>
    <row r="7" spans="1:20">
      <c r="A7" s="859"/>
      <c r="B7" s="873" t="s">
        <v>1033</v>
      </c>
      <c r="C7" s="869"/>
      <c r="D7" s="874">
        <v>318.94</v>
      </c>
      <c r="E7" s="874">
        <v>321.17257999999998</v>
      </c>
      <c r="F7" s="874">
        <v>323.42078805999995</v>
      </c>
      <c r="G7" s="874">
        <v>325.68473357641989</v>
      </c>
      <c r="H7" s="874">
        <v>327.96452671145477</v>
      </c>
      <c r="I7" s="874">
        <v>330.26027839843493</v>
      </c>
      <c r="J7" s="874">
        <v>332.57210034722397</v>
      </c>
      <c r="K7" s="874">
        <v>334.90010504965448</v>
      </c>
      <c r="L7" s="874">
        <v>337.24440578500202</v>
      </c>
      <c r="M7" s="874">
        <v>339.60511662549698</v>
      </c>
      <c r="N7" s="874">
        <v>341.98235244187543</v>
      </c>
      <c r="O7" s="874">
        <v>344.37622890896853</v>
      </c>
      <c r="P7" s="874">
        <v>346.78686251133126</v>
      </c>
      <c r="Q7" s="874">
        <v>349.21437054891055</v>
      </c>
      <c r="R7" s="874">
        <v>351.6588711427529</v>
      </c>
      <c r="S7" s="874">
        <v>354.12048324075215</v>
      </c>
      <c r="T7" s="859"/>
    </row>
    <row r="8" spans="1:20">
      <c r="A8" s="859"/>
      <c r="B8" s="875" t="s">
        <v>1034</v>
      </c>
      <c r="C8" s="875"/>
      <c r="D8" s="875">
        <v>7.0000000000000001E-3</v>
      </c>
      <c r="E8" s="875">
        <v>7.0000000000000001E-3</v>
      </c>
      <c r="F8" s="875">
        <v>7.0000000000000001E-3</v>
      </c>
      <c r="G8" s="875">
        <v>7.0000000000000001E-3</v>
      </c>
      <c r="H8" s="875">
        <v>7.0000000000000001E-3</v>
      </c>
      <c r="I8" s="875">
        <v>7.0000000000000001E-3</v>
      </c>
      <c r="J8" s="875">
        <v>7.0000000000000001E-3</v>
      </c>
      <c r="K8" s="875">
        <v>7.0000000000000001E-3</v>
      </c>
      <c r="L8" s="875">
        <v>7.0000000000000001E-3</v>
      </c>
      <c r="M8" s="875">
        <v>7.0000000000000001E-3</v>
      </c>
      <c r="N8" s="875">
        <v>7.0000000000000001E-3</v>
      </c>
      <c r="O8" s="875">
        <v>7.0000000000000001E-3</v>
      </c>
      <c r="P8" s="875">
        <v>7.0000000000000001E-3</v>
      </c>
      <c r="Q8" s="875">
        <v>7.0000000000000001E-3</v>
      </c>
      <c r="R8" s="875">
        <v>7.0000000000000001E-3</v>
      </c>
      <c r="S8" s="875">
        <v>7.0000000000000001E-3</v>
      </c>
      <c r="T8" s="859"/>
    </row>
    <row r="9" spans="1:20">
      <c r="A9" s="859"/>
      <c r="B9" s="876" t="s">
        <v>1035</v>
      </c>
      <c r="C9" s="874"/>
      <c r="D9" s="874">
        <f>(201/100000)*D7*1000000</f>
        <v>641069.4</v>
      </c>
      <c r="E9" s="874">
        <f t="shared" ref="E9:S9" si="0">(201/100000)*E7*1000000</f>
        <v>645556.88580000005</v>
      </c>
      <c r="F9" s="874">
        <f t="shared" si="0"/>
        <v>650075.78400059999</v>
      </c>
      <c r="G9" s="874">
        <f t="shared" si="0"/>
        <v>654626.31448860397</v>
      </c>
      <c r="H9" s="874">
        <f t="shared" si="0"/>
        <v>659208.69869002409</v>
      </c>
      <c r="I9" s="874">
        <f t="shared" si="0"/>
        <v>663823.15958085423</v>
      </c>
      <c r="J9" s="874">
        <f t="shared" si="0"/>
        <v>668469.92169792019</v>
      </c>
      <c r="K9" s="874">
        <f t="shared" si="0"/>
        <v>673149.21114980557</v>
      </c>
      <c r="L9" s="874">
        <f t="shared" si="0"/>
        <v>677861.25562785403</v>
      </c>
      <c r="M9" s="874">
        <f t="shared" si="0"/>
        <v>682606.28441724891</v>
      </c>
      <c r="N9" s="874">
        <f t="shared" si="0"/>
        <v>687384.52840816963</v>
      </c>
      <c r="O9" s="874">
        <f t="shared" si="0"/>
        <v>692196.22010702675</v>
      </c>
      <c r="P9" s="874">
        <f t="shared" si="0"/>
        <v>697041.59364777582</v>
      </c>
      <c r="Q9" s="874">
        <f t="shared" si="0"/>
        <v>701920.88480331027</v>
      </c>
      <c r="R9" s="874">
        <f t="shared" si="0"/>
        <v>706834.33099693339</v>
      </c>
      <c r="S9" s="874">
        <f t="shared" si="0"/>
        <v>711782.17131391191</v>
      </c>
      <c r="T9" s="859"/>
    </row>
    <row r="10" spans="1:20">
      <c r="A10" s="859"/>
      <c r="B10" s="876"/>
      <c r="C10" s="874"/>
      <c r="D10" s="874"/>
      <c r="E10" s="874"/>
      <c r="F10" s="874"/>
      <c r="G10" s="874"/>
      <c r="H10" s="874"/>
      <c r="I10" s="874"/>
      <c r="J10" s="874"/>
      <c r="K10" s="874"/>
      <c r="L10" s="874"/>
      <c r="M10" s="874"/>
      <c r="N10" s="874"/>
      <c r="O10" s="874"/>
      <c r="P10" s="874"/>
      <c r="Q10" s="874"/>
      <c r="R10" s="874"/>
      <c r="S10" s="874"/>
      <c r="T10" s="859"/>
    </row>
    <row r="11" spans="1:20">
      <c r="A11" s="859"/>
      <c r="B11" s="873" t="s">
        <v>1036</v>
      </c>
      <c r="C11" s="869"/>
      <c r="D11" s="877">
        <v>0.24</v>
      </c>
      <c r="E11" s="877">
        <v>0.24</v>
      </c>
      <c r="F11" s="877">
        <v>0.24</v>
      </c>
      <c r="G11" s="877">
        <v>0.24</v>
      </c>
      <c r="H11" s="877">
        <v>0.24</v>
      </c>
      <c r="I11" s="877">
        <v>0.24</v>
      </c>
      <c r="J11" s="877">
        <v>0.24</v>
      </c>
      <c r="K11" s="877">
        <v>0.24</v>
      </c>
      <c r="L11" s="877">
        <v>0.24</v>
      </c>
      <c r="M11" s="877">
        <v>0.24</v>
      </c>
      <c r="N11" s="877">
        <v>0.24</v>
      </c>
      <c r="O11" s="877">
        <v>0.24</v>
      </c>
      <c r="P11" s="877">
        <v>0.24</v>
      </c>
      <c r="Q11" s="877">
        <v>0.24</v>
      </c>
      <c r="R11" s="877">
        <v>0.24</v>
      </c>
      <c r="S11" s="877">
        <v>0.24</v>
      </c>
      <c r="T11" s="859"/>
    </row>
    <row r="12" spans="1:20">
      <c r="A12" s="859"/>
      <c r="B12" s="873" t="s">
        <v>1037</v>
      </c>
      <c r="C12" s="869"/>
      <c r="D12" s="877">
        <v>0.41</v>
      </c>
      <c r="E12" s="877">
        <v>0.41</v>
      </c>
      <c r="F12" s="877">
        <v>0.41</v>
      </c>
      <c r="G12" s="877">
        <v>0.41</v>
      </c>
      <c r="H12" s="877">
        <v>0.41</v>
      </c>
      <c r="I12" s="877">
        <v>0.41</v>
      </c>
      <c r="J12" s="877">
        <v>0.41</v>
      </c>
      <c r="K12" s="877">
        <v>0.41</v>
      </c>
      <c r="L12" s="877">
        <v>0.41</v>
      </c>
      <c r="M12" s="877">
        <v>0.41</v>
      </c>
      <c r="N12" s="877">
        <v>0.41</v>
      </c>
      <c r="O12" s="877">
        <v>0.41</v>
      </c>
      <c r="P12" s="877">
        <v>0.41</v>
      </c>
      <c r="Q12" s="877">
        <v>0.41</v>
      </c>
      <c r="R12" s="877">
        <v>0.41</v>
      </c>
      <c r="S12" s="877">
        <v>0.41</v>
      </c>
      <c r="T12" s="859"/>
    </row>
    <row r="13" spans="1:20">
      <c r="A13" s="859"/>
      <c r="B13" s="873" t="s">
        <v>1038</v>
      </c>
      <c r="C13" s="869"/>
      <c r="D13" s="877">
        <v>0.27</v>
      </c>
      <c r="E13" s="877">
        <v>0.27</v>
      </c>
      <c r="F13" s="877">
        <v>0.27</v>
      </c>
      <c r="G13" s="877">
        <v>0.27</v>
      </c>
      <c r="H13" s="877">
        <v>0.27</v>
      </c>
      <c r="I13" s="877">
        <v>0.27</v>
      </c>
      <c r="J13" s="877">
        <v>0.27</v>
      </c>
      <c r="K13" s="877">
        <v>0.27</v>
      </c>
      <c r="L13" s="877">
        <v>0.27</v>
      </c>
      <c r="M13" s="877">
        <v>0.27</v>
      </c>
      <c r="N13" s="877">
        <v>0.27</v>
      </c>
      <c r="O13" s="877">
        <v>0.27</v>
      </c>
      <c r="P13" s="877">
        <v>0.27</v>
      </c>
      <c r="Q13" s="877">
        <v>0.27</v>
      </c>
      <c r="R13" s="877">
        <v>0.27</v>
      </c>
      <c r="S13" s="877">
        <v>0.27</v>
      </c>
      <c r="T13" s="859"/>
    </row>
    <row r="14" spans="1:20">
      <c r="A14" s="859"/>
      <c r="B14" s="873" t="s">
        <v>1039</v>
      </c>
      <c r="C14" s="869"/>
      <c r="D14" s="877">
        <v>7.0000000000000007E-2</v>
      </c>
      <c r="E14" s="877">
        <v>7.0000000000000007E-2</v>
      </c>
      <c r="F14" s="877">
        <v>7.0000000000000007E-2</v>
      </c>
      <c r="G14" s="877">
        <v>7.0000000000000007E-2</v>
      </c>
      <c r="H14" s="877">
        <v>7.0000000000000007E-2</v>
      </c>
      <c r="I14" s="877">
        <v>7.0000000000000007E-2</v>
      </c>
      <c r="J14" s="877">
        <v>7.0000000000000007E-2</v>
      </c>
      <c r="K14" s="877">
        <v>7.0000000000000007E-2</v>
      </c>
      <c r="L14" s="877">
        <v>7.0000000000000007E-2</v>
      </c>
      <c r="M14" s="877">
        <v>7.0000000000000007E-2</v>
      </c>
      <c r="N14" s="877">
        <v>7.0000000000000007E-2</v>
      </c>
      <c r="O14" s="877">
        <v>7.0000000000000007E-2</v>
      </c>
      <c r="P14" s="877">
        <v>7.0000000000000007E-2</v>
      </c>
      <c r="Q14" s="877">
        <v>7.0000000000000007E-2</v>
      </c>
      <c r="R14" s="877">
        <v>7.0000000000000007E-2</v>
      </c>
      <c r="S14" s="877">
        <v>7.0000000000000007E-2</v>
      </c>
      <c r="T14" s="859"/>
    </row>
    <row r="15" spans="1:20">
      <c r="A15" s="859"/>
      <c r="B15" s="873"/>
      <c r="C15" s="869"/>
      <c r="D15" s="877"/>
      <c r="E15" s="877"/>
      <c r="F15" s="877"/>
      <c r="G15" s="877"/>
      <c r="H15" s="877"/>
      <c r="I15" s="877"/>
      <c r="J15" s="877"/>
      <c r="K15" s="877"/>
      <c r="L15" s="877"/>
      <c r="M15" s="877"/>
      <c r="N15" s="877"/>
      <c r="O15" s="877"/>
      <c r="P15" s="877"/>
      <c r="Q15" s="877"/>
      <c r="R15" s="877"/>
      <c r="S15" s="877"/>
      <c r="T15" s="859"/>
    </row>
    <row r="16" spans="1:20">
      <c r="A16" s="859"/>
      <c r="B16" s="876" t="s">
        <v>1040</v>
      </c>
      <c r="C16" s="874"/>
      <c r="D16" s="874">
        <f t="shared" ref="D16:S16" si="1">D11*D9</f>
        <v>153856.65599999999</v>
      </c>
      <c r="E16" s="874">
        <f t="shared" si="1"/>
        <v>154933.652592</v>
      </c>
      <c r="F16" s="874">
        <f t="shared" si="1"/>
        <v>156018.188160144</v>
      </c>
      <c r="G16" s="874">
        <f t="shared" si="1"/>
        <v>157110.31547726496</v>
      </c>
      <c r="H16" s="874">
        <f t="shared" si="1"/>
        <v>158210.08768560577</v>
      </c>
      <c r="I16" s="874">
        <f t="shared" si="1"/>
        <v>159317.55829940501</v>
      </c>
      <c r="J16" s="874">
        <f t="shared" si="1"/>
        <v>160432.78120750084</v>
      </c>
      <c r="K16" s="874">
        <f t="shared" si="1"/>
        <v>161555.81067595334</v>
      </c>
      <c r="L16" s="874">
        <f t="shared" si="1"/>
        <v>162686.70135068495</v>
      </c>
      <c r="M16" s="874">
        <f t="shared" si="1"/>
        <v>163825.50826013973</v>
      </c>
      <c r="N16" s="874">
        <f t="shared" si="1"/>
        <v>164972.2868179607</v>
      </c>
      <c r="O16" s="874">
        <f t="shared" si="1"/>
        <v>166127.09282568641</v>
      </c>
      <c r="P16" s="874">
        <f t="shared" si="1"/>
        <v>167289.98247546618</v>
      </c>
      <c r="Q16" s="874">
        <f t="shared" si="1"/>
        <v>168461.01235279447</v>
      </c>
      <c r="R16" s="874">
        <f t="shared" si="1"/>
        <v>169640.239439264</v>
      </c>
      <c r="S16" s="874">
        <f t="shared" si="1"/>
        <v>170827.72111533885</v>
      </c>
      <c r="T16" s="859"/>
    </row>
    <row r="17" spans="1:20">
      <c r="A17" s="859"/>
      <c r="B17" s="876" t="s">
        <v>1041</v>
      </c>
      <c r="C17" s="874"/>
      <c r="D17" s="874">
        <f t="shared" ref="D17:S17" si="2">D12*D9</f>
        <v>262838.45399999997</v>
      </c>
      <c r="E17" s="874">
        <f t="shared" si="2"/>
        <v>264678.32317799999</v>
      </c>
      <c r="F17" s="874">
        <f t="shared" si="2"/>
        <v>266531.07144024596</v>
      </c>
      <c r="G17" s="874">
        <f t="shared" si="2"/>
        <v>268396.78894032759</v>
      </c>
      <c r="H17" s="874">
        <f t="shared" si="2"/>
        <v>270275.56646290986</v>
      </c>
      <c r="I17" s="874">
        <f t="shared" si="2"/>
        <v>272167.49542815023</v>
      </c>
      <c r="J17" s="874">
        <f t="shared" si="2"/>
        <v>274072.66789614724</v>
      </c>
      <c r="K17" s="874">
        <f t="shared" si="2"/>
        <v>275991.17657142028</v>
      </c>
      <c r="L17" s="874">
        <f t="shared" si="2"/>
        <v>277923.11480742012</v>
      </c>
      <c r="M17" s="874">
        <f t="shared" si="2"/>
        <v>279868.57661107206</v>
      </c>
      <c r="N17" s="874">
        <f t="shared" si="2"/>
        <v>281827.65664734953</v>
      </c>
      <c r="O17" s="874">
        <f t="shared" si="2"/>
        <v>283800.45024388097</v>
      </c>
      <c r="P17" s="874">
        <f t="shared" si="2"/>
        <v>285787.05339558807</v>
      </c>
      <c r="Q17" s="874">
        <f t="shared" si="2"/>
        <v>287787.56276935717</v>
      </c>
      <c r="R17" s="874">
        <f t="shared" si="2"/>
        <v>289802.07570874266</v>
      </c>
      <c r="S17" s="874">
        <f t="shared" si="2"/>
        <v>291830.69023870386</v>
      </c>
      <c r="T17" s="859"/>
    </row>
    <row r="18" spans="1:20">
      <c r="A18" s="859"/>
      <c r="B18" s="876" t="s">
        <v>1042</v>
      </c>
      <c r="C18" s="874"/>
      <c r="D18" s="874">
        <f t="shared" ref="D18:S18" si="3">D13*D9</f>
        <v>173088.73800000001</v>
      </c>
      <c r="E18" s="874">
        <f t="shared" si="3"/>
        <v>174300.35916600004</v>
      </c>
      <c r="F18" s="874">
        <f t="shared" si="3"/>
        <v>175520.461680162</v>
      </c>
      <c r="G18" s="874">
        <f t="shared" si="3"/>
        <v>176749.10491192309</v>
      </c>
      <c r="H18" s="874">
        <f t="shared" si="3"/>
        <v>177986.34864630652</v>
      </c>
      <c r="I18" s="874">
        <f t="shared" si="3"/>
        <v>179232.25308683066</v>
      </c>
      <c r="J18" s="874">
        <f t="shared" si="3"/>
        <v>180486.87885843846</v>
      </c>
      <c r="K18" s="874">
        <f t="shared" si="3"/>
        <v>181750.28701044753</v>
      </c>
      <c r="L18" s="874">
        <f t="shared" si="3"/>
        <v>183022.5390195206</v>
      </c>
      <c r="M18" s="874">
        <f t="shared" si="3"/>
        <v>184303.69679265723</v>
      </c>
      <c r="N18" s="874">
        <f t="shared" si="3"/>
        <v>185593.82267020582</v>
      </c>
      <c r="O18" s="874">
        <f t="shared" si="3"/>
        <v>186892.97942889723</v>
      </c>
      <c r="P18" s="874">
        <f t="shared" si="3"/>
        <v>188201.23028489947</v>
      </c>
      <c r="Q18" s="874">
        <f t="shared" si="3"/>
        <v>189518.6388968938</v>
      </c>
      <c r="R18" s="874">
        <f t="shared" si="3"/>
        <v>190845.26936917202</v>
      </c>
      <c r="S18" s="874">
        <f t="shared" si="3"/>
        <v>192181.18625475623</v>
      </c>
      <c r="T18" s="859"/>
    </row>
    <row r="19" spans="1:20">
      <c r="A19" s="859"/>
      <c r="B19" s="876" t="s">
        <v>1043</v>
      </c>
      <c r="C19" s="874"/>
      <c r="D19" s="874">
        <f t="shared" ref="D19:S19" si="4">D14*D9</f>
        <v>44874.858000000007</v>
      </c>
      <c r="E19" s="874">
        <f t="shared" si="4"/>
        <v>45188.982006000006</v>
      </c>
      <c r="F19" s="874">
        <f t="shared" si="4"/>
        <v>45505.304880042</v>
      </c>
      <c r="G19" s="874">
        <f t="shared" si="4"/>
        <v>45823.842014202281</v>
      </c>
      <c r="H19" s="874">
        <f t="shared" si="4"/>
        <v>46144.608908301692</v>
      </c>
      <c r="I19" s="874">
        <f t="shared" si="4"/>
        <v>46467.621170659804</v>
      </c>
      <c r="J19" s="874">
        <f t="shared" si="4"/>
        <v>46792.894518854417</v>
      </c>
      <c r="K19" s="874">
        <f t="shared" si="4"/>
        <v>47120.444780486396</v>
      </c>
      <c r="L19" s="874">
        <f t="shared" si="4"/>
        <v>47450.28789394979</v>
      </c>
      <c r="M19" s="874">
        <f t="shared" si="4"/>
        <v>47782.439909207431</v>
      </c>
      <c r="N19" s="874">
        <f t="shared" si="4"/>
        <v>48116.91698857188</v>
      </c>
      <c r="O19" s="874">
        <f t="shared" si="4"/>
        <v>48453.735407491877</v>
      </c>
      <c r="P19" s="874">
        <f t="shared" si="4"/>
        <v>48792.911555344312</v>
      </c>
      <c r="Q19" s="874">
        <f t="shared" si="4"/>
        <v>49134.461936231724</v>
      </c>
      <c r="R19" s="874">
        <f t="shared" si="4"/>
        <v>49478.403169785342</v>
      </c>
      <c r="S19" s="874">
        <f t="shared" si="4"/>
        <v>49824.751991973841</v>
      </c>
      <c r="T19" s="859"/>
    </row>
    <row r="20" spans="1:20">
      <c r="A20" s="859"/>
      <c r="B20" s="869"/>
      <c r="C20" s="869"/>
      <c r="D20" s="869"/>
      <c r="E20" s="869"/>
      <c r="F20" s="869"/>
      <c r="G20" s="869"/>
      <c r="H20" s="869"/>
      <c r="I20" s="869"/>
      <c r="J20" s="869"/>
      <c r="K20" s="869"/>
      <c r="L20" s="869"/>
      <c r="M20" s="869"/>
      <c r="N20" s="869"/>
      <c r="O20" s="869"/>
      <c r="P20" s="869"/>
      <c r="Q20" s="869"/>
      <c r="R20" s="869"/>
      <c r="S20" s="869"/>
      <c r="T20" s="859"/>
    </row>
    <row r="21" spans="1:20">
      <c r="A21" s="859"/>
      <c r="B21" s="878" t="s">
        <v>1044</v>
      </c>
      <c r="C21" s="879"/>
      <c r="D21" s="879"/>
      <c r="E21" s="879"/>
      <c r="F21" s="879"/>
      <c r="G21" s="879"/>
      <c r="H21" s="879"/>
      <c r="I21" s="879"/>
      <c r="J21" s="879"/>
      <c r="K21" s="879"/>
      <c r="L21" s="879"/>
      <c r="M21" s="879"/>
      <c r="N21" s="879"/>
      <c r="O21" s="879"/>
      <c r="P21" s="879"/>
      <c r="Q21" s="879"/>
      <c r="R21" s="879"/>
      <c r="S21" s="879"/>
      <c r="T21" s="859"/>
    </row>
    <row r="22" spans="1:20">
      <c r="A22" s="859"/>
      <c r="B22" s="869"/>
      <c r="C22" s="869"/>
      <c r="D22" s="869"/>
      <c r="E22" s="869"/>
      <c r="F22" s="869"/>
      <c r="G22" s="869"/>
      <c r="H22" s="869"/>
      <c r="I22" s="869"/>
      <c r="J22" s="869"/>
      <c r="K22" s="869"/>
      <c r="L22" s="869"/>
      <c r="M22" s="869"/>
      <c r="N22" s="869"/>
      <c r="O22" s="869"/>
      <c r="P22" s="869"/>
      <c r="Q22" s="869"/>
      <c r="R22" s="869"/>
      <c r="S22" s="869"/>
      <c r="T22" s="859"/>
    </row>
    <row r="23" spans="1:20" hidden="1" outlineLevel="1">
      <c r="A23" s="859"/>
      <c r="B23" s="880" t="s">
        <v>423</v>
      </c>
      <c r="C23" s="880"/>
      <c r="D23" s="880">
        <v>0</v>
      </c>
      <c r="E23" s="880">
        <v>0</v>
      </c>
      <c r="F23" s="880">
        <v>0</v>
      </c>
      <c r="G23" s="880">
        <v>0</v>
      </c>
      <c r="H23" s="880">
        <v>4.4999999999999998E-2</v>
      </c>
      <c r="I23" s="880">
        <v>0.09</v>
      </c>
      <c r="J23" s="880">
        <v>0.1575</v>
      </c>
      <c r="K23" s="880">
        <v>0.23625000000000002</v>
      </c>
      <c r="L23" s="880">
        <v>0.29531249999999998</v>
      </c>
      <c r="M23" s="880">
        <v>0.33960937499999999</v>
      </c>
      <c r="N23" s="880">
        <v>0.3735703125</v>
      </c>
      <c r="O23" s="880">
        <v>0.41092734375000006</v>
      </c>
      <c r="P23" s="880">
        <v>0.45202007812500011</v>
      </c>
      <c r="Q23" s="880">
        <v>0.45202007812500011</v>
      </c>
      <c r="R23" s="880">
        <v>0.45202007812500011</v>
      </c>
      <c r="S23" s="880">
        <v>0.45202007812500011</v>
      </c>
      <c r="T23" s="859"/>
    </row>
    <row r="24" spans="1:20" hidden="1" outlineLevel="1">
      <c r="A24" s="859"/>
      <c r="B24" s="880" t="s">
        <v>424</v>
      </c>
      <c r="C24" s="880"/>
      <c r="D24" s="880">
        <v>0</v>
      </c>
      <c r="E24" s="880">
        <v>0</v>
      </c>
      <c r="F24" s="880">
        <v>0</v>
      </c>
      <c r="G24" s="880">
        <v>0</v>
      </c>
      <c r="H24" s="880">
        <v>0.03</v>
      </c>
      <c r="I24" s="880">
        <v>0.06</v>
      </c>
      <c r="J24" s="880">
        <v>0.105</v>
      </c>
      <c r="K24" s="880">
        <v>0.1575</v>
      </c>
      <c r="L24" s="880">
        <v>0.19687499999999999</v>
      </c>
      <c r="M24" s="880">
        <v>0.22640624999999998</v>
      </c>
      <c r="N24" s="880">
        <v>0.249046875</v>
      </c>
      <c r="O24" s="880">
        <v>0.27395156250000002</v>
      </c>
      <c r="P24" s="880">
        <v>0.30134671875000008</v>
      </c>
      <c r="Q24" s="880">
        <v>0.30134671875000008</v>
      </c>
      <c r="R24" s="880">
        <v>0.30134671875000008</v>
      </c>
      <c r="S24" s="880">
        <v>0.30134671875000008</v>
      </c>
      <c r="T24" s="859"/>
    </row>
    <row r="25" spans="1:20" hidden="1" outlineLevel="1">
      <c r="A25" s="859"/>
      <c r="B25" s="880" t="s">
        <v>425</v>
      </c>
      <c r="C25" s="880"/>
      <c r="D25" s="880">
        <v>0</v>
      </c>
      <c r="E25" s="880">
        <v>0</v>
      </c>
      <c r="F25" s="880">
        <v>0</v>
      </c>
      <c r="G25" s="880">
        <v>0</v>
      </c>
      <c r="H25" s="880">
        <v>0</v>
      </c>
      <c r="I25" s="880">
        <v>0</v>
      </c>
      <c r="J25" s="880">
        <v>0</v>
      </c>
      <c r="K25" s="880">
        <v>0</v>
      </c>
      <c r="L25" s="880">
        <v>0</v>
      </c>
      <c r="M25" s="880">
        <v>0</v>
      </c>
      <c r="N25" s="880">
        <v>0</v>
      </c>
      <c r="O25" s="880">
        <v>0</v>
      </c>
      <c r="P25" s="880">
        <v>0</v>
      </c>
      <c r="Q25" s="880">
        <v>0</v>
      </c>
      <c r="R25" s="880">
        <v>0</v>
      </c>
      <c r="S25" s="880">
        <v>0</v>
      </c>
      <c r="T25" s="859"/>
    </row>
    <row r="26" spans="1:20" collapsed="1">
      <c r="A26" s="881" t="s">
        <v>578</v>
      </c>
      <c r="B26" s="882" t="s">
        <v>1045</v>
      </c>
      <c r="C26" s="882"/>
      <c r="D26" s="882">
        <f>CHOOSE($D$1,D23,D24,D25)</f>
        <v>0</v>
      </c>
      <c r="E26" s="882">
        <f t="shared" ref="E26:S26" si="5">CHOOSE($D$1,E23,E24,E25)</f>
        <v>0</v>
      </c>
      <c r="F26" s="882">
        <f t="shared" si="5"/>
        <v>0</v>
      </c>
      <c r="G26" s="882">
        <f t="shared" si="5"/>
        <v>0</v>
      </c>
      <c r="H26" s="882">
        <f t="shared" si="5"/>
        <v>0.03</v>
      </c>
      <c r="I26" s="882">
        <f t="shared" si="5"/>
        <v>0.06</v>
      </c>
      <c r="J26" s="882">
        <f t="shared" si="5"/>
        <v>0.105</v>
      </c>
      <c r="K26" s="882">
        <f t="shared" si="5"/>
        <v>0.1575</v>
      </c>
      <c r="L26" s="882">
        <f t="shared" si="5"/>
        <v>0.19687499999999999</v>
      </c>
      <c r="M26" s="882">
        <f t="shared" si="5"/>
        <v>0.22640624999999998</v>
      </c>
      <c r="N26" s="882">
        <f t="shared" si="5"/>
        <v>0.249046875</v>
      </c>
      <c r="O26" s="882">
        <f t="shared" si="5"/>
        <v>0.27395156250000002</v>
      </c>
      <c r="P26" s="882">
        <f t="shared" si="5"/>
        <v>0.30134671875000008</v>
      </c>
      <c r="Q26" s="882">
        <f t="shared" si="5"/>
        <v>0.30134671875000008</v>
      </c>
      <c r="R26" s="882">
        <f t="shared" si="5"/>
        <v>0.30134671875000008</v>
      </c>
      <c r="S26" s="882">
        <f t="shared" si="5"/>
        <v>0.30134671875000008</v>
      </c>
      <c r="T26" s="859"/>
    </row>
    <row r="27" spans="1:20">
      <c r="A27" s="859"/>
      <c r="B27" s="876" t="s">
        <v>1046</v>
      </c>
      <c r="C27" s="874"/>
      <c r="D27" s="874"/>
      <c r="E27" s="874"/>
      <c r="F27" s="874"/>
      <c r="G27" s="874">
        <f>G26*G19</f>
        <v>0</v>
      </c>
      <c r="H27" s="874">
        <f t="shared" ref="H27:S27" si="6">H26*H19</f>
        <v>1384.3382672490507</v>
      </c>
      <c r="I27" s="874">
        <f t="shared" si="6"/>
        <v>2788.057270239588</v>
      </c>
      <c r="J27" s="874">
        <f t="shared" si="6"/>
        <v>4913.2539244797135</v>
      </c>
      <c r="K27" s="874">
        <f t="shared" si="6"/>
        <v>7421.4700529266074</v>
      </c>
      <c r="L27" s="874">
        <f t="shared" si="6"/>
        <v>9341.7754291213641</v>
      </c>
      <c r="M27" s="874">
        <f t="shared" si="6"/>
        <v>10818.243035693993</v>
      </c>
      <c r="N27" s="874">
        <f t="shared" si="6"/>
        <v>11983.367810638238</v>
      </c>
      <c r="O27" s="874">
        <f t="shared" si="6"/>
        <v>13273.976523843974</v>
      </c>
      <c r="P27" s="874">
        <f t="shared" si="6"/>
        <v>14703.583795461971</v>
      </c>
      <c r="Q27" s="874">
        <f t="shared" si="6"/>
        <v>14806.508882030206</v>
      </c>
      <c r="R27" s="874">
        <f t="shared" si="6"/>
        <v>14910.154444204416</v>
      </c>
      <c r="S27" s="874">
        <f t="shared" si="6"/>
        <v>15014.525525313848</v>
      </c>
      <c r="T27" s="859"/>
    </row>
    <row r="28" spans="1:20">
      <c r="A28" s="859"/>
      <c r="B28" s="869"/>
      <c r="C28" s="869"/>
      <c r="D28" s="869"/>
      <c r="E28" s="869"/>
      <c r="F28" s="869"/>
      <c r="G28" s="869"/>
      <c r="H28" s="869"/>
      <c r="I28" s="869"/>
      <c r="J28" s="869"/>
      <c r="K28" s="869"/>
      <c r="L28" s="869"/>
      <c r="M28" s="869"/>
      <c r="N28" s="869"/>
      <c r="O28" s="869"/>
      <c r="P28" s="869"/>
      <c r="Q28" s="869"/>
      <c r="R28" s="869"/>
      <c r="S28" s="869"/>
      <c r="T28" s="859"/>
    </row>
    <row r="29" spans="1:20">
      <c r="A29" s="859"/>
      <c r="B29" s="878" t="s">
        <v>210</v>
      </c>
      <c r="C29" s="878"/>
      <c r="D29" s="878"/>
      <c r="E29" s="878"/>
      <c r="F29" s="878"/>
      <c r="G29" s="878"/>
      <c r="H29" s="878"/>
      <c r="I29" s="878"/>
      <c r="J29" s="878"/>
      <c r="K29" s="878"/>
      <c r="L29" s="878"/>
      <c r="M29" s="878"/>
      <c r="N29" s="878"/>
      <c r="O29" s="878"/>
      <c r="P29" s="878"/>
      <c r="Q29" s="878"/>
      <c r="R29" s="878"/>
      <c r="S29" s="878"/>
      <c r="T29" s="859"/>
    </row>
    <row r="30" spans="1:20">
      <c r="A30" s="859"/>
      <c r="B30" s="869"/>
      <c r="C30" s="869"/>
      <c r="D30" s="869"/>
      <c r="E30" s="869"/>
      <c r="F30" s="869"/>
      <c r="G30" s="869"/>
      <c r="H30" s="869"/>
      <c r="I30" s="869"/>
      <c r="J30" s="869"/>
      <c r="K30" s="869"/>
      <c r="L30" s="869"/>
      <c r="M30" s="869"/>
      <c r="N30" s="869"/>
      <c r="O30" s="869"/>
      <c r="P30" s="869"/>
      <c r="Q30" s="869"/>
      <c r="R30" s="869"/>
      <c r="S30" s="869"/>
      <c r="T30" s="859"/>
    </row>
    <row r="31" spans="1:20">
      <c r="A31" s="859"/>
      <c r="B31" s="883" t="s">
        <v>1047</v>
      </c>
      <c r="C31" s="884"/>
      <c r="D31" s="884"/>
      <c r="E31" s="884"/>
      <c r="F31" s="884"/>
      <c r="G31" s="885"/>
      <c r="H31" s="884">
        <v>30599.999999999996</v>
      </c>
      <c r="I31" s="884">
        <f>H31*(1+I32)</f>
        <v>32435.999999999996</v>
      </c>
      <c r="J31" s="884">
        <f t="shared" ref="J31:P31" si="7">I31*(1+J32)</f>
        <v>34382.159999999996</v>
      </c>
      <c r="K31" s="884">
        <f t="shared" si="7"/>
        <v>36445.089599999999</v>
      </c>
      <c r="L31" s="884">
        <f t="shared" si="7"/>
        <v>38631.794976000005</v>
      </c>
      <c r="M31" s="884">
        <f t="shared" si="7"/>
        <v>40949.702674560009</v>
      </c>
      <c r="N31" s="884">
        <f t="shared" si="7"/>
        <v>43406.684835033615</v>
      </c>
      <c r="O31" s="884">
        <f t="shared" si="7"/>
        <v>46011.085925135631</v>
      </c>
      <c r="P31" s="884">
        <f t="shared" si="7"/>
        <v>48771.751080643771</v>
      </c>
      <c r="Q31" s="884">
        <f>P31*(1+Q32)</f>
        <v>51698.056145482398</v>
      </c>
      <c r="R31" s="884">
        <f>Q31*(1+R32)</f>
        <v>54799.939514211343</v>
      </c>
      <c r="S31" s="884">
        <f>R31*(1+S32)</f>
        <v>58087.935885064027</v>
      </c>
      <c r="T31" s="859"/>
    </row>
    <row r="32" spans="1:20">
      <c r="A32" s="859"/>
      <c r="B32" s="886" t="s">
        <v>1048</v>
      </c>
      <c r="C32" s="886"/>
      <c r="D32" s="886"/>
      <c r="E32" s="887"/>
      <c r="F32" s="887"/>
      <c r="G32" s="887"/>
      <c r="H32" s="888"/>
      <c r="I32" s="889">
        <v>0.06</v>
      </c>
      <c r="J32" s="887">
        <f t="shared" ref="J32:O32" si="8">I32</f>
        <v>0.06</v>
      </c>
      <c r="K32" s="887">
        <f t="shared" si="8"/>
        <v>0.06</v>
      </c>
      <c r="L32" s="887">
        <f t="shared" si="8"/>
        <v>0.06</v>
      </c>
      <c r="M32" s="887">
        <f t="shared" si="8"/>
        <v>0.06</v>
      </c>
      <c r="N32" s="887">
        <f t="shared" si="8"/>
        <v>0.06</v>
      </c>
      <c r="O32" s="887">
        <f t="shared" si="8"/>
        <v>0.06</v>
      </c>
      <c r="P32" s="887">
        <f>O32</f>
        <v>0.06</v>
      </c>
      <c r="Q32" s="887">
        <f>P32</f>
        <v>0.06</v>
      </c>
      <c r="R32" s="887">
        <f>Q32</f>
        <v>0.06</v>
      </c>
      <c r="S32" s="887">
        <f>R32</f>
        <v>0.06</v>
      </c>
      <c r="T32" s="859"/>
    </row>
    <row r="33" spans="1:20">
      <c r="A33" s="859"/>
      <c r="B33" s="886"/>
      <c r="C33" s="886"/>
      <c r="D33" s="886"/>
      <c r="E33" s="888"/>
      <c r="F33" s="887"/>
      <c r="G33" s="887"/>
      <c r="H33" s="887"/>
      <c r="I33" s="887"/>
      <c r="J33" s="887"/>
      <c r="K33" s="887"/>
      <c r="L33" s="887"/>
      <c r="M33" s="887"/>
      <c r="N33" s="887"/>
      <c r="O33" s="887"/>
      <c r="P33" s="887"/>
      <c r="Q33" s="887"/>
      <c r="R33" s="887"/>
      <c r="S33" s="887"/>
      <c r="T33" s="859"/>
    </row>
    <row r="34" spans="1:20" ht="15.75" thickBot="1">
      <c r="A34" s="859"/>
      <c r="B34" s="890" t="s">
        <v>1049</v>
      </c>
      <c r="C34" s="890"/>
      <c r="D34" s="890"/>
      <c r="E34" s="890"/>
      <c r="F34" s="890"/>
      <c r="G34" s="891"/>
      <c r="H34" s="891">
        <f>H31*H27/1000000</f>
        <v>42.360750977820949</v>
      </c>
      <c r="I34" s="891">
        <f t="shared" ref="I34:S34" si="9">I31*I27/1000000</f>
        <v>90.433425617491267</v>
      </c>
      <c r="J34" s="891">
        <f t="shared" si="9"/>
        <v>168.92828255208943</v>
      </c>
      <c r="K34" s="891">
        <f t="shared" si="9"/>
        <v>270.47614104262692</v>
      </c>
      <c r="L34" s="891">
        <f t="shared" si="9"/>
        <v>360.88955308965097</v>
      </c>
      <c r="M34" s="891">
        <f t="shared" si="9"/>
        <v>443.00383577279848</v>
      </c>
      <c r="N34" s="891">
        <f t="shared" si="9"/>
        <v>520.15826981866076</v>
      </c>
      <c r="O34" s="891">
        <f t="shared" si="9"/>
        <v>610.75007440681827</v>
      </c>
      <c r="P34" s="891">
        <f t="shared" si="9"/>
        <v>717.11952886565859</v>
      </c>
      <c r="Q34" s="891">
        <f t="shared" si="9"/>
        <v>765.4677275017815</v>
      </c>
      <c r="R34" s="891">
        <f t="shared" si="9"/>
        <v>817.07556168995143</v>
      </c>
      <c r="S34" s="891">
        <f t="shared" si="9"/>
        <v>872.16279605908812</v>
      </c>
      <c r="T34" s="859"/>
    </row>
    <row r="35" spans="1:20" ht="15.75" thickTop="1">
      <c r="A35" s="859"/>
      <c r="B35" s="869"/>
      <c r="C35" s="869"/>
      <c r="D35" s="869"/>
      <c r="E35" s="869"/>
      <c r="F35" s="869"/>
      <c r="G35" s="869"/>
      <c r="H35" s="873"/>
      <c r="I35" s="869"/>
      <c r="J35" s="869"/>
      <c r="K35" s="869"/>
      <c r="L35" s="869"/>
      <c r="M35" s="869"/>
      <c r="N35" s="869"/>
      <c r="O35" s="869"/>
      <c r="P35" s="869"/>
      <c r="Q35" s="869"/>
      <c r="R35" s="869"/>
      <c r="S35" s="892"/>
      <c r="T35" s="859"/>
    </row>
    <row r="36" spans="1:20">
      <c r="A36" s="859"/>
      <c r="B36" s="869" t="s">
        <v>1050</v>
      </c>
      <c r="C36" s="869"/>
      <c r="D36" s="869"/>
      <c r="E36" s="869"/>
      <c r="F36" s="869"/>
      <c r="G36" s="869"/>
      <c r="H36" s="893">
        <v>0.2</v>
      </c>
      <c r="I36" s="893">
        <v>0.2</v>
      </c>
      <c r="J36" s="893">
        <v>0.21000000000000002</v>
      </c>
      <c r="K36" s="893">
        <v>0.22000000000000003</v>
      </c>
      <c r="L36" s="893">
        <v>0.23000000000000004</v>
      </c>
      <c r="M36" s="893">
        <v>0.23000000000000004</v>
      </c>
      <c r="N36" s="893">
        <v>0.23000000000000004</v>
      </c>
      <c r="O36" s="893">
        <v>0.24000000000000005</v>
      </c>
      <c r="P36" s="893">
        <v>0.24000000000000005</v>
      </c>
      <c r="Q36" s="893">
        <v>0.24000000000000005</v>
      </c>
      <c r="R36" s="893">
        <v>0.25000000000000006</v>
      </c>
      <c r="S36" s="893">
        <v>0.25000000000000006</v>
      </c>
      <c r="T36" s="859"/>
    </row>
    <row r="37" spans="1:20" ht="15.75" thickBot="1">
      <c r="A37" s="859"/>
      <c r="B37" s="896" t="s">
        <v>1051</v>
      </c>
      <c r="C37" s="896"/>
      <c r="D37" s="896"/>
      <c r="E37" s="896"/>
      <c r="F37" s="896"/>
      <c r="G37" s="896"/>
      <c r="H37" s="897">
        <f>H34*(1-H36)</f>
        <v>33.888600782256759</v>
      </c>
      <c r="I37" s="897">
        <f t="shared" ref="I37:S37" si="10">I34*(1-I36)</f>
        <v>72.346740493993011</v>
      </c>
      <c r="J37" s="897">
        <f t="shared" si="10"/>
        <v>133.45334321615064</v>
      </c>
      <c r="K37" s="897">
        <f t="shared" si="10"/>
        <v>210.97139001324899</v>
      </c>
      <c r="L37" s="897">
        <f t="shared" si="10"/>
        <v>277.88495587903128</v>
      </c>
      <c r="M37" s="897">
        <f t="shared" si="10"/>
        <v>341.11295354505484</v>
      </c>
      <c r="N37" s="897">
        <f t="shared" si="10"/>
        <v>400.52186776036876</v>
      </c>
      <c r="O37" s="897">
        <f t="shared" si="10"/>
        <v>464.17005654918188</v>
      </c>
      <c r="P37" s="897">
        <f t="shared" si="10"/>
        <v>545.01084193790052</v>
      </c>
      <c r="Q37" s="897">
        <f t="shared" si="10"/>
        <v>581.75547290135398</v>
      </c>
      <c r="R37" s="897">
        <f t="shared" si="10"/>
        <v>612.80667126746357</v>
      </c>
      <c r="S37" s="897">
        <f t="shared" si="10"/>
        <v>654.12209704431609</v>
      </c>
      <c r="T37" s="859"/>
    </row>
    <row r="38" spans="1:20">
      <c r="A38" s="859"/>
      <c r="B38" s="869"/>
      <c r="C38" s="869"/>
      <c r="D38" s="869"/>
      <c r="E38" s="869"/>
      <c r="F38" s="869"/>
      <c r="G38" s="869"/>
      <c r="H38" s="869"/>
      <c r="I38" s="869"/>
      <c r="J38" s="869"/>
      <c r="K38" s="869"/>
      <c r="L38" s="869"/>
      <c r="M38" s="869"/>
      <c r="N38" s="869"/>
      <c r="O38" s="869"/>
      <c r="P38" s="869"/>
      <c r="Q38" s="869"/>
      <c r="R38" s="869"/>
      <c r="S38" s="892"/>
      <c r="T38" s="859"/>
    </row>
    <row r="39" spans="1:20">
      <c r="A39" s="859"/>
      <c r="B39" s="869"/>
      <c r="C39" s="869"/>
      <c r="D39" s="869"/>
      <c r="E39" s="869"/>
      <c r="F39" s="869"/>
      <c r="G39" s="869"/>
      <c r="H39" s="869"/>
      <c r="I39" s="869"/>
      <c r="J39" s="869"/>
      <c r="K39" s="869"/>
      <c r="L39" s="869"/>
      <c r="M39" s="869"/>
      <c r="N39" s="869"/>
      <c r="O39" s="869"/>
      <c r="P39" s="869"/>
      <c r="Q39" s="869"/>
      <c r="R39" s="869"/>
      <c r="S39" s="869"/>
      <c r="T39" s="859"/>
    </row>
    <row r="40" spans="1:20">
      <c r="A40" s="859"/>
      <c r="B40" s="869"/>
      <c r="C40" s="869"/>
      <c r="D40" s="869"/>
      <c r="E40" s="869"/>
      <c r="F40" s="869"/>
      <c r="G40" s="869"/>
      <c r="H40" s="869"/>
      <c r="I40" s="869"/>
      <c r="J40" s="869"/>
      <c r="K40" s="869"/>
      <c r="L40" s="869"/>
      <c r="M40" s="869"/>
      <c r="N40" s="869"/>
      <c r="O40" s="869"/>
      <c r="P40" s="869"/>
      <c r="Q40" s="869"/>
      <c r="R40" s="869"/>
      <c r="S40" s="869"/>
      <c r="T40" s="859"/>
    </row>
  </sheetData>
  <mergeCells count="2">
    <mergeCell ref="D1:E1"/>
    <mergeCell ref="G1:I1"/>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T130"/>
  <sheetViews>
    <sheetView topLeftCell="A77" zoomScaleNormal="100" workbookViewId="0">
      <selection activeCell="H110" sqref="H110"/>
    </sheetView>
  </sheetViews>
  <sheetFormatPr defaultRowHeight="15" outlineLevelRow="1"/>
  <cols>
    <col min="1" max="1" width="2.140625" customWidth="1"/>
    <col min="2" max="2" width="45.140625" bestFit="1" customWidth="1"/>
    <col min="8" max="8" width="9.140625" customWidth="1"/>
  </cols>
  <sheetData>
    <row r="1" spans="1:20">
      <c r="A1" s="859"/>
      <c r="B1" s="859"/>
      <c r="C1" s="859"/>
      <c r="D1" s="859"/>
      <c r="E1" s="859"/>
      <c r="F1" s="859"/>
      <c r="G1" s="859"/>
      <c r="H1" s="859"/>
      <c r="I1" s="859"/>
      <c r="J1" s="859"/>
      <c r="K1" s="859"/>
      <c r="L1" s="859"/>
      <c r="M1" s="859"/>
      <c r="N1" s="859"/>
      <c r="O1" s="859"/>
      <c r="P1" s="859"/>
      <c r="Q1" s="859"/>
      <c r="R1" s="859"/>
      <c r="S1" s="859"/>
      <c r="T1" s="859"/>
    </row>
    <row r="2" spans="1:20">
      <c r="A2" s="859"/>
      <c r="B2" s="898" t="s">
        <v>710</v>
      </c>
      <c r="C2" s="899">
        <f>DCF!C25</f>
        <v>2</v>
      </c>
      <c r="D2" s="900"/>
      <c r="E2" s="859"/>
      <c r="F2" s="859"/>
      <c r="G2" s="859"/>
      <c r="H2" s="859"/>
      <c r="I2" s="859"/>
      <c r="J2" s="859"/>
      <c r="K2" s="859"/>
      <c r="L2" s="859"/>
      <c r="M2" s="859"/>
      <c r="N2" s="859"/>
      <c r="O2" s="859"/>
      <c r="P2" s="859"/>
      <c r="Q2" s="859"/>
      <c r="R2" s="859"/>
      <c r="S2" s="859"/>
      <c r="T2" s="859"/>
    </row>
    <row r="3" spans="1:20">
      <c r="A3" s="859"/>
      <c r="B3" s="859"/>
      <c r="C3" s="750"/>
      <c r="D3" s="859"/>
      <c r="E3" s="859"/>
      <c r="F3" s="859"/>
      <c r="G3" s="859"/>
      <c r="H3" s="859" t="s">
        <v>1052</v>
      </c>
      <c r="I3" s="859" t="s">
        <v>1053</v>
      </c>
      <c r="J3" s="859"/>
      <c r="K3" s="859"/>
      <c r="L3" s="859"/>
      <c r="M3" s="859"/>
      <c r="N3" s="859"/>
      <c r="O3" s="859"/>
      <c r="P3" s="859"/>
      <c r="Q3" s="859"/>
      <c r="R3" s="859"/>
      <c r="S3" s="859" t="s">
        <v>1054</v>
      </c>
      <c r="T3" s="859"/>
    </row>
    <row r="4" spans="1:20" ht="15.75">
      <c r="A4" s="751"/>
      <c r="B4" s="901"/>
      <c r="C4" s="902">
        <v>2014</v>
      </c>
      <c r="D4" s="902">
        <v>2015</v>
      </c>
      <c r="E4" s="902">
        <v>2016</v>
      </c>
      <c r="F4" s="902">
        <v>2017</v>
      </c>
      <c r="G4" s="902">
        <v>2018</v>
      </c>
      <c r="H4" s="902">
        <v>2019</v>
      </c>
      <c r="I4" s="902">
        <v>2020</v>
      </c>
      <c r="J4" s="902">
        <v>2021</v>
      </c>
      <c r="K4" s="902">
        <v>2022</v>
      </c>
      <c r="L4" s="902">
        <v>2023</v>
      </c>
      <c r="M4" s="902">
        <v>2024</v>
      </c>
      <c r="N4" s="902">
        <v>2025</v>
      </c>
      <c r="O4" s="902">
        <v>2026</v>
      </c>
      <c r="P4" s="902">
        <v>2027</v>
      </c>
      <c r="Q4" s="902">
        <v>2028</v>
      </c>
      <c r="R4" s="902">
        <v>2029</v>
      </c>
      <c r="S4" s="902">
        <v>2030</v>
      </c>
      <c r="T4" s="859"/>
    </row>
    <row r="5" spans="1:20" ht="15.75">
      <c r="A5" s="751"/>
      <c r="B5" s="903" t="s">
        <v>1055</v>
      </c>
      <c r="C5" s="904"/>
      <c r="D5" s="904"/>
      <c r="E5" s="904"/>
      <c r="F5" s="904"/>
      <c r="G5" s="904"/>
      <c r="H5" s="904"/>
      <c r="I5" s="904"/>
      <c r="J5" s="904"/>
      <c r="K5" s="904"/>
      <c r="L5" s="904"/>
      <c r="M5" s="904"/>
      <c r="N5" s="904"/>
      <c r="O5" s="904"/>
      <c r="P5" s="904"/>
      <c r="Q5" s="904"/>
      <c r="R5" s="904"/>
      <c r="S5" s="904"/>
      <c r="T5" s="859"/>
    </row>
    <row r="6" spans="1:20" hidden="1" outlineLevel="1">
      <c r="A6" s="859"/>
      <c r="B6" s="905" t="s">
        <v>1056</v>
      </c>
      <c r="C6" s="906"/>
      <c r="D6" s="859"/>
      <c r="E6" s="859"/>
      <c r="F6" s="859"/>
      <c r="G6" s="859"/>
      <c r="H6" s="859"/>
      <c r="I6" s="859"/>
      <c r="J6" s="859"/>
      <c r="K6" s="859"/>
      <c r="L6" s="859"/>
      <c r="M6" s="859"/>
      <c r="N6" s="859"/>
      <c r="O6" s="859"/>
      <c r="P6" s="859"/>
      <c r="Q6" s="859"/>
      <c r="R6" s="859"/>
      <c r="S6" s="859"/>
      <c r="T6" s="859"/>
    </row>
    <row r="7" spans="1:20" hidden="1" outlineLevel="1">
      <c r="A7" s="859"/>
      <c r="B7" s="907" t="s">
        <v>1057</v>
      </c>
      <c r="C7" s="906"/>
      <c r="D7" s="859"/>
      <c r="E7" s="859"/>
      <c r="F7" s="859"/>
      <c r="G7" s="859"/>
      <c r="H7" s="859"/>
      <c r="I7" s="859"/>
      <c r="J7" s="859"/>
      <c r="K7" s="859"/>
      <c r="L7" s="859"/>
      <c r="M7" s="859"/>
      <c r="N7" s="859"/>
      <c r="O7" s="859"/>
      <c r="P7" s="859"/>
      <c r="Q7" s="859"/>
      <c r="R7" s="859"/>
      <c r="S7" s="859"/>
      <c r="T7" s="859"/>
    </row>
    <row r="8" spans="1:20" hidden="1" outlineLevel="1">
      <c r="A8" s="859"/>
      <c r="B8" s="908" t="s">
        <v>423</v>
      </c>
      <c r="C8" s="859"/>
      <c r="D8" s="859"/>
      <c r="E8" s="859"/>
      <c r="F8" s="906"/>
      <c r="G8" s="754"/>
      <c r="H8" s="909">
        <f t="shared" ref="H8:S8" si="0">H9*1.5</f>
        <v>7.4999999999999997E-3</v>
      </c>
      <c r="I8" s="909">
        <f t="shared" si="0"/>
        <v>1.4999999999999999E-2</v>
      </c>
      <c r="J8" s="909">
        <f t="shared" si="0"/>
        <v>0.03</v>
      </c>
      <c r="K8" s="909">
        <f t="shared" si="0"/>
        <v>4.4999999999999998E-2</v>
      </c>
      <c r="L8" s="909">
        <f t="shared" si="0"/>
        <v>0.06</v>
      </c>
      <c r="M8" s="909">
        <f t="shared" si="0"/>
        <v>7.5000000000000011E-2</v>
      </c>
      <c r="N8" s="909">
        <f t="shared" si="0"/>
        <v>7.5000000000000011E-2</v>
      </c>
      <c r="O8" s="909">
        <f t="shared" si="0"/>
        <v>7.5000000000000011E-2</v>
      </c>
      <c r="P8" s="909">
        <f t="shared" si="0"/>
        <v>7.5000000000000011E-2</v>
      </c>
      <c r="Q8" s="909">
        <f t="shared" si="0"/>
        <v>7.5000000000000011E-2</v>
      </c>
      <c r="R8" s="909">
        <f t="shared" si="0"/>
        <v>7.5000000000000011E-2</v>
      </c>
      <c r="S8" s="909">
        <f t="shared" si="0"/>
        <v>7.5000000000000011E-2</v>
      </c>
      <c r="T8" s="859"/>
    </row>
    <row r="9" spans="1:20" hidden="1" outlineLevel="1">
      <c r="A9" s="859"/>
      <c r="B9" s="910" t="s">
        <v>424</v>
      </c>
      <c r="C9" s="859"/>
      <c r="D9" s="859"/>
      <c r="E9" s="859"/>
      <c r="F9" s="906"/>
      <c r="G9" s="911"/>
      <c r="H9" s="912">
        <v>5.0000000000000001E-3</v>
      </c>
      <c r="I9" s="912">
        <v>0.01</v>
      </c>
      <c r="J9" s="912">
        <v>0.02</v>
      </c>
      <c r="K9" s="912">
        <v>0.03</v>
      </c>
      <c r="L9" s="912">
        <v>0.04</v>
      </c>
      <c r="M9" s="912">
        <v>0.05</v>
      </c>
      <c r="N9" s="912">
        <v>0.05</v>
      </c>
      <c r="O9" s="912">
        <v>0.05</v>
      </c>
      <c r="P9" s="912">
        <v>0.05</v>
      </c>
      <c r="Q9" s="912">
        <v>0.05</v>
      </c>
      <c r="R9" s="912">
        <v>0.05</v>
      </c>
      <c r="S9" s="912">
        <v>0.05</v>
      </c>
      <c r="T9" s="859"/>
    </row>
    <row r="10" spans="1:20" hidden="1" outlineLevel="1">
      <c r="A10" s="859"/>
      <c r="B10" s="908" t="s">
        <v>425</v>
      </c>
      <c r="C10" s="859"/>
      <c r="D10" s="859"/>
      <c r="E10" s="859"/>
      <c r="F10" s="906"/>
      <c r="G10" s="911"/>
      <c r="H10" s="912">
        <v>0</v>
      </c>
      <c r="I10" s="912">
        <v>0</v>
      </c>
      <c r="J10" s="912">
        <v>0</v>
      </c>
      <c r="K10" s="912">
        <v>0</v>
      </c>
      <c r="L10" s="912">
        <v>0</v>
      </c>
      <c r="M10" s="912">
        <v>0</v>
      </c>
      <c r="N10" s="912">
        <v>0</v>
      </c>
      <c r="O10" s="912">
        <v>0</v>
      </c>
      <c r="P10" s="912">
        <v>0</v>
      </c>
      <c r="Q10" s="912">
        <v>0</v>
      </c>
      <c r="R10" s="912">
        <v>0</v>
      </c>
      <c r="S10" s="912">
        <v>0</v>
      </c>
      <c r="T10" s="859"/>
    </row>
    <row r="11" spans="1:20" hidden="1" outlineLevel="1">
      <c r="A11" s="859"/>
      <c r="B11" s="907" t="s">
        <v>1058</v>
      </c>
      <c r="C11" s="859"/>
      <c r="D11" s="859"/>
      <c r="E11" s="859"/>
      <c r="F11" s="906"/>
      <c r="G11" s="859"/>
      <c r="H11" s="909"/>
      <c r="I11" s="909"/>
      <c r="J11" s="909"/>
      <c r="K11" s="909"/>
      <c r="L11" s="909"/>
      <c r="M11" s="909"/>
      <c r="N11" s="909"/>
      <c r="O11" s="909"/>
      <c r="P11" s="909"/>
      <c r="Q11" s="909"/>
      <c r="R11" s="909"/>
      <c r="S11" s="909"/>
      <c r="T11" s="859"/>
    </row>
    <row r="12" spans="1:20" hidden="1" outlineLevel="1">
      <c r="A12" s="859"/>
      <c r="B12" s="908" t="s">
        <v>423</v>
      </c>
      <c r="C12" s="859"/>
      <c r="D12" s="859"/>
      <c r="E12" s="859"/>
      <c r="F12" s="906"/>
      <c r="G12" s="754"/>
      <c r="H12" s="909">
        <f>G8*0.75</f>
        <v>0</v>
      </c>
      <c r="I12" s="909">
        <f t="shared" ref="I12:S14" si="1">H8*0.75</f>
        <v>5.6249999999999998E-3</v>
      </c>
      <c r="J12" s="909">
        <f t="shared" si="1"/>
        <v>1.125E-2</v>
      </c>
      <c r="K12" s="909">
        <f t="shared" si="1"/>
        <v>2.2499999999999999E-2</v>
      </c>
      <c r="L12" s="909">
        <f t="shared" si="1"/>
        <v>3.3750000000000002E-2</v>
      </c>
      <c r="M12" s="909">
        <f t="shared" si="1"/>
        <v>4.4999999999999998E-2</v>
      </c>
      <c r="N12" s="909">
        <f t="shared" si="1"/>
        <v>5.6250000000000008E-2</v>
      </c>
      <c r="O12" s="909">
        <f t="shared" si="1"/>
        <v>5.6250000000000008E-2</v>
      </c>
      <c r="P12" s="909">
        <f t="shared" si="1"/>
        <v>5.6250000000000008E-2</v>
      </c>
      <c r="Q12" s="909">
        <f t="shared" si="1"/>
        <v>5.6250000000000008E-2</v>
      </c>
      <c r="R12" s="909">
        <f t="shared" si="1"/>
        <v>5.6250000000000008E-2</v>
      </c>
      <c r="S12" s="909">
        <f t="shared" si="1"/>
        <v>5.6250000000000008E-2</v>
      </c>
      <c r="T12" s="859"/>
    </row>
    <row r="13" spans="1:20" hidden="1" outlineLevel="1">
      <c r="A13" s="859"/>
      <c r="B13" s="910" t="s">
        <v>424</v>
      </c>
      <c r="C13" s="859"/>
      <c r="D13" s="859"/>
      <c r="E13" s="859"/>
      <c r="F13" s="906"/>
      <c r="G13" s="754"/>
      <c r="H13" s="909">
        <f>G9*0.75</f>
        <v>0</v>
      </c>
      <c r="I13" s="909">
        <f t="shared" si="1"/>
        <v>3.7499999999999999E-3</v>
      </c>
      <c r="J13" s="909">
        <f t="shared" si="1"/>
        <v>7.4999999999999997E-3</v>
      </c>
      <c r="K13" s="909">
        <f t="shared" si="1"/>
        <v>1.4999999999999999E-2</v>
      </c>
      <c r="L13" s="909">
        <f t="shared" si="1"/>
        <v>2.2499999999999999E-2</v>
      </c>
      <c r="M13" s="909">
        <f t="shared" si="1"/>
        <v>0.03</v>
      </c>
      <c r="N13" s="909">
        <f t="shared" si="1"/>
        <v>3.7500000000000006E-2</v>
      </c>
      <c r="O13" s="909">
        <f t="shared" si="1"/>
        <v>3.7500000000000006E-2</v>
      </c>
      <c r="P13" s="909">
        <f t="shared" si="1"/>
        <v>3.7500000000000006E-2</v>
      </c>
      <c r="Q13" s="909">
        <f t="shared" si="1"/>
        <v>3.7500000000000006E-2</v>
      </c>
      <c r="R13" s="909">
        <f t="shared" si="1"/>
        <v>3.7500000000000006E-2</v>
      </c>
      <c r="S13" s="909">
        <f t="shared" si="1"/>
        <v>3.7500000000000006E-2</v>
      </c>
      <c r="T13" s="859"/>
    </row>
    <row r="14" spans="1:20" hidden="1" outlineLevel="1">
      <c r="A14" s="859"/>
      <c r="B14" s="913" t="s">
        <v>425</v>
      </c>
      <c r="C14" s="752"/>
      <c r="D14" s="752"/>
      <c r="E14" s="752"/>
      <c r="F14" s="914"/>
      <c r="G14" s="864"/>
      <c r="H14" s="915">
        <f>G10*0.75</f>
        <v>0</v>
      </c>
      <c r="I14" s="915">
        <f t="shared" si="1"/>
        <v>0</v>
      </c>
      <c r="J14" s="915">
        <f t="shared" si="1"/>
        <v>0</v>
      </c>
      <c r="K14" s="915">
        <f t="shared" si="1"/>
        <v>0</v>
      </c>
      <c r="L14" s="915">
        <f t="shared" si="1"/>
        <v>0</v>
      </c>
      <c r="M14" s="915">
        <f t="shared" si="1"/>
        <v>0</v>
      </c>
      <c r="N14" s="915">
        <f t="shared" si="1"/>
        <v>0</v>
      </c>
      <c r="O14" s="915">
        <f t="shared" si="1"/>
        <v>0</v>
      </c>
      <c r="P14" s="915">
        <f t="shared" si="1"/>
        <v>0</v>
      </c>
      <c r="Q14" s="915">
        <f t="shared" si="1"/>
        <v>0</v>
      </c>
      <c r="R14" s="915">
        <f t="shared" si="1"/>
        <v>0</v>
      </c>
      <c r="S14" s="915">
        <f t="shared" si="1"/>
        <v>0</v>
      </c>
      <c r="T14" s="859"/>
    </row>
    <row r="15" spans="1:20" collapsed="1">
      <c r="A15" s="859"/>
      <c r="B15" s="916"/>
      <c r="C15" s="917"/>
      <c r="D15" s="918"/>
      <c r="E15" s="918"/>
      <c r="F15" s="918"/>
      <c r="G15" s="918"/>
      <c r="H15" s="919"/>
      <c r="I15" s="919"/>
      <c r="J15" s="919"/>
      <c r="K15" s="919"/>
      <c r="L15" s="919"/>
      <c r="M15" s="919"/>
      <c r="N15" s="919"/>
      <c r="O15" s="919"/>
      <c r="P15" s="919"/>
      <c r="Q15" s="919"/>
      <c r="R15" s="919"/>
      <c r="S15" s="919"/>
      <c r="T15" s="859"/>
    </row>
    <row r="16" spans="1:20" hidden="1" outlineLevel="1">
      <c r="A16" s="859"/>
      <c r="B16" s="920" t="s">
        <v>1059</v>
      </c>
      <c r="C16" s="906"/>
      <c r="D16" s="859"/>
      <c r="E16" s="859"/>
      <c r="F16" s="859"/>
      <c r="G16" s="859"/>
      <c r="H16" s="909"/>
      <c r="I16" s="909"/>
      <c r="J16" s="909"/>
      <c r="K16" s="909"/>
      <c r="L16" s="909"/>
      <c r="M16" s="909"/>
      <c r="N16" s="909"/>
      <c r="O16" s="909"/>
      <c r="P16" s="909"/>
      <c r="Q16" s="909"/>
      <c r="R16" s="909"/>
      <c r="S16" s="909"/>
      <c r="T16" s="859"/>
    </row>
    <row r="17" spans="1:20" hidden="1" outlineLevel="1">
      <c r="A17" s="859"/>
      <c r="B17" s="907" t="s">
        <v>1057</v>
      </c>
      <c r="C17" s="906"/>
      <c r="D17" s="859"/>
      <c r="E17" s="859"/>
      <c r="F17" s="859"/>
      <c r="G17" s="859"/>
      <c r="H17" s="909"/>
      <c r="I17" s="909"/>
      <c r="J17" s="909"/>
      <c r="K17" s="909"/>
      <c r="L17" s="909"/>
      <c r="M17" s="909"/>
      <c r="N17" s="909"/>
      <c r="O17" s="909"/>
      <c r="P17" s="909"/>
      <c r="Q17" s="909"/>
      <c r="R17" s="909"/>
      <c r="S17" s="909"/>
      <c r="T17" s="859"/>
    </row>
    <row r="18" spans="1:20" hidden="1" outlineLevel="1">
      <c r="A18" s="859"/>
      <c r="B18" s="908" t="s">
        <v>423</v>
      </c>
      <c r="C18" s="908"/>
      <c r="D18" s="908"/>
      <c r="E18" s="908"/>
      <c r="F18" s="859"/>
      <c r="G18" s="754"/>
      <c r="H18" s="909">
        <f t="shared" ref="H18:S18" si="2">H19*1.5</f>
        <v>7.4999999999999997E-3</v>
      </c>
      <c r="I18" s="909">
        <f t="shared" si="2"/>
        <v>1.4999999999999999E-2</v>
      </c>
      <c r="J18" s="909">
        <f t="shared" si="2"/>
        <v>0.03</v>
      </c>
      <c r="K18" s="909">
        <f t="shared" si="2"/>
        <v>4.4999999999999998E-2</v>
      </c>
      <c r="L18" s="909">
        <f t="shared" si="2"/>
        <v>0.06</v>
      </c>
      <c r="M18" s="909">
        <f t="shared" si="2"/>
        <v>7.5000000000000011E-2</v>
      </c>
      <c r="N18" s="909">
        <f t="shared" si="2"/>
        <v>7.5000000000000011E-2</v>
      </c>
      <c r="O18" s="909">
        <f t="shared" si="2"/>
        <v>7.5000000000000011E-2</v>
      </c>
      <c r="P18" s="909">
        <f t="shared" si="2"/>
        <v>7.5000000000000011E-2</v>
      </c>
      <c r="Q18" s="909">
        <f t="shared" si="2"/>
        <v>7.5000000000000011E-2</v>
      </c>
      <c r="R18" s="909">
        <f t="shared" si="2"/>
        <v>7.5000000000000011E-2</v>
      </c>
      <c r="S18" s="909">
        <f t="shared" si="2"/>
        <v>7.5000000000000011E-2</v>
      </c>
      <c r="T18" s="859"/>
    </row>
    <row r="19" spans="1:20" hidden="1" outlineLevel="1">
      <c r="A19" s="859"/>
      <c r="B19" s="910" t="s">
        <v>424</v>
      </c>
      <c r="C19" s="910"/>
      <c r="D19" s="910"/>
      <c r="E19" s="910"/>
      <c r="F19" s="859"/>
      <c r="G19" s="911"/>
      <c r="H19" s="912">
        <v>5.0000000000000001E-3</v>
      </c>
      <c r="I19" s="912">
        <v>0.01</v>
      </c>
      <c r="J19" s="912">
        <v>0.02</v>
      </c>
      <c r="K19" s="912">
        <v>0.03</v>
      </c>
      <c r="L19" s="912">
        <v>0.04</v>
      </c>
      <c r="M19" s="912">
        <v>0.05</v>
      </c>
      <c r="N19" s="912">
        <v>0.05</v>
      </c>
      <c r="O19" s="912">
        <v>0.05</v>
      </c>
      <c r="P19" s="912">
        <v>0.05</v>
      </c>
      <c r="Q19" s="912">
        <v>0.05</v>
      </c>
      <c r="R19" s="912">
        <v>0.05</v>
      </c>
      <c r="S19" s="912">
        <v>0.05</v>
      </c>
      <c r="T19" s="859"/>
    </row>
    <row r="20" spans="1:20" hidden="1" outlineLevel="1">
      <c r="A20" s="859"/>
      <c r="B20" s="908" t="s">
        <v>425</v>
      </c>
      <c r="C20" s="908"/>
      <c r="D20" s="908"/>
      <c r="E20" s="908"/>
      <c r="F20" s="859"/>
      <c r="G20" s="911"/>
      <c r="H20" s="912">
        <v>0</v>
      </c>
      <c r="I20" s="912">
        <v>0</v>
      </c>
      <c r="J20" s="912">
        <v>0</v>
      </c>
      <c r="K20" s="912">
        <v>0</v>
      </c>
      <c r="L20" s="912">
        <v>0</v>
      </c>
      <c r="M20" s="912">
        <v>0</v>
      </c>
      <c r="N20" s="912">
        <v>0</v>
      </c>
      <c r="O20" s="912">
        <v>0</v>
      </c>
      <c r="P20" s="912">
        <v>0</v>
      </c>
      <c r="Q20" s="912">
        <v>0</v>
      </c>
      <c r="R20" s="912">
        <v>0</v>
      </c>
      <c r="S20" s="912">
        <v>0</v>
      </c>
      <c r="T20" s="859"/>
    </row>
    <row r="21" spans="1:20" hidden="1" outlineLevel="1">
      <c r="A21" s="859"/>
      <c r="B21" s="907" t="s">
        <v>1058</v>
      </c>
      <c r="C21" s="907"/>
      <c r="D21" s="907"/>
      <c r="E21" s="907"/>
      <c r="F21" s="859"/>
      <c r="G21" s="859"/>
      <c r="H21" s="909"/>
      <c r="I21" s="909"/>
      <c r="J21" s="909"/>
      <c r="K21" s="909"/>
      <c r="L21" s="909"/>
      <c r="M21" s="909"/>
      <c r="N21" s="909"/>
      <c r="O21" s="909"/>
      <c r="P21" s="909"/>
      <c r="Q21" s="909"/>
      <c r="R21" s="909"/>
      <c r="S21" s="909"/>
      <c r="T21" s="859"/>
    </row>
    <row r="22" spans="1:20" hidden="1" outlineLevel="1">
      <c r="A22" s="859"/>
      <c r="B22" s="908" t="s">
        <v>423</v>
      </c>
      <c r="C22" s="908"/>
      <c r="D22" s="908"/>
      <c r="E22" s="908"/>
      <c r="F22" s="859"/>
      <c r="G22" s="754"/>
      <c r="H22" s="909">
        <f>G18*0.75</f>
        <v>0</v>
      </c>
      <c r="I22" s="909">
        <f>H18*0.75</f>
        <v>5.6249999999999998E-3</v>
      </c>
      <c r="J22" s="909">
        <f t="shared" ref="J22:S23" si="3">I18*0.75</f>
        <v>1.125E-2</v>
      </c>
      <c r="K22" s="909">
        <f t="shared" si="3"/>
        <v>2.2499999999999999E-2</v>
      </c>
      <c r="L22" s="909">
        <f t="shared" si="3"/>
        <v>3.3750000000000002E-2</v>
      </c>
      <c r="M22" s="909">
        <f t="shared" si="3"/>
        <v>4.4999999999999998E-2</v>
      </c>
      <c r="N22" s="909">
        <f t="shared" si="3"/>
        <v>5.6250000000000008E-2</v>
      </c>
      <c r="O22" s="909">
        <f t="shared" si="3"/>
        <v>5.6250000000000008E-2</v>
      </c>
      <c r="P22" s="909">
        <f t="shared" si="3"/>
        <v>5.6250000000000008E-2</v>
      </c>
      <c r="Q22" s="909">
        <f t="shared" si="3"/>
        <v>5.6250000000000008E-2</v>
      </c>
      <c r="R22" s="909">
        <f t="shared" si="3"/>
        <v>5.6250000000000008E-2</v>
      </c>
      <c r="S22" s="909">
        <f t="shared" si="3"/>
        <v>5.6250000000000008E-2</v>
      </c>
      <c r="T22" s="859"/>
    </row>
    <row r="23" spans="1:20" hidden="1" outlineLevel="1">
      <c r="A23" s="859"/>
      <c r="B23" s="910" t="s">
        <v>424</v>
      </c>
      <c r="C23" s="910"/>
      <c r="D23" s="910"/>
      <c r="E23" s="910"/>
      <c r="F23" s="859"/>
      <c r="G23" s="754"/>
      <c r="H23" s="909">
        <f>G19*0.75</f>
        <v>0</v>
      </c>
      <c r="I23" s="909">
        <f>H19*0.75</f>
        <v>3.7499999999999999E-3</v>
      </c>
      <c r="J23" s="909">
        <f t="shared" si="3"/>
        <v>7.4999999999999997E-3</v>
      </c>
      <c r="K23" s="909">
        <f t="shared" si="3"/>
        <v>1.4999999999999999E-2</v>
      </c>
      <c r="L23" s="909">
        <f t="shared" si="3"/>
        <v>2.2499999999999999E-2</v>
      </c>
      <c r="M23" s="909">
        <f t="shared" si="3"/>
        <v>0.03</v>
      </c>
      <c r="N23" s="909">
        <f t="shared" si="3"/>
        <v>3.7500000000000006E-2</v>
      </c>
      <c r="O23" s="909">
        <f t="shared" si="3"/>
        <v>3.7500000000000006E-2</v>
      </c>
      <c r="P23" s="909">
        <f t="shared" si="3"/>
        <v>3.7500000000000006E-2</v>
      </c>
      <c r="Q23" s="909">
        <f t="shared" si="3"/>
        <v>3.7500000000000006E-2</v>
      </c>
      <c r="R23" s="909">
        <f t="shared" si="3"/>
        <v>3.7500000000000006E-2</v>
      </c>
      <c r="S23" s="909">
        <f t="shared" si="3"/>
        <v>3.7500000000000006E-2</v>
      </c>
      <c r="T23" s="859"/>
    </row>
    <row r="24" spans="1:20" hidden="1" outlineLevel="1">
      <c r="A24" s="859"/>
      <c r="B24" s="913" t="s">
        <v>425</v>
      </c>
      <c r="C24" s="913"/>
      <c r="D24" s="913"/>
      <c r="E24" s="913"/>
      <c r="F24" s="752"/>
      <c r="G24" s="864"/>
      <c r="H24" s="915">
        <f>G20*0.75</f>
        <v>0</v>
      </c>
      <c r="I24" s="915">
        <f t="shared" ref="I24:S24" si="4">H20*0.75</f>
        <v>0</v>
      </c>
      <c r="J24" s="915">
        <f t="shared" si="4"/>
        <v>0</v>
      </c>
      <c r="K24" s="915">
        <f t="shared" si="4"/>
        <v>0</v>
      </c>
      <c r="L24" s="915">
        <f t="shared" si="4"/>
        <v>0</v>
      </c>
      <c r="M24" s="915">
        <f t="shared" si="4"/>
        <v>0</v>
      </c>
      <c r="N24" s="915">
        <f t="shared" si="4"/>
        <v>0</v>
      </c>
      <c r="O24" s="915">
        <f t="shared" si="4"/>
        <v>0</v>
      </c>
      <c r="P24" s="915">
        <f t="shared" si="4"/>
        <v>0</v>
      </c>
      <c r="Q24" s="915">
        <f t="shared" si="4"/>
        <v>0</v>
      </c>
      <c r="R24" s="915">
        <f t="shared" si="4"/>
        <v>0</v>
      </c>
      <c r="S24" s="915">
        <f t="shared" si="4"/>
        <v>0</v>
      </c>
      <c r="T24" s="859"/>
    </row>
    <row r="25" spans="1:20" collapsed="1">
      <c r="A25" s="859"/>
      <c r="B25" s="858"/>
      <c r="C25" s="917"/>
      <c r="D25" s="858"/>
      <c r="E25" s="858"/>
      <c r="F25" s="858"/>
      <c r="G25" s="858"/>
      <c r="H25" s="919"/>
      <c r="I25" s="919"/>
      <c r="J25" s="919"/>
      <c r="K25" s="919"/>
      <c r="L25" s="919"/>
      <c r="M25" s="919"/>
      <c r="N25" s="919"/>
      <c r="O25" s="919"/>
      <c r="P25" s="919"/>
      <c r="Q25" s="919"/>
      <c r="R25" s="919"/>
      <c r="S25" s="919"/>
      <c r="T25" s="859"/>
    </row>
    <row r="26" spans="1:20" hidden="1" outlineLevel="1">
      <c r="A26" s="859"/>
      <c r="B26" s="920" t="s">
        <v>1060</v>
      </c>
      <c r="C26" s="906"/>
      <c r="D26" s="859"/>
      <c r="E26" s="859"/>
      <c r="F26" s="859"/>
      <c r="G26" s="859"/>
      <c r="H26" s="909"/>
      <c r="I26" s="909"/>
      <c r="J26" s="909"/>
      <c r="K26" s="909"/>
      <c r="L26" s="909"/>
      <c r="M26" s="909"/>
      <c r="N26" s="909"/>
      <c r="O26" s="909"/>
      <c r="P26" s="909"/>
      <c r="Q26" s="909"/>
      <c r="R26" s="909"/>
      <c r="S26" s="909"/>
      <c r="T26" s="859"/>
    </row>
    <row r="27" spans="1:20" hidden="1" outlineLevel="1">
      <c r="A27" s="859"/>
      <c r="B27" s="907" t="s">
        <v>1057</v>
      </c>
      <c r="C27" s="906"/>
      <c r="D27" s="859"/>
      <c r="E27" s="859"/>
      <c r="F27" s="859"/>
      <c r="G27" s="859"/>
      <c r="H27" s="909"/>
      <c r="I27" s="909"/>
      <c r="J27" s="909"/>
      <c r="K27" s="909"/>
      <c r="L27" s="909"/>
      <c r="M27" s="909"/>
      <c r="N27" s="909"/>
      <c r="O27" s="909"/>
      <c r="P27" s="909"/>
      <c r="Q27" s="909"/>
      <c r="R27" s="909"/>
      <c r="S27" s="909"/>
      <c r="T27" s="859"/>
    </row>
    <row r="28" spans="1:20" hidden="1" outlineLevel="1">
      <c r="A28" s="859"/>
      <c r="B28" s="908" t="s">
        <v>423</v>
      </c>
      <c r="C28" s="908"/>
      <c r="D28" s="908"/>
      <c r="E28" s="908"/>
      <c r="F28" s="859"/>
      <c r="G28" s="754"/>
      <c r="H28" s="909">
        <f t="shared" ref="H28:S28" si="5">H29*1.5</f>
        <v>2.2500000000000003E-3</v>
      </c>
      <c r="I28" s="909">
        <f t="shared" si="5"/>
        <v>3.3750000000000004E-3</v>
      </c>
      <c r="J28" s="909">
        <f t="shared" si="5"/>
        <v>5.062500000000001E-3</v>
      </c>
      <c r="K28" s="909">
        <f t="shared" si="5"/>
        <v>7.5937500000000015E-3</v>
      </c>
      <c r="L28" s="909">
        <f t="shared" si="5"/>
        <v>1.1390625000000001E-2</v>
      </c>
      <c r="M28" s="909">
        <f t="shared" si="5"/>
        <v>1.1390625000000001E-2</v>
      </c>
      <c r="N28" s="909">
        <f t="shared" si="5"/>
        <v>1.1390625000000001E-2</v>
      </c>
      <c r="O28" s="909">
        <f t="shared" si="5"/>
        <v>1.1390625000000001E-2</v>
      </c>
      <c r="P28" s="909">
        <f t="shared" si="5"/>
        <v>1.1390625000000001E-2</v>
      </c>
      <c r="Q28" s="909">
        <f t="shared" si="5"/>
        <v>1.1390625000000001E-2</v>
      </c>
      <c r="R28" s="909">
        <f t="shared" si="5"/>
        <v>1.1390625000000001E-2</v>
      </c>
      <c r="S28" s="909">
        <f t="shared" si="5"/>
        <v>1.1390625000000001E-2</v>
      </c>
      <c r="T28" s="859"/>
    </row>
    <row r="29" spans="1:20" hidden="1" outlineLevel="1">
      <c r="A29" s="859"/>
      <c r="B29" s="910" t="s">
        <v>424</v>
      </c>
      <c r="C29" s="910"/>
      <c r="D29" s="910"/>
      <c r="E29" s="910"/>
      <c r="F29" s="859"/>
      <c r="G29" s="911"/>
      <c r="H29" s="912">
        <v>1.5E-3</v>
      </c>
      <c r="I29" s="912">
        <v>2.2500000000000003E-3</v>
      </c>
      <c r="J29" s="912">
        <v>3.3750000000000004E-3</v>
      </c>
      <c r="K29" s="912">
        <v>5.062500000000001E-3</v>
      </c>
      <c r="L29" s="912">
        <v>7.5937500000000015E-3</v>
      </c>
      <c r="M29" s="912">
        <v>7.5937500000000015E-3</v>
      </c>
      <c r="N29" s="912">
        <v>7.5937500000000015E-3</v>
      </c>
      <c r="O29" s="912">
        <v>7.5937500000000015E-3</v>
      </c>
      <c r="P29" s="912">
        <v>7.5937500000000015E-3</v>
      </c>
      <c r="Q29" s="912">
        <v>7.5937500000000015E-3</v>
      </c>
      <c r="R29" s="912">
        <v>7.5937500000000015E-3</v>
      </c>
      <c r="S29" s="912">
        <v>7.5937500000000015E-3</v>
      </c>
      <c r="T29" s="859"/>
    </row>
    <row r="30" spans="1:20" hidden="1" outlineLevel="1">
      <c r="A30" s="859"/>
      <c r="B30" s="908" t="s">
        <v>425</v>
      </c>
      <c r="C30" s="908"/>
      <c r="D30" s="908"/>
      <c r="E30" s="908"/>
      <c r="F30" s="859"/>
      <c r="G30" s="911"/>
      <c r="H30" s="912">
        <v>0</v>
      </c>
      <c r="I30" s="912">
        <v>0</v>
      </c>
      <c r="J30" s="912">
        <v>0</v>
      </c>
      <c r="K30" s="912">
        <v>0</v>
      </c>
      <c r="L30" s="912">
        <v>0</v>
      </c>
      <c r="M30" s="912">
        <v>0</v>
      </c>
      <c r="N30" s="912">
        <v>0</v>
      </c>
      <c r="O30" s="912">
        <v>0</v>
      </c>
      <c r="P30" s="912">
        <v>0</v>
      </c>
      <c r="Q30" s="912">
        <v>0</v>
      </c>
      <c r="R30" s="912">
        <v>0</v>
      </c>
      <c r="S30" s="912">
        <v>0</v>
      </c>
      <c r="T30" s="859"/>
    </row>
    <row r="31" spans="1:20" hidden="1" outlineLevel="1">
      <c r="A31" s="859"/>
      <c r="B31" s="907" t="s">
        <v>1058</v>
      </c>
      <c r="C31" s="907"/>
      <c r="D31" s="907"/>
      <c r="E31" s="907"/>
      <c r="F31" s="859"/>
      <c r="G31" s="859"/>
      <c r="H31" s="909"/>
      <c r="I31" s="909"/>
      <c r="J31" s="909"/>
      <c r="K31" s="909"/>
      <c r="L31" s="909"/>
      <c r="M31" s="909"/>
      <c r="N31" s="909"/>
      <c r="O31" s="909"/>
      <c r="P31" s="909"/>
      <c r="Q31" s="909"/>
      <c r="R31" s="909"/>
      <c r="S31" s="909"/>
      <c r="T31" s="859"/>
    </row>
    <row r="32" spans="1:20" hidden="1" outlineLevel="1">
      <c r="A32" s="859"/>
      <c r="B32" s="908" t="s">
        <v>423</v>
      </c>
      <c r="C32" s="908"/>
      <c r="D32" s="908"/>
      <c r="E32" s="908"/>
      <c r="F32" s="859"/>
      <c r="G32" s="754"/>
      <c r="H32" s="909">
        <f>G28*0.75</f>
        <v>0</v>
      </c>
      <c r="I32" s="909">
        <f t="shared" ref="I32:S33" si="6">H28*0.75</f>
        <v>1.6875000000000002E-3</v>
      </c>
      <c r="J32" s="909">
        <f t="shared" si="6"/>
        <v>2.5312500000000005E-3</v>
      </c>
      <c r="K32" s="909">
        <f t="shared" si="6"/>
        <v>3.7968750000000008E-3</v>
      </c>
      <c r="L32" s="909">
        <f t="shared" si="6"/>
        <v>5.6953125000000007E-3</v>
      </c>
      <c r="M32" s="909">
        <f t="shared" si="6"/>
        <v>8.5429687500000011E-3</v>
      </c>
      <c r="N32" s="909">
        <f t="shared" si="6"/>
        <v>8.5429687500000011E-3</v>
      </c>
      <c r="O32" s="909">
        <f t="shared" si="6"/>
        <v>8.5429687500000011E-3</v>
      </c>
      <c r="P32" s="909">
        <f t="shared" si="6"/>
        <v>8.5429687500000011E-3</v>
      </c>
      <c r="Q32" s="909">
        <f t="shared" si="6"/>
        <v>8.5429687500000011E-3</v>
      </c>
      <c r="R32" s="909">
        <f t="shared" si="6"/>
        <v>8.5429687500000011E-3</v>
      </c>
      <c r="S32" s="909">
        <f t="shared" si="6"/>
        <v>8.5429687500000011E-3</v>
      </c>
      <c r="T32" s="859"/>
    </row>
    <row r="33" spans="1:20" hidden="1" outlineLevel="1">
      <c r="A33" s="859"/>
      <c r="B33" s="910" t="s">
        <v>424</v>
      </c>
      <c r="C33" s="910"/>
      <c r="D33" s="910"/>
      <c r="E33" s="910"/>
      <c r="F33" s="859"/>
      <c r="G33" s="754"/>
      <c r="H33" s="909">
        <f>G29*0.75</f>
        <v>0</v>
      </c>
      <c r="I33" s="909">
        <f>H29*0.75</f>
        <v>1.1250000000000001E-3</v>
      </c>
      <c r="J33" s="909">
        <f t="shared" si="6"/>
        <v>1.6875000000000002E-3</v>
      </c>
      <c r="K33" s="909">
        <f t="shared" si="6"/>
        <v>2.5312500000000005E-3</v>
      </c>
      <c r="L33" s="909">
        <f t="shared" si="6"/>
        <v>3.7968750000000008E-3</v>
      </c>
      <c r="M33" s="909">
        <f t="shared" si="6"/>
        <v>5.6953125000000007E-3</v>
      </c>
      <c r="N33" s="909">
        <f t="shared" si="6"/>
        <v>5.6953125000000007E-3</v>
      </c>
      <c r="O33" s="909">
        <f t="shared" si="6"/>
        <v>5.6953125000000007E-3</v>
      </c>
      <c r="P33" s="909">
        <f t="shared" si="6"/>
        <v>5.6953125000000007E-3</v>
      </c>
      <c r="Q33" s="909">
        <f t="shared" si="6"/>
        <v>5.6953125000000007E-3</v>
      </c>
      <c r="R33" s="909">
        <f t="shared" si="6"/>
        <v>5.6953125000000007E-3</v>
      </c>
      <c r="S33" s="909">
        <f t="shared" si="6"/>
        <v>5.6953125000000007E-3</v>
      </c>
      <c r="T33" s="859"/>
    </row>
    <row r="34" spans="1:20" hidden="1" outlineLevel="1">
      <c r="A34" s="859"/>
      <c r="B34" s="913" t="s">
        <v>425</v>
      </c>
      <c r="C34" s="913"/>
      <c r="D34" s="913"/>
      <c r="E34" s="913"/>
      <c r="F34" s="752"/>
      <c r="G34" s="864"/>
      <c r="H34" s="915">
        <f>G30*0.75</f>
        <v>0</v>
      </c>
      <c r="I34" s="915">
        <f t="shared" ref="I34:S34" si="7">H30*0.75</f>
        <v>0</v>
      </c>
      <c r="J34" s="915">
        <f t="shared" si="7"/>
        <v>0</v>
      </c>
      <c r="K34" s="915">
        <f t="shared" si="7"/>
        <v>0</v>
      </c>
      <c r="L34" s="915">
        <f t="shared" si="7"/>
        <v>0</v>
      </c>
      <c r="M34" s="915">
        <f t="shared" si="7"/>
        <v>0</v>
      </c>
      <c r="N34" s="915">
        <f t="shared" si="7"/>
        <v>0</v>
      </c>
      <c r="O34" s="915">
        <f t="shared" si="7"/>
        <v>0</v>
      </c>
      <c r="P34" s="915">
        <f t="shared" si="7"/>
        <v>0</v>
      </c>
      <c r="Q34" s="915">
        <f t="shared" si="7"/>
        <v>0</v>
      </c>
      <c r="R34" s="915">
        <f t="shared" si="7"/>
        <v>0</v>
      </c>
      <c r="S34" s="915">
        <f t="shared" si="7"/>
        <v>0</v>
      </c>
      <c r="T34" s="859"/>
    </row>
    <row r="35" spans="1:20" collapsed="1">
      <c r="A35" s="859"/>
      <c r="B35" s="859"/>
      <c r="C35" s="906"/>
      <c r="D35" s="859"/>
      <c r="E35" s="859"/>
      <c r="F35" s="859"/>
      <c r="G35" s="859"/>
      <c r="H35" s="859"/>
      <c r="I35" s="859"/>
      <c r="J35" s="859"/>
      <c r="K35" s="859"/>
      <c r="L35" s="859"/>
      <c r="M35" s="859"/>
      <c r="N35" s="859"/>
      <c r="O35" s="859"/>
      <c r="P35" s="859"/>
      <c r="Q35" s="859"/>
      <c r="R35" s="859"/>
      <c r="S35" s="859"/>
      <c r="T35" s="859"/>
    </row>
    <row r="36" spans="1:20" ht="15.75">
      <c r="A36" s="859"/>
      <c r="B36" s="903" t="s">
        <v>1055</v>
      </c>
      <c r="C36" s="904"/>
      <c r="D36" s="904"/>
      <c r="E36" s="904"/>
      <c r="F36" s="904"/>
      <c r="G36" s="904"/>
      <c r="H36" s="904"/>
      <c r="I36" s="904"/>
      <c r="J36" s="904"/>
      <c r="K36" s="904"/>
      <c r="L36" s="904"/>
      <c r="M36" s="904"/>
      <c r="N36" s="904"/>
      <c r="O36" s="904"/>
      <c r="P36" s="904"/>
      <c r="Q36" s="904"/>
      <c r="R36" s="904"/>
      <c r="S36" s="904"/>
      <c r="T36" s="859"/>
    </row>
    <row r="37" spans="1:20" ht="15.75">
      <c r="A37" s="751"/>
      <c r="B37" s="903" t="s">
        <v>1061</v>
      </c>
      <c r="C37" s="902">
        <v>2014</v>
      </c>
      <c r="D37" s="902">
        <v>2015</v>
      </c>
      <c r="E37" s="902">
        <v>2016</v>
      </c>
      <c r="F37" s="902">
        <v>2017</v>
      </c>
      <c r="G37" s="902">
        <v>2018</v>
      </c>
      <c r="H37" s="902">
        <v>2019</v>
      </c>
      <c r="I37" s="902">
        <v>2020</v>
      </c>
      <c r="J37" s="902">
        <v>2021</v>
      </c>
      <c r="K37" s="902">
        <v>2022</v>
      </c>
      <c r="L37" s="902">
        <v>2023</v>
      </c>
      <c r="M37" s="902">
        <v>2024</v>
      </c>
      <c r="N37" s="902">
        <v>2025</v>
      </c>
      <c r="O37" s="902">
        <v>2026</v>
      </c>
      <c r="P37" s="902">
        <v>2027</v>
      </c>
      <c r="Q37" s="902">
        <v>2028</v>
      </c>
      <c r="R37" s="902">
        <v>2029</v>
      </c>
      <c r="S37" s="902">
        <v>2030</v>
      </c>
      <c r="T37" s="859"/>
    </row>
    <row r="38" spans="1:20" hidden="1" outlineLevel="1">
      <c r="A38" s="859"/>
      <c r="B38" s="921" t="s">
        <v>1033</v>
      </c>
      <c r="C38" s="859">
        <v>318.89999999999998</v>
      </c>
      <c r="D38" s="922">
        <f>C38*(1+D39)</f>
        <v>321.13229999999993</v>
      </c>
      <c r="E38" s="922">
        <f t="shared" ref="E38:S38" si="8">D38*(1+E39)</f>
        <v>323.3802260999999</v>
      </c>
      <c r="F38" s="922">
        <f t="shared" si="8"/>
        <v>325.64388768269987</v>
      </c>
      <c r="G38" s="922">
        <f t="shared" si="8"/>
        <v>327.92339489647873</v>
      </c>
      <c r="H38" s="922">
        <f t="shared" si="8"/>
        <v>330.21885866075405</v>
      </c>
      <c r="I38" s="922">
        <f t="shared" si="8"/>
        <v>332.53039067137928</v>
      </c>
      <c r="J38" s="922">
        <f t="shared" si="8"/>
        <v>334.8581034060789</v>
      </c>
      <c r="K38" s="922">
        <f t="shared" si="8"/>
        <v>337.20211012992144</v>
      </c>
      <c r="L38" s="922">
        <f t="shared" si="8"/>
        <v>339.56252490083085</v>
      </c>
      <c r="M38" s="922">
        <f t="shared" si="8"/>
        <v>341.93946257513664</v>
      </c>
      <c r="N38" s="922">
        <f t="shared" si="8"/>
        <v>344.33303881316255</v>
      </c>
      <c r="O38" s="922">
        <f t="shared" si="8"/>
        <v>346.74337008485463</v>
      </c>
      <c r="P38" s="922">
        <f t="shared" si="8"/>
        <v>349.17057367544857</v>
      </c>
      <c r="Q38" s="922">
        <f t="shared" si="8"/>
        <v>351.61476769117667</v>
      </c>
      <c r="R38" s="922">
        <f t="shared" si="8"/>
        <v>354.07607106501484</v>
      </c>
      <c r="S38" s="922">
        <f t="shared" si="8"/>
        <v>356.55460356246994</v>
      </c>
      <c r="T38" s="859"/>
    </row>
    <row r="39" spans="1:20" hidden="1" outlineLevel="1">
      <c r="A39" s="923"/>
      <c r="B39" s="924" t="s">
        <v>1062</v>
      </c>
      <c r="C39" s="923"/>
      <c r="D39" s="925">
        <v>7.0000000000000001E-3</v>
      </c>
      <c r="E39" s="923">
        <f>D39</f>
        <v>7.0000000000000001E-3</v>
      </c>
      <c r="F39" s="923">
        <f t="shared" ref="F39:S39" si="9">E39</f>
        <v>7.0000000000000001E-3</v>
      </c>
      <c r="G39" s="923">
        <f t="shared" si="9"/>
        <v>7.0000000000000001E-3</v>
      </c>
      <c r="H39" s="923">
        <f t="shared" si="9"/>
        <v>7.0000000000000001E-3</v>
      </c>
      <c r="I39" s="923">
        <f t="shared" si="9"/>
        <v>7.0000000000000001E-3</v>
      </c>
      <c r="J39" s="923">
        <f t="shared" si="9"/>
        <v>7.0000000000000001E-3</v>
      </c>
      <c r="K39" s="923">
        <f t="shared" si="9"/>
        <v>7.0000000000000001E-3</v>
      </c>
      <c r="L39" s="923">
        <f t="shared" si="9"/>
        <v>7.0000000000000001E-3</v>
      </c>
      <c r="M39" s="923">
        <f t="shared" si="9"/>
        <v>7.0000000000000001E-3</v>
      </c>
      <c r="N39" s="923">
        <f t="shared" si="9"/>
        <v>7.0000000000000001E-3</v>
      </c>
      <c r="O39" s="923">
        <f t="shared" si="9"/>
        <v>7.0000000000000001E-3</v>
      </c>
      <c r="P39" s="923">
        <f t="shared" si="9"/>
        <v>7.0000000000000001E-3</v>
      </c>
      <c r="Q39" s="923">
        <f t="shared" si="9"/>
        <v>7.0000000000000001E-3</v>
      </c>
      <c r="R39" s="923">
        <f t="shared" si="9"/>
        <v>7.0000000000000001E-3</v>
      </c>
      <c r="S39" s="923">
        <f t="shared" si="9"/>
        <v>7.0000000000000001E-3</v>
      </c>
      <c r="T39" s="923"/>
    </row>
    <row r="40" spans="1:20" hidden="1" outlineLevel="1">
      <c r="A40" s="859"/>
      <c r="B40" s="921" t="s">
        <v>1063</v>
      </c>
      <c r="C40" s="859">
        <v>1.3</v>
      </c>
      <c r="D40" s="922">
        <f>C40*(1+D39)</f>
        <v>1.3090999999999999</v>
      </c>
      <c r="E40" s="922">
        <f t="shared" ref="E40:S40" si="10">D40*(1+E39)</f>
        <v>1.3182636999999997</v>
      </c>
      <c r="F40" s="922">
        <f t="shared" si="10"/>
        <v>1.3274915458999996</v>
      </c>
      <c r="G40" s="922">
        <f t="shared" si="10"/>
        <v>1.3367839867212994</v>
      </c>
      <c r="H40" s="922">
        <f t="shared" si="10"/>
        <v>1.3461414746283484</v>
      </c>
      <c r="I40" s="922">
        <f t="shared" si="10"/>
        <v>1.3555644649507468</v>
      </c>
      <c r="J40" s="922">
        <f t="shared" si="10"/>
        <v>1.3650534162054018</v>
      </c>
      <c r="K40" s="922">
        <f t="shared" si="10"/>
        <v>1.3746087901188395</v>
      </c>
      <c r="L40" s="922">
        <f t="shared" si="10"/>
        <v>1.3842310516496712</v>
      </c>
      <c r="M40" s="922">
        <f t="shared" si="10"/>
        <v>1.3939206690112187</v>
      </c>
      <c r="N40" s="922">
        <f t="shared" si="10"/>
        <v>1.4036781136942971</v>
      </c>
      <c r="O40" s="922">
        <f t="shared" si="10"/>
        <v>1.4135038604901571</v>
      </c>
      <c r="P40" s="922">
        <f t="shared" si="10"/>
        <v>1.423398387513588</v>
      </c>
      <c r="Q40" s="922">
        <f t="shared" si="10"/>
        <v>1.433362176226183</v>
      </c>
      <c r="R40" s="922">
        <f t="shared" si="10"/>
        <v>1.4433957114597662</v>
      </c>
      <c r="S40" s="922">
        <f t="shared" si="10"/>
        <v>1.4534994814399844</v>
      </c>
      <c r="T40" s="859"/>
    </row>
    <row r="41" spans="1:20" hidden="1" outlineLevel="1">
      <c r="A41" s="859"/>
      <c r="B41" s="921"/>
      <c r="C41" s="906"/>
      <c r="D41" s="859"/>
      <c r="E41" s="859"/>
      <c r="F41" s="859"/>
      <c r="G41" s="859"/>
      <c r="H41" s="859"/>
      <c r="I41" s="859"/>
      <c r="J41" s="859"/>
      <c r="K41" s="859"/>
      <c r="L41" s="859"/>
      <c r="M41" s="859"/>
      <c r="N41" s="859"/>
      <c r="O41" s="859"/>
      <c r="P41" s="859"/>
      <c r="Q41" s="859"/>
      <c r="R41" s="859"/>
      <c r="S41" s="859"/>
      <c r="T41" s="859"/>
    </row>
    <row r="42" spans="1:20" hidden="1" outlineLevel="1">
      <c r="A42" s="859"/>
      <c r="B42" s="921" t="s">
        <v>1056</v>
      </c>
      <c r="C42" s="911">
        <v>0.3</v>
      </c>
      <c r="D42" s="754">
        <f>C42</f>
        <v>0.3</v>
      </c>
      <c r="E42" s="754">
        <f t="shared" ref="E42:S42" si="11">D42</f>
        <v>0.3</v>
      </c>
      <c r="F42" s="754">
        <f t="shared" si="11"/>
        <v>0.3</v>
      </c>
      <c r="G42" s="754">
        <f t="shared" si="11"/>
        <v>0.3</v>
      </c>
      <c r="H42" s="754">
        <f t="shared" si="11"/>
        <v>0.3</v>
      </c>
      <c r="I42" s="754">
        <f t="shared" si="11"/>
        <v>0.3</v>
      </c>
      <c r="J42" s="754">
        <f t="shared" si="11"/>
        <v>0.3</v>
      </c>
      <c r="K42" s="754">
        <f t="shared" si="11"/>
        <v>0.3</v>
      </c>
      <c r="L42" s="754">
        <f t="shared" si="11"/>
        <v>0.3</v>
      </c>
      <c r="M42" s="754">
        <f t="shared" si="11"/>
        <v>0.3</v>
      </c>
      <c r="N42" s="754">
        <f t="shared" si="11"/>
        <v>0.3</v>
      </c>
      <c r="O42" s="754">
        <f t="shared" si="11"/>
        <v>0.3</v>
      </c>
      <c r="P42" s="754">
        <f t="shared" si="11"/>
        <v>0.3</v>
      </c>
      <c r="Q42" s="754">
        <f t="shared" si="11"/>
        <v>0.3</v>
      </c>
      <c r="R42" s="754">
        <f t="shared" si="11"/>
        <v>0.3</v>
      </c>
      <c r="S42" s="754">
        <f t="shared" si="11"/>
        <v>0.3</v>
      </c>
      <c r="T42" s="859"/>
    </row>
    <row r="43" spans="1:20" hidden="1" outlineLevel="1">
      <c r="A43" s="859"/>
      <c r="B43" s="921" t="s">
        <v>1064</v>
      </c>
      <c r="C43" s="906">
        <f>C42*C40*1000</f>
        <v>390</v>
      </c>
      <c r="D43" s="926">
        <f t="shared" ref="D43:S43" si="12">D42*D40*1000</f>
        <v>392.72999999999996</v>
      </c>
      <c r="E43" s="926">
        <f t="shared" si="12"/>
        <v>395.47910999999993</v>
      </c>
      <c r="F43" s="926">
        <f t="shared" si="12"/>
        <v>398.24746376999985</v>
      </c>
      <c r="G43" s="926">
        <f t="shared" si="12"/>
        <v>401.03519601638982</v>
      </c>
      <c r="H43" s="926">
        <f>H42*H40*1000</f>
        <v>403.84244238850454</v>
      </c>
      <c r="I43" s="926">
        <f t="shared" si="12"/>
        <v>406.66933948522404</v>
      </c>
      <c r="J43" s="926">
        <f t="shared" si="12"/>
        <v>409.51602486162051</v>
      </c>
      <c r="K43" s="926">
        <f t="shared" si="12"/>
        <v>412.38263703565184</v>
      </c>
      <c r="L43" s="926">
        <f t="shared" si="12"/>
        <v>415.26931549490138</v>
      </c>
      <c r="M43" s="926">
        <f t="shared" si="12"/>
        <v>418.17620070336557</v>
      </c>
      <c r="N43" s="926">
        <f t="shared" si="12"/>
        <v>421.10343410828909</v>
      </c>
      <c r="O43" s="926">
        <f t="shared" si="12"/>
        <v>424.05115814704715</v>
      </c>
      <c r="P43" s="926">
        <f t="shared" si="12"/>
        <v>427.01951625407639</v>
      </c>
      <c r="Q43" s="926">
        <f t="shared" si="12"/>
        <v>430.00865286785489</v>
      </c>
      <c r="R43" s="926">
        <f t="shared" si="12"/>
        <v>433.01871343792988</v>
      </c>
      <c r="S43" s="926">
        <f t="shared" si="12"/>
        <v>436.04984443199527</v>
      </c>
      <c r="T43" s="859"/>
    </row>
    <row r="44" spans="1:20" hidden="1" outlineLevel="1">
      <c r="A44" s="859"/>
      <c r="B44" s="921"/>
      <c r="C44" s="906"/>
      <c r="D44" s="859"/>
      <c r="E44" s="859"/>
      <c r="F44" s="859"/>
      <c r="G44" s="859"/>
      <c r="H44" s="859"/>
      <c r="I44" s="859"/>
      <c r="J44" s="859"/>
      <c r="K44" s="859"/>
      <c r="L44" s="859"/>
      <c r="M44" s="859"/>
      <c r="N44" s="859"/>
      <c r="O44" s="859"/>
      <c r="P44" s="859"/>
      <c r="Q44" s="859"/>
      <c r="R44" s="859"/>
      <c r="S44" s="859"/>
      <c r="T44" s="859"/>
    </row>
    <row r="45" spans="1:20" hidden="1" outlineLevel="1">
      <c r="A45" s="859"/>
      <c r="B45" s="921" t="s">
        <v>1059</v>
      </c>
      <c r="C45" s="911">
        <v>0.35</v>
      </c>
      <c r="D45" s="754">
        <f>C45</f>
        <v>0.35</v>
      </c>
      <c r="E45" s="754">
        <f t="shared" ref="E45:S45" si="13">D45</f>
        <v>0.35</v>
      </c>
      <c r="F45" s="754">
        <f t="shared" si="13"/>
        <v>0.35</v>
      </c>
      <c r="G45" s="754">
        <f t="shared" si="13"/>
        <v>0.35</v>
      </c>
      <c r="H45" s="754">
        <f t="shared" si="13"/>
        <v>0.35</v>
      </c>
      <c r="I45" s="754">
        <f t="shared" si="13"/>
        <v>0.35</v>
      </c>
      <c r="J45" s="754">
        <f t="shared" si="13"/>
        <v>0.35</v>
      </c>
      <c r="K45" s="754">
        <f t="shared" si="13"/>
        <v>0.35</v>
      </c>
      <c r="L45" s="754">
        <f t="shared" si="13"/>
        <v>0.35</v>
      </c>
      <c r="M45" s="754">
        <f t="shared" si="13"/>
        <v>0.35</v>
      </c>
      <c r="N45" s="754">
        <f t="shared" si="13"/>
        <v>0.35</v>
      </c>
      <c r="O45" s="754">
        <f t="shared" si="13"/>
        <v>0.35</v>
      </c>
      <c r="P45" s="754">
        <f t="shared" si="13"/>
        <v>0.35</v>
      </c>
      <c r="Q45" s="754">
        <f t="shared" si="13"/>
        <v>0.35</v>
      </c>
      <c r="R45" s="754">
        <f t="shared" si="13"/>
        <v>0.35</v>
      </c>
      <c r="S45" s="754">
        <f t="shared" si="13"/>
        <v>0.35</v>
      </c>
      <c r="T45" s="859"/>
    </row>
    <row r="46" spans="1:20" hidden="1" outlineLevel="1">
      <c r="A46" s="859"/>
      <c r="B46" s="921" t="s">
        <v>1065</v>
      </c>
      <c r="C46" s="859">
        <f>C45*C40*1000</f>
        <v>454.99999999999994</v>
      </c>
      <c r="D46" s="927">
        <f t="shared" ref="D46:S46" si="14">D45*D40*1000</f>
        <v>458.18499999999995</v>
      </c>
      <c r="E46" s="927">
        <f t="shared" si="14"/>
        <v>461.39229499999982</v>
      </c>
      <c r="F46" s="927">
        <f t="shared" si="14"/>
        <v>464.62204106499985</v>
      </c>
      <c r="G46" s="927">
        <f t="shared" si="14"/>
        <v>467.87439535245471</v>
      </c>
      <c r="H46" s="927">
        <f t="shared" si="14"/>
        <v>471.14951611992188</v>
      </c>
      <c r="I46" s="927">
        <f t="shared" si="14"/>
        <v>474.44756273276136</v>
      </c>
      <c r="J46" s="927">
        <f t="shared" si="14"/>
        <v>477.76869567189055</v>
      </c>
      <c r="K46" s="927">
        <f t="shared" si="14"/>
        <v>481.11307654159378</v>
      </c>
      <c r="L46" s="927">
        <f t="shared" si="14"/>
        <v>484.48086807738491</v>
      </c>
      <c r="M46" s="927">
        <f t="shared" si="14"/>
        <v>487.87223415392651</v>
      </c>
      <c r="N46" s="927">
        <f t="shared" si="14"/>
        <v>491.28733979300392</v>
      </c>
      <c r="O46" s="927">
        <f t="shared" si="14"/>
        <v>494.72635117155494</v>
      </c>
      <c r="P46" s="927">
        <f t="shared" si="14"/>
        <v>498.18943562975574</v>
      </c>
      <c r="Q46" s="927">
        <f t="shared" si="14"/>
        <v>501.67676167916397</v>
      </c>
      <c r="R46" s="927">
        <f t="shared" si="14"/>
        <v>505.18849901091812</v>
      </c>
      <c r="S46" s="927">
        <f t="shared" si="14"/>
        <v>508.72481850399453</v>
      </c>
      <c r="T46" s="859"/>
    </row>
    <row r="47" spans="1:20" hidden="1" outlineLevel="1">
      <c r="A47" s="859"/>
      <c r="B47" s="859"/>
      <c r="C47" s="859"/>
      <c r="D47" s="859"/>
      <c r="E47" s="859"/>
      <c r="F47" s="859"/>
      <c r="G47" s="859"/>
      <c r="H47" s="859"/>
      <c r="I47" s="859"/>
      <c r="J47" s="859"/>
      <c r="K47" s="859"/>
      <c r="L47" s="859"/>
      <c r="M47" s="859"/>
      <c r="N47" s="859"/>
      <c r="O47" s="859"/>
      <c r="P47" s="859"/>
      <c r="Q47" s="859"/>
      <c r="R47" s="859"/>
      <c r="S47" s="859"/>
      <c r="T47" s="859"/>
    </row>
    <row r="48" spans="1:20" hidden="1" outlineLevel="1">
      <c r="A48" s="859"/>
      <c r="B48" s="921" t="s">
        <v>1066</v>
      </c>
      <c r="C48" s="754">
        <f>1-C45-C42</f>
        <v>0.35000000000000003</v>
      </c>
      <c r="D48" s="754">
        <f>C48</f>
        <v>0.35000000000000003</v>
      </c>
      <c r="E48" s="754">
        <f t="shared" ref="E48:S48" si="15">D48</f>
        <v>0.35000000000000003</v>
      </c>
      <c r="F48" s="754">
        <f t="shared" si="15"/>
        <v>0.35000000000000003</v>
      </c>
      <c r="G48" s="754">
        <f t="shared" si="15"/>
        <v>0.35000000000000003</v>
      </c>
      <c r="H48" s="754">
        <f t="shared" si="15"/>
        <v>0.35000000000000003</v>
      </c>
      <c r="I48" s="754">
        <f t="shared" si="15"/>
        <v>0.35000000000000003</v>
      </c>
      <c r="J48" s="754">
        <f t="shared" si="15"/>
        <v>0.35000000000000003</v>
      </c>
      <c r="K48" s="754">
        <f t="shared" si="15"/>
        <v>0.35000000000000003</v>
      </c>
      <c r="L48" s="754">
        <f t="shared" si="15"/>
        <v>0.35000000000000003</v>
      </c>
      <c r="M48" s="754">
        <f t="shared" si="15"/>
        <v>0.35000000000000003</v>
      </c>
      <c r="N48" s="754">
        <f t="shared" si="15"/>
        <v>0.35000000000000003</v>
      </c>
      <c r="O48" s="754">
        <f t="shared" si="15"/>
        <v>0.35000000000000003</v>
      </c>
      <c r="P48" s="754">
        <f t="shared" si="15"/>
        <v>0.35000000000000003</v>
      </c>
      <c r="Q48" s="754">
        <f t="shared" si="15"/>
        <v>0.35000000000000003</v>
      </c>
      <c r="R48" s="754">
        <f t="shared" si="15"/>
        <v>0.35000000000000003</v>
      </c>
      <c r="S48" s="754">
        <f t="shared" si="15"/>
        <v>0.35000000000000003</v>
      </c>
      <c r="T48" s="859"/>
    </row>
    <row r="49" spans="1:20" hidden="1" outlineLevel="1">
      <c r="A49" s="859"/>
      <c r="B49" s="928" t="s">
        <v>1067</v>
      </c>
      <c r="C49" s="752">
        <f>C48*C40*1000</f>
        <v>455.00000000000006</v>
      </c>
      <c r="D49" s="929">
        <f t="shared" ref="D49:S49" si="16">D48*D40*1000</f>
        <v>458.185</v>
      </c>
      <c r="E49" s="929">
        <f t="shared" si="16"/>
        <v>461.39229499999993</v>
      </c>
      <c r="F49" s="929">
        <f t="shared" si="16"/>
        <v>464.62204106499996</v>
      </c>
      <c r="G49" s="929">
        <f t="shared" si="16"/>
        <v>467.87439535245483</v>
      </c>
      <c r="H49" s="929">
        <f t="shared" si="16"/>
        <v>471.149516119922</v>
      </c>
      <c r="I49" s="929">
        <f t="shared" si="16"/>
        <v>474.44756273276141</v>
      </c>
      <c r="J49" s="929">
        <f t="shared" si="16"/>
        <v>477.76869567189067</v>
      </c>
      <c r="K49" s="929">
        <f t="shared" si="16"/>
        <v>481.11307654159384</v>
      </c>
      <c r="L49" s="929">
        <f t="shared" si="16"/>
        <v>484.48086807738497</v>
      </c>
      <c r="M49" s="929">
        <f t="shared" si="16"/>
        <v>487.87223415392663</v>
      </c>
      <c r="N49" s="929">
        <f t="shared" si="16"/>
        <v>491.28733979300404</v>
      </c>
      <c r="O49" s="929">
        <f t="shared" si="16"/>
        <v>494.726351171555</v>
      </c>
      <c r="P49" s="929">
        <f t="shared" si="16"/>
        <v>498.18943562975585</v>
      </c>
      <c r="Q49" s="929">
        <f t="shared" si="16"/>
        <v>501.67676167916409</v>
      </c>
      <c r="R49" s="929">
        <f t="shared" si="16"/>
        <v>505.18849901091824</v>
      </c>
      <c r="S49" s="929">
        <f t="shared" si="16"/>
        <v>508.72481850399464</v>
      </c>
      <c r="T49" s="859"/>
    </row>
    <row r="50" spans="1:20" collapsed="1">
      <c r="A50" s="859"/>
      <c r="B50" s="859"/>
      <c r="C50" s="859"/>
      <c r="D50" s="859"/>
      <c r="E50" s="859"/>
      <c r="F50" s="859"/>
      <c r="G50" s="859"/>
      <c r="H50" s="859"/>
      <c r="I50" s="859"/>
      <c r="J50" s="859"/>
      <c r="K50" s="859"/>
      <c r="L50" s="859"/>
      <c r="M50" s="859"/>
      <c r="N50" s="859"/>
      <c r="O50" s="859"/>
      <c r="P50" s="859"/>
      <c r="Q50" s="859"/>
      <c r="R50" s="859"/>
      <c r="S50" s="859"/>
      <c r="T50" s="859"/>
    </row>
    <row r="51" spans="1:20" ht="15.75">
      <c r="A51" s="859"/>
      <c r="B51" s="930" t="s">
        <v>1068</v>
      </c>
      <c r="C51" s="859"/>
      <c r="D51" s="859"/>
      <c r="E51" s="859"/>
      <c r="F51" s="859"/>
      <c r="G51" s="859"/>
      <c r="H51" s="859"/>
      <c r="I51" s="859"/>
      <c r="J51" s="859"/>
      <c r="K51" s="859"/>
      <c r="L51" s="859"/>
      <c r="M51" s="859"/>
      <c r="N51" s="859"/>
      <c r="O51" s="859"/>
      <c r="P51" s="859"/>
      <c r="Q51" s="859"/>
      <c r="R51" s="859"/>
      <c r="S51" s="859"/>
      <c r="T51" s="859"/>
    </row>
    <row r="52" spans="1:20">
      <c r="A52" s="859"/>
      <c r="B52" s="863" t="s">
        <v>1069</v>
      </c>
      <c r="C52" s="931"/>
      <c r="D52" s="931"/>
      <c r="E52" s="931"/>
      <c r="F52" s="931"/>
      <c r="G52" s="931"/>
      <c r="H52" s="931">
        <f>H43*CHOOSE($C$2,H8,H9,H10)</f>
        <v>2.0192122119425227</v>
      </c>
      <c r="I52" s="931">
        <f t="shared" ref="I52:R52" si="17">I43*CHOOSE($C$2,I8,I9,I10)</f>
        <v>4.0666933948522406</v>
      </c>
      <c r="J52" s="931">
        <f t="shared" si="17"/>
        <v>8.1903204972324097</v>
      </c>
      <c r="K52" s="931">
        <f t="shared" si="17"/>
        <v>12.371479111069554</v>
      </c>
      <c r="L52" s="931">
        <f t="shared" si="17"/>
        <v>16.610772619796055</v>
      </c>
      <c r="M52" s="931">
        <f t="shared" si="17"/>
        <v>20.90881003516828</v>
      </c>
      <c r="N52" s="931">
        <f t="shared" si="17"/>
        <v>21.055171705414455</v>
      </c>
      <c r="O52" s="931">
        <f t="shared" si="17"/>
        <v>21.202557907352357</v>
      </c>
      <c r="P52" s="931">
        <f t="shared" si="17"/>
        <v>21.350975812703822</v>
      </c>
      <c r="Q52" s="931">
        <f t="shared" si="17"/>
        <v>21.500432643392745</v>
      </c>
      <c r="R52" s="931">
        <f t="shared" si="17"/>
        <v>21.650935671896494</v>
      </c>
      <c r="S52" s="931">
        <f>S43*CHOOSE($C$2,S8,S9,S10)</f>
        <v>21.802492221599763</v>
      </c>
      <c r="T52" s="859"/>
    </row>
    <row r="53" spans="1:20">
      <c r="A53" s="859"/>
      <c r="B53" s="751" t="s">
        <v>1070</v>
      </c>
      <c r="C53" s="755"/>
      <c r="D53" s="755"/>
      <c r="E53" s="755"/>
      <c r="F53" s="755"/>
      <c r="G53" s="755"/>
      <c r="H53" s="755">
        <f>H43*CHOOSE($C$2,H18,H19,H20)</f>
        <v>2.0192122119425227</v>
      </c>
      <c r="I53" s="755">
        <f t="shared" ref="I53:R53" si="18">I43*CHOOSE($C$2,I18,I19,I20)</f>
        <v>4.0666933948522406</v>
      </c>
      <c r="J53" s="755">
        <f t="shared" si="18"/>
        <v>8.1903204972324097</v>
      </c>
      <c r="K53" s="755">
        <f t="shared" si="18"/>
        <v>12.371479111069554</v>
      </c>
      <c r="L53" s="755">
        <f t="shared" si="18"/>
        <v>16.610772619796055</v>
      </c>
      <c r="M53" s="755">
        <f t="shared" si="18"/>
        <v>20.90881003516828</v>
      </c>
      <c r="N53" s="755">
        <f t="shared" si="18"/>
        <v>21.055171705414455</v>
      </c>
      <c r="O53" s="755">
        <f t="shared" si="18"/>
        <v>21.202557907352357</v>
      </c>
      <c r="P53" s="755">
        <f t="shared" si="18"/>
        <v>21.350975812703822</v>
      </c>
      <c r="Q53" s="755">
        <f t="shared" si="18"/>
        <v>21.500432643392745</v>
      </c>
      <c r="R53" s="755">
        <f t="shared" si="18"/>
        <v>21.650935671896494</v>
      </c>
      <c r="S53" s="755">
        <f>S43*CHOOSE($C$2,S18,S19,S20)</f>
        <v>21.802492221599763</v>
      </c>
      <c r="T53" s="859"/>
    </row>
    <row r="54" spans="1:20">
      <c r="A54" s="859"/>
      <c r="B54" s="751" t="s">
        <v>1071</v>
      </c>
      <c r="C54" s="755"/>
      <c r="D54" s="755"/>
      <c r="E54" s="755"/>
      <c r="F54" s="755"/>
      <c r="G54" s="755"/>
      <c r="H54" s="755">
        <f>H49*CHOOSE($C$2,H28,H29,H30)</f>
        <v>0.70672427417988304</v>
      </c>
      <c r="I54" s="755">
        <f t="shared" ref="I54:R54" si="19">I49*CHOOSE($C$2,I28,I29,I30)</f>
        <v>1.0675070161487132</v>
      </c>
      <c r="J54" s="755">
        <f t="shared" si="19"/>
        <v>1.6124693478926313</v>
      </c>
      <c r="K54" s="755">
        <f t="shared" si="19"/>
        <v>2.4356349499918193</v>
      </c>
      <c r="L54" s="755">
        <f t="shared" si="19"/>
        <v>3.6790265919626428</v>
      </c>
      <c r="M54" s="755">
        <f t="shared" si="19"/>
        <v>3.7047797781063809</v>
      </c>
      <c r="N54" s="755">
        <f t="shared" si="19"/>
        <v>3.7307132365531253</v>
      </c>
      <c r="O54" s="755">
        <f t="shared" si="19"/>
        <v>3.7568282292089967</v>
      </c>
      <c r="P54" s="755">
        <f t="shared" si="19"/>
        <v>3.7831260268134592</v>
      </c>
      <c r="Q54" s="755">
        <f t="shared" si="19"/>
        <v>3.8096079090011532</v>
      </c>
      <c r="R54" s="755">
        <f t="shared" si="19"/>
        <v>3.836275164364161</v>
      </c>
      <c r="S54" s="755">
        <f>S49*CHOOSE($C$2,S28,S29,S30)</f>
        <v>3.8631290905147102</v>
      </c>
      <c r="T54" s="859"/>
    </row>
    <row r="55" spans="1:20">
      <c r="A55" s="859"/>
      <c r="B55" s="751"/>
      <c r="C55" s="751"/>
      <c r="D55" s="751"/>
      <c r="E55" s="751"/>
      <c r="F55" s="751"/>
      <c r="G55" s="751"/>
      <c r="H55" s="751"/>
      <c r="I55" s="751"/>
      <c r="J55" s="751"/>
      <c r="K55" s="751"/>
      <c r="L55" s="751"/>
      <c r="M55" s="751"/>
      <c r="N55" s="751"/>
      <c r="O55" s="751"/>
      <c r="P55" s="751"/>
      <c r="Q55" s="751"/>
      <c r="R55" s="751"/>
      <c r="S55" s="751"/>
      <c r="T55" s="859"/>
    </row>
    <row r="56" spans="1:20">
      <c r="A56" s="859"/>
      <c r="B56" s="932" t="s">
        <v>1072</v>
      </c>
      <c r="C56" s="933"/>
      <c r="D56" s="933"/>
      <c r="E56" s="933"/>
      <c r="F56" s="933"/>
      <c r="G56" s="933"/>
      <c r="H56" s="933">
        <f t="shared" ref="H56:S56" si="20">H54+H53+H52</f>
        <v>4.7451486980649289</v>
      </c>
      <c r="I56" s="933">
        <f t="shared" si="20"/>
        <v>9.2008938058531946</v>
      </c>
      <c r="J56" s="933">
        <f t="shared" si="20"/>
        <v>17.993110342357451</v>
      </c>
      <c r="K56" s="933">
        <f t="shared" si="20"/>
        <v>27.178593172130928</v>
      </c>
      <c r="L56" s="933">
        <f t="shared" si="20"/>
        <v>36.900571831554757</v>
      </c>
      <c r="M56" s="933">
        <f t="shared" si="20"/>
        <v>45.522399848442944</v>
      </c>
      <c r="N56" s="933">
        <f t="shared" si="20"/>
        <v>45.841056647382032</v>
      </c>
      <c r="O56" s="933">
        <f t="shared" si="20"/>
        <v>46.161944043913707</v>
      </c>
      <c r="P56" s="933">
        <f t="shared" si="20"/>
        <v>46.485077652221108</v>
      </c>
      <c r="Q56" s="933">
        <f t="shared" si="20"/>
        <v>46.810473195786642</v>
      </c>
      <c r="R56" s="933">
        <f t="shared" si="20"/>
        <v>47.138146508157149</v>
      </c>
      <c r="S56" s="933">
        <f t="shared" si="20"/>
        <v>47.468113533714238</v>
      </c>
      <c r="T56" s="859"/>
    </row>
    <row r="57" spans="1:20">
      <c r="A57" s="859"/>
      <c r="B57" s="859"/>
      <c r="C57" s="859"/>
      <c r="D57" s="859"/>
      <c r="E57" s="859"/>
      <c r="F57" s="859"/>
      <c r="G57" s="859"/>
      <c r="H57" s="859"/>
      <c r="I57" s="859"/>
      <c r="J57" s="859"/>
      <c r="K57" s="859"/>
      <c r="L57" s="859"/>
      <c r="M57" s="859"/>
      <c r="N57" s="859"/>
      <c r="O57" s="859"/>
      <c r="P57" s="859"/>
      <c r="Q57" s="859"/>
      <c r="R57" s="859"/>
      <c r="S57" s="934">
        <f>S56/(S49+S46+S43)</f>
        <v>3.2657812499999994E-2</v>
      </c>
      <c r="T57" s="859"/>
    </row>
    <row r="58" spans="1:20" ht="15.75">
      <c r="A58" s="859"/>
      <c r="B58" s="930" t="s">
        <v>1073</v>
      </c>
      <c r="C58" s="859"/>
      <c r="D58" s="859"/>
      <c r="E58" s="859"/>
      <c r="F58" s="859"/>
      <c r="G58" s="859"/>
      <c r="H58" s="859"/>
      <c r="I58" s="859"/>
      <c r="J58" s="859"/>
      <c r="K58" s="859"/>
      <c r="L58" s="859"/>
      <c r="M58" s="859"/>
      <c r="N58" s="859"/>
      <c r="O58" s="859"/>
      <c r="P58" s="859"/>
      <c r="Q58" s="859"/>
      <c r="R58" s="859"/>
      <c r="S58" s="859"/>
      <c r="T58" s="859"/>
    </row>
    <row r="59" spans="1:20">
      <c r="A59" s="859"/>
      <c r="B59" s="935" t="s">
        <v>1074</v>
      </c>
      <c r="C59" s="863"/>
      <c r="D59" s="863"/>
      <c r="E59" s="863"/>
      <c r="F59" s="863"/>
      <c r="G59" s="936"/>
      <c r="H59" s="936">
        <v>3</v>
      </c>
      <c r="I59" s="937">
        <f t="shared" ref="I59:S59" si="21">H59*(1+I60)</f>
        <v>3.18</v>
      </c>
      <c r="J59" s="937">
        <f t="shared" si="21"/>
        <v>3.3708000000000005</v>
      </c>
      <c r="K59" s="937">
        <f t="shared" si="21"/>
        <v>3.5730480000000009</v>
      </c>
      <c r="L59" s="937">
        <f t="shared" si="21"/>
        <v>3.7874308800000009</v>
      </c>
      <c r="M59" s="937">
        <f t="shared" si="21"/>
        <v>4.0146767328000008</v>
      </c>
      <c r="N59" s="937">
        <f t="shared" si="21"/>
        <v>4.2555573367680015</v>
      </c>
      <c r="O59" s="937">
        <f t="shared" si="21"/>
        <v>4.5108907769740823</v>
      </c>
      <c r="P59" s="937">
        <f t="shared" si="21"/>
        <v>4.7815442235925278</v>
      </c>
      <c r="Q59" s="937">
        <f t="shared" si="21"/>
        <v>5.0684368770080797</v>
      </c>
      <c r="R59" s="937">
        <f t="shared" si="21"/>
        <v>5.3725430896285644</v>
      </c>
      <c r="S59" s="937">
        <f t="shared" si="21"/>
        <v>5.6948956750062782</v>
      </c>
      <c r="T59" s="859"/>
    </row>
    <row r="60" spans="1:20">
      <c r="A60" s="859"/>
      <c r="B60" s="938" t="s">
        <v>1075</v>
      </c>
      <c r="C60" s="939"/>
      <c r="D60" s="939"/>
      <c r="E60" s="939"/>
      <c r="F60" s="939"/>
      <c r="G60" s="939"/>
      <c r="H60" s="940"/>
      <c r="I60" s="940">
        <v>0.06</v>
      </c>
      <c r="J60" s="941">
        <f t="shared" ref="J60:S60" si="22">I60</f>
        <v>0.06</v>
      </c>
      <c r="K60" s="941">
        <f t="shared" si="22"/>
        <v>0.06</v>
      </c>
      <c r="L60" s="941">
        <f t="shared" si="22"/>
        <v>0.06</v>
      </c>
      <c r="M60" s="941">
        <f t="shared" si="22"/>
        <v>0.06</v>
      </c>
      <c r="N60" s="941">
        <f t="shared" si="22"/>
        <v>0.06</v>
      </c>
      <c r="O60" s="941">
        <f t="shared" si="22"/>
        <v>0.06</v>
      </c>
      <c r="P60" s="941">
        <f t="shared" si="22"/>
        <v>0.06</v>
      </c>
      <c r="Q60" s="941">
        <f t="shared" si="22"/>
        <v>0.06</v>
      </c>
      <c r="R60" s="941">
        <f t="shared" si="22"/>
        <v>0.06</v>
      </c>
      <c r="S60" s="941">
        <f t="shared" si="22"/>
        <v>0.06</v>
      </c>
      <c r="T60" s="859"/>
    </row>
    <row r="61" spans="1:20">
      <c r="A61" s="859"/>
      <c r="B61" s="938" t="s">
        <v>1076</v>
      </c>
      <c r="C61" s="939"/>
      <c r="D61" s="939"/>
      <c r="E61" s="939"/>
      <c r="F61" s="939"/>
      <c r="G61" s="940"/>
      <c r="H61" s="940">
        <v>0.15</v>
      </c>
      <c r="I61" s="941">
        <f t="shared" ref="I61:S61" si="23">H61</f>
        <v>0.15</v>
      </c>
      <c r="J61" s="941">
        <f t="shared" si="23"/>
        <v>0.15</v>
      </c>
      <c r="K61" s="941">
        <f t="shared" si="23"/>
        <v>0.15</v>
      </c>
      <c r="L61" s="941">
        <f t="shared" si="23"/>
        <v>0.15</v>
      </c>
      <c r="M61" s="941">
        <f t="shared" si="23"/>
        <v>0.15</v>
      </c>
      <c r="N61" s="941">
        <f t="shared" si="23"/>
        <v>0.15</v>
      </c>
      <c r="O61" s="941">
        <f t="shared" si="23"/>
        <v>0.15</v>
      </c>
      <c r="P61" s="941">
        <f t="shared" si="23"/>
        <v>0.15</v>
      </c>
      <c r="Q61" s="941">
        <f t="shared" si="23"/>
        <v>0.15</v>
      </c>
      <c r="R61" s="941">
        <f t="shared" si="23"/>
        <v>0.15</v>
      </c>
      <c r="S61" s="941">
        <f t="shared" si="23"/>
        <v>0.15</v>
      </c>
      <c r="T61" s="859"/>
    </row>
    <row r="62" spans="1:20">
      <c r="A62" s="859"/>
      <c r="B62" s="942" t="s">
        <v>1077</v>
      </c>
      <c r="C62" s="752"/>
      <c r="D62" s="752"/>
      <c r="E62" s="752"/>
      <c r="F62" s="752"/>
      <c r="G62" s="943"/>
      <c r="H62" s="943">
        <f>H59*12*(1-H61)</f>
        <v>30.599999999999998</v>
      </c>
      <c r="I62" s="943">
        <f t="shared" ref="I62:S62" si="24">I59*12*(1-I61)</f>
        <v>32.436</v>
      </c>
      <c r="J62" s="943">
        <f t="shared" si="24"/>
        <v>34.382159999999999</v>
      </c>
      <c r="K62" s="943">
        <f t="shared" si="24"/>
        <v>36.44508960000001</v>
      </c>
      <c r="L62" s="943">
        <f t="shared" si="24"/>
        <v>38.631794976000009</v>
      </c>
      <c r="M62" s="943">
        <f t="shared" si="24"/>
        <v>40.949702674560001</v>
      </c>
      <c r="N62" s="943">
        <f t="shared" si="24"/>
        <v>43.406684835033616</v>
      </c>
      <c r="O62" s="943">
        <f t="shared" si="24"/>
        <v>46.011085925135632</v>
      </c>
      <c r="P62" s="943">
        <f t="shared" si="24"/>
        <v>48.771751080643782</v>
      </c>
      <c r="Q62" s="943">
        <f t="shared" si="24"/>
        <v>51.698056145482411</v>
      </c>
      <c r="R62" s="943">
        <f t="shared" si="24"/>
        <v>54.799939514211353</v>
      </c>
      <c r="S62" s="943">
        <f t="shared" si="24"/>
        <v>58.087935885064034</v>
      </c>
      <c r="T62" s="859"/>
    </row>
    <row r="63" spans="1:20">
      <c r="A63" s="859"/>
      <c r="B63" s="859"/>
      <c r="C63" s="859"/>
      <c r="D63" s="859"/>
      <c r="E63" s="859"/>
      <c r="F63" s="859"/>
      <c r="G63" s="859"/>
      <c r="H63" s="859"/>
      <c r="I63" s="859"/>
      <c r="J63" s="859"/>
      <c r="K63" s="859"/>
      <c r="L63" s="859"/>
      <c r="M63" s="859"/>
      <c r="N63" s="859"/>
      <c r="O63" s="859"/>
      <c r="P63" s="859"/>
      <c r="Q63" s="859"/>
      <c r="R63" s="859"/>
      <c r="S63" s="859"/>
      <c r="T63" s="859"/>
    </row>
    <row r="64" spans="1:20" ht="15.75">
      <c r="A64" s="859"/>
      <c r="B64" s="944" t="s">
        <v>1078</v>
      </c>
      <c r="C64" s="752"/>
      <c r="D64" s="752"/>
      <c r="E64" s="752"/>
      <c r="F64" s="752"/>
      <c r="G64" s="752"/>
      <c r="H64" s="752"/>
      <c r="I64" s="752"/>
      <c r="J64" s="752"/>
      <c r="K64" s="752"/>
      <c r="L64" s="752"/>
      <c r="M64" s="752"/>
      <c r="N64" s="752"/>
      <c r="O64" s="752"/>
      <c r="P64" s="752"/>
      <c r="Q64" s="752"/>
      <c r="R64" s="752"/>
      <c r="S64" s="752"/>
      <c r="T64" s="859"/>
    </row>
    <row r="65" spans="1:20">
      <c r="A65" s="859"/>
      <c r="B65" s="863" t="s">
        <v>1069</v>
      </c>
      <c r="C65" s="859"/>
      <c r="D65" s="859"/>
      <c r="E65" s="859"/>
      <c r="F65" s="859"/>
      <c r="G65" s="945"/>
      <c r="H65" s="866">
        <f>H62*H52</f>
        <v>61.78789368544119</v>
      </c>
      <c r="I65" s="866">
        <f t="shared" ref="I65:S65" si="25">I62*I52</f>
        <v>131.90726695542727</v>
      </c>
      <c r="J65" s="866">
        <f t="shared" si="25"/>
        <v>281.60090978712424</v>
      </c>
      <c r="K65" s="866">
        <f t="shared" si="25"/>
        <v>450.87966468745839</v>
      </c>
      <c r="L65" s="866">
        <f t="shared" si="25"/>
        <v>641.70396224091576</v>
      </c>
      <c r="M65" s="866">
        <f t="shared" si="25"/>
        <v>856.20955421899748</v>
      </c>
      <c r="N65" s="866">
        <f t="shared" si="25"/>
        <v>913.93520236444249</v>
      </c>
      <c r="O65" s="866">
        <f t="shared" si="25"/>
        <v>975.55271370785329</v>
      </c>
      <c r="P65" s="866">
        <f t="shared" si="25"/>
        <v>1041.324477666037</v>
      </c>
      <c r="Q65" s="866">
        <f t="shared" si="25"/>
        <v>1111.530573950281</v>
      </c>
      <c r="R65" s="866">
        <f t="shared" si="25"/>
        <v>1186.4699652460088</v>
      </c>
      <c r="S65" s="866">
        <f t="shared" si="25"/>
        <v>1266.4617703028944</v>
      </c>
      <c r="T65" s="859"/>
    </row>
    <row r="66" spans="1:20">
      <c r="A66" s="859"/>
      <c r="B66" s="751" t="s">
        <v>1070</v>
      </c>
      <c r="C66" s="859"/>
      <c r="D66" s="859"/>
      <c r="E66" s="859"/>
      <c r="F66" s="859"/>
      <c r="G66" s="945"/>
      <c r="H66" s="866">
        <f>H62*H53</f>
        <v>61.78789368544119</v>
      </c>
      <c r="I66" s="866">
        <f t="shared" ref="I66:S66" si="26">I62*I53</f>
        <v>131.90726695542727</v>
      </c>
      <c r="J66" s="866">
        <f>J62*J53</f>
        <v>281.60090978712424</v>
      </c>
      <c r="K66" s="866">
        <f t="shared" si="26"/>
        <v>450.87966468745839</v>
      </c>
      <c r="L66" s="866">
        <f t="shared" si="26"/>
        <v>641.70396224091576</v>
      </c>
      <c r="M66" s="866">
        <f t="shared" si="26"/>
        <v>856.20955421899748</v>
      </c>
      <c r="N66" s="866">
        <f t="shared" si="26"/>
        <v>913.93520236444249</v>
      </c>
      <c r="O66" s="866">
        <f t="shared" si="26"/>
        <v>975.55271370785329</v>
      </c>
      <c r="P66" s="866">
        <f t="shared" si="26"/>
        <v>1041.324477666037</v>
      </c>
      <c r="Q66" s="866">
        <f t="shared" si="26"/>
        <v>1111.530573950281</v>
      </c>
      <c r="R66" s="866">
        <f t="shared" si="26"/>
        <v>1186.4699652460088</v>
      </c>
      <c r="S66" s="866">
        <f t="shared" si="26"/>
        <v>1266.4617703028944</v>
      </c>
      <c r="T66" s="859"/>
    </row>
    <row r="67" spans="1:20">
      <c r="A67" s="859"/>
      <c r="B67" s="751" t="s">
        <v>1071</v>
      </c>
      <c r="C67" s="859"/>
      <c r="D67" s="859"/>
      <c r="E67" s="859"/>
      <c r="F67" s="859"/>
      <c r="G67" s="945"/>
      <c r="H67" s="866">
        <f>H62*H54</f>
        <v>21.625762789904421</v>
      </c>
      <c r="I67" s="866">
        <f t="shared" ref="I67:S67" si="27">I62*I54</f>
        <v>34.625657575799664</v>
      </c>
      <c r="J67" s="866">
        <f>J62*J54</f>
        <v>55.440179114340111</v>
      </c>
      <c r="K67" s="866">
        <f t="shared" si="27"/>
        <v>88.7669339853434</v>
      </c>
      <c r="L67" s="866">
        <f t="shared" si="27"/>
        <v>142.12740101195286</v>
      </c>
      <c r="M67" s="866">
        <f t="shared" si="27"/>
        <v>151.70963038817868</v>
      </c>
      <c r="N67" s="866">
        <f t="shared" si="27"/>
        <v>161.93789366894973</v>
      </c>
      <c r="O67" s="866">
        <f t="shared" si="27"/>
        <v>172.85574646011028</v>
      </c>
      <c r="P67" s="866">
        <f t="shared" si="27"/>
        <v>184.50968088645095</v>
      </c>
      <c r="Q67" s="866">
        <f t="shared" si="27"/>
        <v>196.94932357181546</v>
      </c>
      <c r="R67" s="866">
        <f t="shared" si="27"/>
        <v>210.22764696702725</v>
      </c>
      <c r="S67" s="866">
        <f t="shared" si="27"/>
        <v>224.40119492554422</v>
      </c>
      <c r="T67" s="859"/>
    </row>
    <row r="68" spans="1:20">
      <c r="A68" s="859"/>
      <c r="B68" s="751"/>
      <c r="C68" s="859"/>
      <c r="D68" s="859"/>
      <c r="E68" s="859"/>
      <c r="F68" s="859"/>
      <c r="G68" s="859"/>
      <c r="H68" s="859"/>
      <c r="I68" s="859"/>
      <c r="J68" s="859"/>
      <c r="K68" s="859"/>
      <c r="L68" s="859"/>
      <c r="M68" s="859"/>
      <c r="N68" s="859"/>
      <c r="O68" s="859"/>
      <c r="P68" s="859"/>
      <c r="Q68" s="859"/>
      <c r="R68" s="859"/>
      <c r="S68" s="859"/>
      <c r="T68" s="859"/>
    </row>
    <row r="69" spans="1:20">
      <c r="A69" s="859"/>
      <c r="B69" s="946" t="s">
        <v>1079</v>
      </c>
      <c r="C69" s="947"/>
      <c r="D69" s="947"/>
      <c r="E69" s="947"/>
      <c r="F69" s="947"/>
      <c r="G69" s="948"/>
      <c r="H69" s="948">
        <f>SUM(H65:H67)</f>
        <v>145.20155016078681</v>
      </c>
      <c r="I69" s="948">
        <f t="shared" ref="I69:S69" si="28">SUM(I65:I67)</f>
        <v>298.44019148665421</v>
      </c>
      <c r="J69" s="948">
        <f>SUM(J65:J67)</f>
        <v>618.64199868858861</v>
      </c>
      <c r="K69" s="948">
        <f t="shared" si="28"/>
        <v>990.52626336026015</v>
      </c>
      <c r="L69" s="948">
        <f t="shared" si="28"/>
        <v>1425.5353254937843</v>
      </c>
      <c r="M69" s="948">
        <f t="shared" si="28"/>
        <v>1864.1287388261737</v>
      </c>
      <c r="N69" s="948">
        <f t="shared" si="28"/>
        <v>1989.8082983978347</v>
      </c>
      <c r="O69" s="948">
        <f t="shared" si="28"/>
        <v>2123.9611738758167</v>
      </c>
      <c r="P69" s="948">
        <f t="shared" si="28"/>
        <v>2267.1586362185249</v>
      </c>
      <c r="Q69" s="948">
        <f t="shared" si="28"/>
        <v>2420.0104714723775</v>
      </c>
      <c r="R69" s="948">
        <f t="shared" si="28"/>
        <v>2583.1675774590449</v>
      </c>
      <c r="S69" s="949">
        <f t="shared" si="28"/>
        <v>2757.3247355313329</v>
      </c>
      <c r="T69" s="859"/>
    </row>
    <row r="70" spans="1:20">
      <c r="A70" s="859"/>
      <c r="B70" s="859"/>
      <c r="C70" s="859"/>
      <c r="D70" s="859"/>
      <c r="E70" s="859"/>
      <c r="F70" s="859"/>
      <c r="G70" s="859"/>
      <c r="H70" s="859"/>
      <c r="I70" s="859"/>
      <c r="J70" s="859"/>
      <c r="K70" s="859"/>
      <c r="L70" s="859"/>
      <c r="M70" s="859"/>
      <c r="N70" s="859"/>
      <c r="O70" s="859"/>
      <c r="P70" s="859"/>
      <c r="Q70" s="859"/>
      <c r="R70" s="859"/>
      <c r="S70" s="859"/>
      <c r="T70" s="859"/>
    </row>
    <row r="71" spans="1:20" ht="15.75">
      <c r="A71" s="751"/>
      <c r="B71" s="903" t="s">
        <v>1080</v>
      </c>
      <c r="C71" s="902">
        <v>2014</v>
      </c>
      <c r="D71" s="902">
        <v>2015</v>
      </c>
      <c r="E71" s="902">
        <v>2016</v>
      </c>
      <c r="F71" s="902">
        <v>2017</v>
      </c>
      <c r="G71" s="902">
        <v>2018</v>
      </c>
      <c r="H71" s="902">
        <v>2019</v>
      </c>
      <c r="I71" s="902">
        <v>2020</v>
      </c>
      <c r="J71" s="902">
        <v>2021</v>
      </c>
      <c r="K71" s="902">
        <v>2022</v>
      </c>
      <c r="L71" s="902">
        <v>2023</v>
      </c>
      <c r="M71" s="902">
        <v>2024</v>
      </c>
      <c r="N71" s="902">
        <v>2025</v>
      </c>
      <c r="O71" s="902">
        <v>2026</v>
      </c>
      <c r="P71" s="902">
        <v>2027</v>
      </c>
      <c r="Q71" s="902">
        <v>2028</v>
      </c>
      <c r="R71" s="902">
        <v>2029</v>
      </c>
      <c r="S71" s="902">
        <v>2030</v>
      </c>
      <c r="T71" s="859"/>
    </row>
    <row r="72" spans="1:20">
      <c r="A72" s="859"/>
      <c r="B72" s="921" t="s">
        <v>1081</v>
      </c>
      <c r="C72" s="865">
        <f>80.62+66.03+59.83+64.1+47.27</f>
        <v>317.85000000000002</v>
      </c>
      <c r="D72" s="922">
        <f t="shared" ref="D72:S72" si="29">C72*(1+D73)</f>
        <v>318.93069000000003</v>
      </c>
      <c r="E72" s="922">
        <f t="shared" si="29"/>
        <v>320.01505434600006</v>
      </c>
      <c r="F72" s="922">
        <f t="shared" si="29"/>
        <v>321.10310553077647</v>
      </c>
      <c r="G72" s="922">
        <f t="shared" si="29"/>
        <v>322.19485608958115</v>
      </c>
      <c r="H72" s="922">
        <f t="shared" si="29"/>
        <v>323.29031860028573</v>
      </c>
      <c r="I72" s="922">
        <f t="shared" si="29"/>
        <v>324.38950568352675</v>
      </c>
      <c r="J72" s="922">
        <f t="shared" si="29"/>
        <v>325.49243000285077</v>
      </c>
      <c r="K72" s="922">
        <f t="shared" si="29"/>
        <v>326.5991042648605</v>
      </c>
      <c r="L72" s="922">
        <f t="shared" si="29"/>
        <v>327.70954121936103</v>
      </c>
      <c r="M72" s="922">
        <f t="shared" si="29"/>
        <v>328.82375365950691</v>
      </c>
      <c r="N72" s="922">
        <f t="shared" si="29"/>
        <v>329.94175442194927</v>
      </c>
      <c r="O72" s="922">
        <f t="shared" si="29"/>
        <v>331.06355638698392</v>
      </c>
      <c r="P72" s="922">
        <f t="shared" si="29"/>
        <v>332.18917247869967</v>
      </c>
      <c r="Q72" s="922">
        <f t="shared" si="29"/>
        <v>333.31861566512725</v>
      </c>
      <c r="R72" s="922">
        <f t="shared" si="29"/>
        <v>334.45189895838871</v>
      </c>
      <c r="S72" s="922">
        <f t="shared" si="29"/>
        <v>335.58903541484727</v>
      </c>
      <c r="T72" s="859"/>
    </row>
    <row r="73" spans="1:20">
      <c r="A73" s="923"/>
      <c r="B73" s="924" t="s">
        <v>1062</v>
      </c>
      <c r="C73" s="923"/>
      <c r="D73" s="925">
        <v>3.3999999999999998E-3</v>
      </c>
      <c r="E73" s="923">
        <f t="shared" ref="E73:S73" si="30">D73</f>
        <v>3.3999999999999998E-3</v>
      </c>
      <c r="F73" s="923">
        <f t="shared" si="30"/>
        <v>3.3999999999999998E-3</v>
      </c>
      <c r="G73" s="923">
        <f t="shared" si="30"/>
        <v>3.3999999999999998E-3</v>
      </c>
      <c r="H73" s="923">
        <f t="shared" si="30"/>
        <v>3.3999999999999998E-3</v>
      </c>
      <c r="I73" s="923">
        <f t="shared" si="30"/>
        <v>3.3999999999999998E-3</v>
      </c>
      <c r="J73" s="923">
        <f t="shared" si="30"/>
        <v>3.3999999999999998E-3</v>
      </c>
      <c r="K73" s="923">
        <f t="shared" si="30"/>
        <v>3.3999999999999998E-3</v>
      </c>
      <c r="L73" s="923">
        <f t="shared" si="30"/>
        <v>3.3999999999999998E-3</v>
      </c>
      <c r="M73" s="923">
        <f t="shared" si="30"/>
        <v>3.3999999999999998E-3</v>
      </c>
      <c r="N73" s="923">
        <f t="shared" si="30"/>
        <v>3.3999999999999998E-3</v>
      </c>
      <c r="O73" s="923">
        <f t="shared" si="30"/>
        <v>3.3999999999999998E-3</v>
      </c>
      <c r="P73" s="923">
        <f t="shared" si="30"/>
        <v>3.3999999999999998E-3</v>
      </c>
      <c r="Q73" s="923">
        <f t="shared" si="30"/>
        <v>3.3999999999999998E-3</v>
      </c>
      <c r="R73" s="923">
        <f t="shared" si="30"/>
        <v>3.3999999999999998E-3</v>
      </c>
      <c r="S73" s="923">
        <f t="shared" si="30"/>
        <v>3.3999999999999998E-3</v>
      </c>
      <c r="T73" s="923"/>
    </row>
    <row r="74" spans="1:20">
      <c r="A74" s="859"/>
      <c r="B74" s="921" t="s">
        <v>1063</v>
      </c>
      <c r="C74" s="950">
        <f>0.5%*C72</f>
        <v>1.5892500000000001</v>
      </c>
      <c r="D74" s="922">
        <f t="shared" ref="D74:S74" si="31">C74*(1+D73)</f>
        <v>1.5946534500000002</v>
      </c>
      <c r="E74" s="922">
        <f t="shared" si="31"/>
        <v>1.6000752717300004</v>
      </c>
      <c r="F74" s="922">
        <f t="shared" si="31"/>
        <v>1.6055155276538826</v>
      </c>
      <c r="G74" s="922">
        <f t="shared" si="31"/>
        <v>1.6109742804479059</v>
      </c>
      <c r="H74" s="922">
        <f t="shared" si="31"/>
        <v>1.6164515930014289</v>
      </c>
      <c r="I74" s="922">
        <f t="shared" si="31"/>
        <v>1.6219475284176339</v>
      </c>
      <c r="J74" s="922">
        <f t="shared" si="31"/>
        <v>1.6274621500142539</v>
      </c>
      <c r="K74" s="922">
        <f t="shared" si="31"/>
        <v>1.6329955213243024</v>
      </c>
      <c r="L74" s="922">
        <f t="shared" si="31"/>
        <v>1.638547706096805</v>
      </c>
      <c r="M74" s="922">
        <f t="shared" si="31"/>
        <v>1.6441187682975342</v>
      </c>
      <c r="N74" s="922">
        <f t="shared" si="31"/>
        <v>1.6497087721097459</v>
      </c>
      <c r="O74" s="922">
        <f t="shared" si="31"/>
        <v>1.6553177819349192</v>
      </c>
      <c r="P74" s="922">
        <f t="shared" si="31"/>
        <v>1.6609458623934981</v>
      </c>
      <c r="Q74" s="922">
        <f t="shared" si="31"/>
        <v>1.666593078325636</v>
      </c>
      <c r="R74" s="922">
        <f t="shared" si="31"/>
        <v>1.6722594947919434</v>
      </c>
      <c r="S74" s="922">
        <f t="shared" si="31"/>
        <v>1.6779451770742362</v>
      </c>
      <c r="T74" s="859"/>
    </row>
    <row r="75" spans="1:20">
      <c r="A75" s="859"/>
      <c r="B75" s="921"/>
      <c r="C75" s="906"/>
      <c r="D75" s="859"/>
      <c r="E75" s="859"/>
      <c r="F75" s="859"/>
      <c r="G75" s="859"/>
      <c r="H75" s="859"/>
      <c r="I75" s="859"/>
      <c r="J75" s="859"/>
      <c r="K75" s="859"/>
      <c r="L75" s="859"/>
      <c r="M75" s="859"/>
      <c r="N75" s="859"/>
      <c r="O75" s="859"/>
      <c r="P75" s="859"/>
      <c r="Q75" s="859"/>
      <c r="R75" s="859"/>
      <c r="S75" s="859"/>
      <c r="T75" s="859"/>
    </row>
    <row r="76" spans="1:20">
      <c r="A76" s="859"/>
      <c r="B76" s="921" t="s">
        <v>1056</v>
      </c>
      <c r="C76" s="911">
        <v>0.3</v>
      </c>
      <c r="D76" s="754">
        <f t="shared" ref="D76:S76" si="32">C76</f>
        <v>0.3</v>
      </c>
      <c r="E76" s="754">
        <f t="shared" si="32"/>
        <v>0.3</v>
      </c>
      <c r="F76" s="754">
        <f t="shared" si="32"/>
        <v>0.3</v>
      </c>
      <c r="G76" s="754">
        <f t="shared" si="32"/>
        <v>0.3</v>
      </c>
      <c r="H76" s="754">
        <f t="shared" si="32"/>
        <v>0.3</v>
      </c>
      <c r="I76" s="754">
        <f t="shared" si="32"/>
        <v>0.3</v>
      </c>
      <c r="J76" s="754">
        <f t="shared" si="32"/>
        <v>0.3</v>
      </c>
      <c r="K76" s="754">
        <f t="shared" si="32"/>
        <v>0.3</v>
      </c>
      <c r="L76" s="754">
        <f t="shared" si="32"/>
        <v>0.3</v>
      </c>
      <c r="M76" s="754">
        <f t="shared" si="32"/>
        <v>0.3</v>
      </c>
      <c r="N76" s="754">
        <f t="shared" si="32"/>
        <v>0.3</v>
      </c>
      <c r="O76" s="754">
        <f t="shared" si="32"/>
        <v>0.3</v>
      </c>
      <c r="P76" s="754">
        <f t="shared" si="32"/>
        <v>0.3</v>
      </c>
      <c r="Q76" s="754">
        <f t="shared" si="32"/>
        <v>0.3</v>
      </c>
      <c r="R76" s="754">
        <f t="shared" si="32"/>
        <v>0.3</v>
      </c>
      <c r="S76" s="754">
        <f t="shared" si="32"/>
        <v>0.3</v>
      </c>
      <c r="T76" s="859"/>
    </row>
    <row r="77" spans="1:20">
      <c r="A77" s="859"/>
      <c r="B77" s="921" t="s">
        <v>1064</v>
      </c>
      <c r="C77" s="926">
        <f t="shared" ref="C77:S77" si="33">C76*C74*1000</f>
        <v>476.77499999999998</v>
      </c>
      <c r="D77" s="926">
        <f t="shared" si="33"/>
        <v>478.39603500000004</v>
      </c>
      <c r="E77" s="926">
        <f t="shared" si="33"/>
        <v>480.02258151900014</v>
      </c>
      <c r="F77" s="926">
        <f t="shared" si="33"/>
        <v>481.65465829616477</v>
      </c>
      <c r="G77" s="926">
        <f t="shared" si="33"/>
        <v>483.29228413437176</v>
      </c>
      <c r="H77" s="926">
        <f t="shared" si="33"/>
        <v>484.93547790042868</v>
      </c>
      <c r="I77" s="926">
        <f t="shared" si="33"/>
        <v>486.58425852529012</v>
      </c>
      <c r="J77" s="926">
        <f t="shared" si="33"/>
        <v>488.23864500427618</v>
      </c>
      <c r="K77" s="926">
        <f t="shared" si="33"/>
        <v>489.89865639729067</v>
      </c>
      <c r="L77" s="926">
        <f t="shared" si="33"/>
        <v>491.56431182904146</v>
      </c>
      <c r="M77" s="926">
        <f t="shared" si="33"/>
        <v>493.23563048926025</v>
      </c>
      <c r="N77" s="926">
        <f t="shared" si="33"/>
        <v>494.91263163292376</v>
      </c>
      <c r="O77" s="926">
        <f t="shared" si="33"/>
        <v>496.59533458047571</v>
      </c>
      <c r="P77" s="926">
        <f t="shared" si="33"/>
        <v>498.2837587180494</v>
      </c>
      <c r="Q77" s="926">
        <f t="shared" si="33"/>
        <v>499.97792349769077</v>
      </c>
      <c r="R77" s="926">
        <f t="shared" si="33"/>
        <v>501.67784843758301</v>
      </c>
      <c r="S77" s="926">
        <f t="shared" si="33"/>
        <v>503.38355312227077</v>
      </c>
      <c r="T77" s="859"/>
    </row>
    <row r="78" spans="1:20">
      <c r="A78" s="859"/>
      <c r="B78" s="921"/>
      <c r="C78" s="906"/>
      <c r="D78" s="859"/>
      <c r="E78" s="859"/>
      <c r="F78" s="859"/>
      <c r="G78" s="859"/>
      <c r="H78" s="859"/>
      <c r="I78" s="859"/>
      <c r="J78" s="859"/>
      <c r="K78" s="859"/>
      <c r="L78" s="859"/>
      <c r="M78" s="859"/>
      <c r="N78" s="859"/>
      <c r="O78" s="859"/>
      <c r="P78" s="859"/>
      <c r="Q78" s="859"/>
      <c r="R78" s="859"/>
      <c r="S78" s="859"/>
      <c r="T78" s="859"/>
    </row>
    <row r="79" spans="1:20">
      <c r="A79" s="859"/>
      <c r="B79" s="921" t="s">
        <v>1059</v>
      </c>
      <c r="C79" s="911">
        <v>0.35</v>
      </c>
      <c r="D79" s="754">
        <f>C79</f>
        <v>0.35</v>
      </c>
      <c r="E79" s="754">
        <f t="shared" ref="E79:S79" si="34">D79</f>
        <v>0.35</v>
      </c>
      <c r="F79" s="754">
        <f t="shared" si="34"/>
        <v>0.35</v>
      </c>
      <c r="G79" s="754">
        <f t="shared" si="34"/>
        <v>0.35</v>
      </c>
      <c r="H79" s="754">
        <f t="shared" si="34"/>
        <v>0.35</v>
      </c>
      <c r="I79" s="754">
        <f t="shared" si="34"/>
        <v>0.35</v>
      </c>
      <c r="J79" s="754">
        <f t="shared" si="34"/>
        <v>0.35</v>
      </c>
      <c r="K79" s="754">
        <f t="shared" si="34"/>
        <v>0.35</v>
      </c>
      <c r="L79" s="754">
        <f t="shared" si="34"/>
        <v>0.35</v>
      </c>
      <c r="M79" s="754">
        <f t="shared" si="34"/>
        <v>0.35</v>
      </c>
      <c r="N79" s="754">
        <f t="shared" si="34"/>
        <v>0.35</v>
      </c>
      <c r="O79" s="754">
        <f t="shared" si="34"/>
        <v>0.35</v>
      </c>
      <c r="P79" s="754">
        <f t="shared" si="34"/>
        <v>0.35</v>
      </c>
      <c r="Q79" s="754">
        <f t="shared" si="34"/>
        <v>0.35</v>
      </c>
      <c r="R79" s="754">
        <f t="shared" si="34"/>
        <v>0.35</v>
      </c>
      <c r="S79" s="754">
        <f t="shared" si="34"/>
        <v>0.35</v>
      </c>
      <c r="T79" s="859"/>
    </row>
    <row r="80" spans="1:20">
      <c r="A80" s="859"/>
      <c r="B80" s="921" t="s">
        <v>1065</v>
      </c>
      <c r="C80" s="927">
        <f t="shared" ref="C80:S80" si="35">C79*C74*1000</f>
        <v>556.23749999999995</v>
      </c>
      <c r="D80" s="927">
        <f t="shared" si="35"/>
        <v>558.12870750000013</v>
      </c>
      <c r="E80" s="927">
        <f t="shared" si="35"/>
        <v>560.02634510550013</v>
      </c>
      <c r="F80" s="927">
        <f t="shared" si="35"/>
        <v>561.93043467885889</v>
      </c>
      <c r="G80" s="927">
        <f t="shared" si="35"/>
        <v>563.840998156767</v>
      </c>
      <c r="H80" s="927">
        <f t="shared" si="35"/>
        <v>565.7580575505001</v>
      </c>
      <c r="I80" s="927">
        <f t="shared" si="35"/>
        <v>567.68163494617181</v>
      </c>
      <c r="J80" s="927">
        <f t="shared" si="35"/>
        <v>569.61175250498889</v>
      </c>
      <c r="K80" s="927">
        <f t="shared" si="35"/>
        <v>571.54843246350583</v>
      </c>
      <c r="L80" s="927">
        <f t="shared" si="35"/>
        <v>573.49169713388176</v>
      </c>
      <c r="M80" s="927">
        <f t="shared" si="35"/>
        <v>575.44156890413694</v>
      </c>
      <c r="N80" s="927">
        <f t="shared" si="35"/>
        <v>577.39807023841104</v>
      </c>
      <c r="O80" s="927">
        <f t="shared" si="35"/>
        <v>579.36122367722169</v>
      </c>
      <c r="P80" s="927">
        <f t="shared" si="35"/>
        <v>581.33105183772432</v>
      </c>
      <c r="Q80" s="927">
        <f t="shared" si="35"/>
        <v>583.30757741397258</v>
      </c>
      <c r="R80" s="927">
        <f t="shared" si="35"/>
        <v>585.29082317718019</v>
      </c>
      <c r="S80" s="927">
        <f t="shared" si="35"/>
        <v>587.2808119759826</v>
      </c>
      <c r="T80" s="859"/>
    </row>
    <row r="81" spans="1:20">
      <c r="A81" s="859"/>
      <c r="B81" s="859"/>
      <c r="C81" s="859"/>
      <c r="D81" s="859"/>
      <c r="E81" s="859"/>
      <c r="F81" s="859"/>
      <c r="G81" s="859"/>
      <c r="H81" s="859"/>
      <c r="I81" s="859"/>
      <c r="J81" s="859"/>
      <c r="K81" s="859"/>
      <c r="L81" s="859"/>
      <c r="M81" s="859"/>
      <c r="N81" s="859"/>
      <c r="O81" s="859"/>
      <c r="P81" s="859"/>
      <c r="Q81" s="859"/>
      <c r="R81" s="859"/>
      <c r="S81" s="859"/>
      <c r="T81" s="859"/>
    </row>
    <row r="82" spans="1:20">
      <c r="A82" s="859"/>
      <c r="B82" s="921" t="s">
        <v>1066</v>
      </c>
      <c r="C82" s="754">
        <f>1-C79-C76</f>
        <v>0.35000000000000003</v>
      </c>
      <c r="D82" s="754">
        <f>C82</f>
        <v>0.35000000000000003</v>
      </c>
      <c r="E82" s="754">
        <f t="shared" ref="E82:S82" si="36">D82</f>
        <v>0.35000000000000003</v>
      </c>
      <c r="F82" s="754">
        <f t="shared" si="36"/>
        <v>0.35000000000000003</v>
      </c>
      <c r="G82" s="754">
        <f t="shared" si="36"/>
        <v>0.35000000000000003</v>
      </c>
      <c r="H82" s="754">
        <f t="shared" si="36"/>
        <v>0.35000000000000003</v>
      </c>
      <c r="I82" s="754">
        <f t="shared" si="36"/>
        <v>0.35000000000000003</v>
      </c>
      <c r="J82" s="754">
        <f t="shared" si="36"/>
        <v>0.35000000000000003</v>
      </c>
      <c r="K82" s="754">
        <f t="shared" si="36"/>
        <v>0.35000000000000003</v>
      </c>
      <c r="L82" s="754">
        <f t="shared" si="36"/>
        <v>0.35000000000000003</v>
      </c>
      <c r="M82" s="754">
        <f t="shared" si="36"/>
        <v>0.35000000000000003</v>
      </c>
      <c r="N82" s="754">
        <f t="shared" si="36"/>
        <v>0.35000000000000003</v>
      </c>
      <c r="O82" s="754">
        <f t="shared" si="36"/>
        <v>0.35000000000000003</v>
      </c>
      <c r="P82" s="754">
        <f t="shared" si="36"/>
        <v>0.35000000000000003</v>
      </c>
      <c r="Q82" s="754">
        <f t="shared" si="36"/>
        <v>0.35000000000000003</v>
      </c>
      <c r="R82" s="754">
        <f t="shared" si="36"/>
        <v>0.35000000000000003</v>
      </c>
      <c r="S82" s="754">
        <f t="shared" si="36"/>
        <v>0.35000000000000003</v>
      </c>
      <c r="T82" s="859"/>
    </row>
    <row r="83" spans="1:20">
      <c r="A83" s="859"/>
      <c r="B83" s="928" t="s">
        <v>1067</v>
      </c>
      <c r="C83" s="929">
        <f t="shared" ref="C83:S83" si="37">C82*C74*1000</f>
        <v>556.23750000000007</v>
      </c>
      <c r="D83" s="929">
        <f t="shared" si="37"/>
        <v>558.12870750000013</v>
      </c>
      <c r="E83" s="929">
        <f t="shared" si="37"/>
        <v>560.02634510550024</v>
      </c>
      <c r="F83" s="929">
        <f t="shared" si="37"/>
        <v>561.930434678859</v>
      </c>
      <c r="G83" s="929">
        <f t="shared" si="37"/>
        <v>563.84099815676711</v>
      </c>
      <c r="H83" s="929">
        <f t="shared" si="37"/>
        <v>565.7580575505001</v>
      </c>
      <c r="I83" s="929">
        <f t="shared" si="37"/>
        <v>567.68163494617193</v>
      </c>
      <c r="J83" s="929">
        <f t="shared" si="37"/>
        <v>569.61175250498889</v>
      </c>
      <c r="K83" s="929">
        <f t="shared" si="37"/>
        <v>571.54843246350583</v>
      </c>
      <c r="L83" s="929">
        <f t="shared" si="37"/>
        <v>573.49169713388187</v>
      </c>
      <c r="M83" s="929">
        <f t="shared" si="37"/>
        <v>575.44156890413706</v>
      </c>
      <c r="N83" s="929">
        <f t="shared" si="37"/>
        <v>577.39807023841104</v>
      </c>
      <c r="O83" s="929">
        <f t="shared" si="37"/>
        <v>579.3612236772218</v>
      </c>
      <c r="P83" s="929">
        <f t="shared" si="37"/>
        <v>581.33105183772443</v>
      </c>
      <c r="Q83" s="929">
        <f t="shared" si="37"/>
        <v>583.30757741397269</v>
      </c>
      <c r="R83" s="929">
        <f t="shared" si="37"/>
        <v>585.2908231771803</v>
      </c>
      <c r="S83" s="929">
        <f t="shared" si="37"/>
        <v>587.28081197598272</v>
      </c>
      <c r="T83" s="859"/>
    </row>
    <row r="84" spans="1:20">
      <c r="A84" s="859"/>
      <c r="B84" s="859"/>
      <c r="C84" s="859"/>
      <c r="D84" s="859"/>
      <c r="E84" s="859"/>
      <c r="F84" s="859"/>
      <c r="G84" s="859"/>
      <c r="H84" s="859"/>
      <c r="I84" s="859"/>
      <c r="J84" s="859"/>
      <c r="K84" s="859"/>
      <c r="L84" s="859"/>
      <c r="M84" s="859"/>
      <c r="N84" s="859"/>
      <c r="O84" s="859"/>
      <c r="P84" s="859"/>
      <c r="Q84" s="859"/>
      <c r="R84" s="859"/>
      <c r="S84" s="859"/>
      <c r="T84" s="859"/>
    </row>
    <row r="85" spans="1:20" ht="15.75">
      <c r="A85" s="859"/>
      <c r="B85" s="930" t="s">
        <v>1068</v>
      </c>
      <c r="C85" s="859"/>
      <c r="D85" s="859"/>
      <c r="E85" s="859"/>
      <c r="F85" s="859"/>
      <c r="G85" s="859"/>
      <c r="H85" s="859"/>
      <c r="I85" s="859"/>
      <c r="J85" s="859"/>
      <c r="K85" s="859"/>
      <c r="L85" s="859"/>
      <c r="M85" s="859"/>
      <c r="N85" s="859"/>
      <c r="O85" s="859"/>
      <c r="P85" s="859"/>
      <c r="Q85" s="859"/>
      <c r="R85" s="859"/>
      <c r="S85" s="859"/>
      <c r="T85" s="859"/>
    </row>
    <row r="86" spans="1:20">
      <c r="A86" s="859"/>
      <c r="B86" s="863" t="s">
        <v>1069</v>
      </c>
      <c r="C86" s="931"/>
      <c r="D86" s="931"/>
      <c r="E86" s="931"/>
      <c r="F86" s="931"/>
      <c r="G86" s="951"/>
      <c r="H86" s="951">
        <f>H77*CHOOSE($C$2,H12,H13,H14)</f>
        <v>0</v>
      </c>
      <c r="I86" s="951">
        <f t="shared" ref="I86:S86" si="38">I77*CHOOSE($C$2,I12,I13,I14)</f>
        <v>1.8246909694698379</v>
      </c>
      <c r="J86" s="951">
        <f t="shared" si="38"/>
        <v>3.661789837532071</v>
      </c>
      <c r="K86" s="951">
        <f t="shared" si="38"/>
        <v>7.3484798459593597</v>
      </c>
      <c r="L86" s="951">
        <f t="shared" si="38"/>
        <v>11.060197016153433</v>
      </c>
      <c r="M86" s="951">
        <f t="shared" si="38"/>
        <v>14.797068914677807</v>
      </c>
      <c r="N86" s="951">
        <f t="shared" si="38"/>
        <v>18.559223686234645</v>
      </c>
      <c r="O86" s="951">
        <f t="shared" si="38"/>
        <v>18.622325046767841</v>
      </c>
      <c r="P86" s="951">
        <f t="shared" si="38"/>
        <v>18.685640951926857</v>
      </c>
      <c r="Q86" s="951">
        <f t="shared" si="38"/>
        <v>18.749172131163405</v>
      </c>
      <c r="R86" s="951">
        <f t="shared" si="38"/>
        <v>18.812919316409367</v>
      </c>
      <c r="S86" s="951">
        <f t="shared" si="38"/>
        <v>18.876883242085157</v>
      </c>
      <c r="T86" s="859"/>
    </row>
    <row r="87" spans="1:20">
      <c r="A87" s="859"/>
      <c r="B87" s="751" t="s">
        <v>1070</v>
      </c>
      <c r="C87" s="755"/>
      <c r="D87" s="755"/>
      <c r="E87" s="755"/>
      <c r="F87" s="755"/>
      <c r="G87" s="753"/>
      <c r="H87" s="753">
        <f t="shared" ref="H87:S87" si="39">H77*CHOOSE($C$2,H22,H23,H24)</f>
        <v>0</v>
      </c>
      <c r="I87" s="753">
        <f>I77*CHOOSE($C$2,I22,I23,I24)</f>
        <v>1.8246909694698379</v>
      </c>
      <c r="J87" s="753">
        <f t="shared" si="39"/>
        <v>3.661789837532071</v>
      </c>
      <c r="K87" s="753">
        <f t="shared" si="39"/>
        <v>7.3484798459593597</v>
      </c>
      <c r="L87" s="753">
        <f t="shared" si="39"/>
        <v>11.060197016153433</v>
      </c>
      <c r="M87" s="753">
        <f t="shared" si="39"/>
        <v>14.797068914677807</v>
      </c>
      <c r="N87" s="753">
        <f t="shared" si="39"/>
        <v>18.559223686234645</v>
      </c>
      <c r="O87" s="753">
        <f t="shared" si="39"/>
        <v>18.622325046767841</v>
      </c>
      <c r="P87" s="753">
        <f t="shared" si="39"/>
        <v>18.685640951926857</v>
      </c>
      <c r="Q87" s="753">
        <f t="shared" si="39"/>
        <v>18.749172131163405</v>
      </c>
      <c r="R87" s="753">
        <f t="shared" si="39"/>
        <v>18.812919316409367</v>
      </c>
      <c r="S87" s="753">
        <f t="shared" si="39"/>
        <v>18.876883242085157</v>
      </c>
      <c r="T87" s="859"/>
    </row>
    <row r="88" spans="1:20">
      <c r="A88" s="859"/>
      <c r="B88" s="751" t="s">
        <v>1071</v>
      </c>
      <c r="C88" s="755"/>
      <c r="D88" s="755"/>
      <c r="E88" s="755"/>
      <c r="F88" s="755"/>
      <c r="G88" s="753"/>
      <c r="H88" s="753">
        <f t="shared" ref="H88:S88" si="40">H83*CHOOSE($C$2,H32,H33,H34)</f>
        <v>0</v>
      </c>
      <c r="I88" s="753">
        <f>I83*CHOOSE($C$2,I32,I33,I34)</f>
        <v>0.63864183931444352</v>
      </c>
      <c r="J88" s="753">
        <f t="shared" si="40"/>
        <v>0.9612198323521689</v>
      </c>
      <c r="K88" s="753">
        <f t="shared" si="40"/>
        <v>1.4467319696732495</v>
      </c>
      <c r="L88" s="753">
        <f t="shared" si="40"/>
        <v>2.1774762875552081</v>
      </c>
      <c r="M88" s="753">
        <f t="shared" si="40"/>
        <v>3.2773195603993437</v>
      </c>
      <c r="N88" s="753">
        <f t="shared" si="40"/>
        <v>3.2884624469047008</v>
      </c>
      <c r="O88" s="753">
        <f t="shared" si="40"/>
        <v>3.2996432192241776</v>
      </c>
      <c r="P88" s="753">
        <f t="shared" si="40"/>
        <v>3.3108620061695402</v>
      </c>
      <c r="Q88" s="753">
        <f t="shared" si="40"/>
        <v>3.3221189369905169</v>
      </c>
      <c r="R88" s="753">
        <f t="shared" si="40"/>
        <v>3.3334141413762852</v>
      </c>
      <c r="S88" s="753">
        <f t="shared" si="40"/>
        <v>3.3447477494569644</v>
      </c>
      <c r="T88" s="859"/>
    </row>
    <row r="89" spans="1:20">
      <c r="A89" s="859"/>
      <c r="B89" s="751"/>
      <c r="C89" s="751"/>
      <c r="D89" s="751"/>
      <c r="E89" s="751"/>
      <c r="F89" s="751"/>
      <c r="G89" s="753"/>
      <c r="H89" s="753"/>
      <c r="I89" s="753"/>
      <c r="J89" s="753"/>
      <c r="K89" s="753"/>
      <c r="L89" s="753"/>
      <c r="M89" s="753"/>
      <c r="N89" s="753"/>
      <c r="O89" s="753"/>
      <c r="P89" s="753"/>
      <c r="Q89" s="753"/>
      <c r="R89" s="753"/>
      <c r="S89" s="753"/>
      <c r="T89" s="859"/>
    </row>
    <row r="90" spans="1:20">
      <c r="A90" s="859"/>
      <c r="B90" s="932" t="s">
        <v>1082</v>
      </c>
      <c r="C90" s="933"/>
      <c r="D90" s="933"/>
      <c r="E90" s="933"/>
      <c r="F90" s="933"/>
      <c r="G90" s="952"/>
      <c r="H90" s="952">
        <f>H88+H87+H86</f>
        <v>0</v>
      </c>
      <c r="I90" s="952">
        <f>I88+I87+I86</f>
        <v>4.2880237782541197</v>
      </c>
      <c r="J90" s="952">
        <f t="shared" ref="J90:S90" si="41">J88+J87+J86</f>
        <v>8.2847995074163112</v>
      </c>
      <c r="K90" s="952">
        <f t="shared" si="41"/>
        <v>16.143691661591969</v>
      </c>
      <c r="L90" s="952">
        <f t="shared" si="41"/>
        <v>24.297870319862074</v>
      </c>
      <c r="M90" s="952">
        <f t="shared" si="41"/>
        <v>32.871457389754958</v>
      </c>
      <c r="N90" s="952">
        <f t="shared" si="41"/>
        <v>40.406909819373993</v>
      </c>
      <c r="O90" s="952">
        <f t="shared" si="41"/>
        <v>40.544293312759862</v>
      </c>
      <c r="P90" s="952">
        <f t="shared" si="41"/>
        <v>40.682143910023257</v>
      </c>
      <c r="Q90" s="952">
        <f t="shared" si="41"/>
        <v>40.820463199317331</v>
      </c>
      <c r="R90" s="952">
        <f t="shared" si="41"/>
        <v>40.959252774195022</v>
      </c>
      <c r="S90" s="952">
        <f t="shared" si="41"/>
        <v>41.098514233627277</v>
      </c>
      <c r="T90" s="859"/>
    </row>
    <row r="91" spans="1:20">
      <c r="A91" s="859"/>
      <c r="B91" s="859"/>
      <c r="C91" s="859"/>
      <c r="D91" s="859"/>
      <c r="E91" s="859"/>
      <c r="F91" s="859"/>
      <c r="G91" s="859"/>
      <c r="H91" s="859"/>
      <c r="I91" s="859"/>
      <c r="J91" s="859"/>
      <c r="K91" s="859"/>
      <c r="L91" s="859"/>
      <c r="M91" s="859"/>
      <c r="N91" s="859"/>
      <c r="O91" s="859"/>
      <c r="P91" s="859"/>
      <c r="Q91" s="859"/>
      <c r="R91" s="859"/>
      <c r="S91" s="859"/>
      <c r="T91" s="859"/>
    </row>
    <row r="92" spans="1:20" ht="15.75">
      <c r="A92" s="859"/>
      <c r="B92" s="930" t="s">
        <v>1073</v>
      </c>
      <c r="C92" s="859"/>
      <c r="D92" s="859"/>
      <c r="E92" s="859"/>
      <c r="F92" s="859"/>
      <c r="G92" s="859"/>
      <c r="H92" s="859"/>
      <c r="I92" s="859"/>
      <c r="J92" s="859"/>
      <c r="K92" s="859"/>
      <c r="L92" s="859"/>
      <c r="M92" s="859"/>
      <c r="N92" s="859"/>
      <c r="O92" s="859"/>
      <c r="P92" s="859"/>
      <c r="Q92" s="859"/>
      <c r="R92" s="859"/>
      <c r="S92" s="859"/>
      <c r="T92" s="859"/>
    </row>
    <row r="93" spans="1:20">
      <c r="A93" s="859"/>
      <c r="B93" s="935" t="s">
        <v>1074</v>
      </c>
      <c r="C93" s="863"/>
      <c r="D93" s="863"/>
      <c r="E93" s="863"/>
      <c r="F93" s="863"/>
      <c r="G93" s="953"/>
      <c r="H93" s="953">
        <f>50%*H59</f>
        <v>1.5</v>
      </c>
      <c r="I93" s="937">
        <f t="shared" ref="I93:S93" si="42">H93*(1+I94)</f>
        <v>1.5</v>
      </c>
      <c r="J93" s="937">
        <f t="shared" si="42"/>
        <v>1.5</v>
      </c>
      <c r="K93" s="937">
        <f t="shared" si="42"/>
        <v>1.5</v>
      </c>
      <c r="L93" s="937">
        <f t="shared" si="42"/>
        <v>1.5</v>
      </c>
      <c r="M93" s="937">
        <f t="shared" si="42"/>
        <v>1.5</v>
      </c>
      <c r="N93" s="937">
        <f t="shared" si="42"/>
        <v>1.5</v>
      </c>
      <c r="O93" s="937">
        <f t="shared" si="42"/>
        <v>1.5</v>
      </c>
      <c r="P93" s="937">
        <f t="shared" si="42"/>
        <v>1.5</v>
      </c>
      <c r="Q93" s="937">
        <f t="shared" si="42"/>
        <v>1.5</v>
      </c>
      <c r="R93" s="937">
        <f t="shared" si="42"/>
        <v>1.5</v>
      </c>
      <c r="S93" s="937">
        <f t="shared" si="42"/>
        <v>1.5</v>
      </c>
      <c r="T93" s="859"/>
    </row>
    <row r="94" spans="1:20">
      <c r="A94" s="859"/>
      <c r="B94" s="938" t="s">
        <v>1075</v>
      </c>
      <c r="C94" s="939"/>
      <c r="D94" s="939"/>
      <c r="E94" s="939"/>
      <c r="F94" s="939"/>
      <c r="G94" s="939"/>
      <c r="H94" s="940"/>
      <c r="I94" s="940">
        <v>0</v>
      </c>
      <c r="J94" s="941">
        <f t="shared" ref="J94:S94" si="43">I94</f>
        <v>0</v>
      </c>
      <c r="K94" s="941">
        <f t="shared" si="43"/>
        <v>0</v>
      </c>
      <c r="L94" s="941">
        <f t="shared" si="43"/>
        <v>0</v>
      </c>
      <c r="M94" s="941">
        <f t="shared" si="43"/>
        <v>0</v>
      </c>
      <c r="N94" s="941">
        <f t="shared" si="43"/>
        <v>0</v>
      </c>
      <c r="O94" s="941">
        <f t="shared" si="43"/>
        <v>0</v>
      </c>
      <c r="P94" s="941">
        <f t="shared" si="43"/>
        <v>0</v>
      </c>
      <c r="Q94" s="941">
        <f t="shared" si="43"/>
        <v>0</v>
      </c>
      <c r="R94" s="941">
        <f t="shared" si="43"/>
        <v>0</v>
      </c>
      <c r="S94" s="941">
        <f t="shared" si="43"/>
        <v>0</v>
      </c>
      <c r="T94" s="859"/>
    </row>
    <row r="95" spans="1:20">
      <c r="A95" s="859"/>
      <c r="B95" s="942" t="s">
        <v>1077</v>
      </c>
      <c r="C95" s="752"/>
      <c r="D95" s="752"/>
      <c r="E95" s="752"/>
      <c r="F95" s="752"/>
      <c r="G95" s="943"/>
      <c r="H95" s="943">
        <f t="shared" ref="H95:S95" si="44">H93*12</f>
        <v>18</v>
      </c>
      <c r="I95" s="943">
        <f>I93*12</f>
        <v>18</v>
      </c>
      <c r="J95" s="943">
        <f t="shared" si="44"/>
        <v>18</v>
      </c>
      <c r="K95" s="943">
        <f t="shared" si="44"/>
        <v>18</v>
      </c>
      <c r="L95" s="943">
        <f t="shared" si="44"/>
        <v>18</v>
      </c>
      <c r="M95" s="943">
        <f t="shared" si="44"/>
        <v>18</v>
      </c>
      <c r="N95" s="943">
        <f t="shared" si="44"/>
        <v>18</v>
      </c>
      <c r="O95" s="943">
        <f t="shared" si="44"/>
        <v>18</v>
      </c>
      <c r="P95" s="943">
        <f t="shared" si="44"/>
        <v>18</v>
      </c>
      <c r="Q95" s="943">
        <f t="shared" si="44"/>
        <v>18</v>
      </c>
      <c r="R95" s="943">
        <f t="shared" si="44"/>
        <v>18</v>
      </c>
      <c r="S95" s="943">
        <f t="shared" si="44"/>
        <v>18</v>
      </c>
      <c r="T95" s="859"/>
    </row>
    <row r="96" spans="1:20">
      <c r="A96" s="859"/>
      <c r="B96" s="859"/>
      <c r="C96" s="859"/>
      <c r="D96" s="859"/>
      <c r="E96" s="859"/>
      <c r="F96" s="859"/>
      <c r="G96" s="859"/>
      <c r="H96" s="859"/>
      <c r="I96" s="859"/>
      <c r="J96" s="859"/>
      <c r="K96" s="859"/>
      <c r="L96" s="859"/>
      <c r="M96" s="859"/>
      <c r="N96" s="859"/>
      <c r="O96" s="859"/>
      <c r="P96" s="859"/>
      <c r="Q96" s="859"/>
      <c r="R96" s="859"/>
      <c r="S96" s="859"/>
      <c r="T96" s="859"/>
    </row>
    <row r="97" spans="1:20" ht="15.75">
      <c r="A97" s="859"/>
      <c r="B97" s="944" t="s">
        <v>1078</v>
      </c>
      <c r="C97" s="752"/>
      <c r="D97" s="752"/>
      <c r="E97" s="752"/>
      <c r="F97" s="752"/>
      <c r="G97" s="752"/>
      <c r="H97" s="752"/>
      <c r="I97" s="752"/>
      <c r="J97" s="752"/>
      <c r="K97" s="752"/>
      <c r="L97" s="752"/>
      <c r="M97" s="752"/>
      <c r="N97" s="752"/>
      <c r="O97" s="752"/>
      <c r="P97" s="752"/>
      <c r="Q97" s="752"/>
      <c r="R97" s="752"/>
      <c r="S97" s="752"/>
      <c r="T97" s="859"/>
    </row>
    <row r="98" spans="1:20">
      <c r="A98" s="859"/>
      <c r="B98" s="863" t="s">
        <v>1069</v>
      </c>
      <c r="C98" s="859"/>
      <c r="D98" s="859"/>
      <c r="E98" s="859"/>
      <c r="F98" s="859"/>
      <c r="G98" s="945"/>
      <c r="H98" s="945">
        <f t="shared" ref="H98:S98" si="45">H95*H86</f>
        <v>0</v>
      </c>
      <c r="I98" s="945">
        <f t="shared" si="45"/>
        <v>32.844437450457079</v>
      </c>
      <c r="J98" s="945">
        <f t="shared" si="45"/>
        <v>65.912217075577274</v>
      </c>
      <c r="K98" s="945">
        <f t="shared" si="45"/>
        <v>132.27263722726846</v>
      </c>
      <c r="L98" s="945">
        <f t="shared" si="45"/>
        <v>199.0835462907618</v>
      </c>
      <c r="M98" s="945">
        <f t="shared" si="45"/>
        <v>266.34724046420052</v>
      </c>
      <c r="N98" s="945">
        <f t="shared" si="45"/>
        <v>334.06602635222362</v>
      </c>
      <c r="O98" s="945">
        <f t="shared" si="45"/>
        <v>335.20185084182117</v>
      </c>
      <c r="P98" s="945">
        <f t="shared" si="45"/>
        <v>336.34153713468345</v>
      </c>
      <c r="Q98" s="945">
        <f t="shared" si="45"/>
        <v>337.48509836094127</v>
      </c>
      <c r="R98" s="945">
        <f t="shared" si="45"/>
        <v>338.6325476953686</v>
      </c>
      <c r="S98" s="945">
        <f t="shared" si="45"/>
        <v>339.78389835753285</v>
      </c>
      <c r="T98" s="859"/>
    </row>
    <row r="99" spans="1:20">
      <c r="A99" s="859"/>
      <c r="B99" s="751" t="s">
        <v>1070</v>
      </c>
      <c r="C99" s="859"/>
      <c r="D99" s="859"/>
      <c r="E99" s="859"/>
      <c r="F99" s="859"/>
      <c r="G99" s="945"/>
      <c r="H99" s="945">
        <f t="shared" ref="H99:S99" si="46">H95*H87</f>
        <v>0</v>
      </c>
      <c r="I99" s="945">
        <f>I95*I87</f>
        <v>32.844437450457079</v>
      </c>
      <c r="J99" s="945">
        <f t="shared" si="46"/>
        <v>65.912217075577274</v>
      </c>
      <c r="K99" s="945">
        <f t="shared" si="46"/>
        <v>132.27263722726846</v>
      </c>
      <c r="L99" s="945">
        <f t="shared" si="46"/>
        <v>199.0835462907618</v>
      </c>
      <c r="M99" s="945">
        <f t="shared" si="46"/>
        <v>266.34724046420052</v>
      </c>
      <c r="N99" s="945">
        <f t="shared" si="46"/>
        <v>334.06602635222362</v>
      </c>
      <c r="O99" s="945">
        <f t="shared" si="46"/>
        <v>335.20185084182117</v>
      </c>
      <c r="P99" s="945">
        <f t="shared" si="46"/>
        <v>336.34153713468345</v>
      </c>
      <c r="Q99" s="945">
        <f t="shared" si="46"/>
        <v>337.48509836094127</v>
      </c>
      <c r="R99" s="945">
        <f t="shared" si="46"/>
        <v>338.6325476953686</v>
      </c>
      <c r="S99" s="945">
        <f t="shared" si="46"/>
        <v>339.78389835753285</v>
      </c>
      <c r="T99" s="859"/>
    </row>
    <row r="100" spans="1:20">
      <c r="A100" s="859"/>
      <c r="B100" s="752" t="s">
        <v>1071</v>
      </c>
      <c r="C100" s="752"/>
      <c r="D100" s="752"/>
      <c r="E100" s="752"/>
      <c r="F100" s="752"/>
      <c r="G100" s="943"/>
      <c r="H100" s="943">
        <f t="shared" ref="H100:S100" si="47">H95*H88</f>
        <v>0</v>
      </c>
      <c r="I100" s="943">
        <f t="shared" si="47"/>
        <v>11.495553107659983</v>
      </c>
      <c r="J100" s="943">
        <f t="shared" si="47"/>
        <v>17.301956982339039</v>
      </c>
      <c r="K100" s="943">
        <f t="shared" si="47"/>
        <v>26.041175454118491</v>
      </c>
      <c r="L100" s="943">
        <f t="shared" si="47"/>
        <v>39.194573175993746</v>
      </c>
      <c r="M100" s="943">
        <f t="shared" si="47"/>
        <v>58.991752087188189</v>
      </c>
      <c r="N100" s="943">
        <f t="shared" si="47"/>
        <v>59.192324044284618</v>
      </c>
      <c r="O100" s="943">
        <f t="shared" si="47"/>
        <v>59.393577946035194</v>
      </c>
      <c r="P100" s="943">
        <f t="shared" si="47"/>
        <v>59.595516111051722</v>
      </c>
      <c r="Q100" s="943">
        <f t="shared" si="47"/>
        <v>59.798140865829303</v>
      </c>
      <c r="R100" s="943">
        <f t="shared" si="47"/>
        <v>60.001454544773132</v>
      </c>
      <c r="S100" s="943">
        <f t="shared" si="47"/>
        <v>60.205459490225358</v>
      </c>
      <c r="T100" s="859"/>
    </row>
    <row r="101" spans="1:20">
      <c r="A101" s="859"/>
      <c r="B101" s="751"/>
      <c r="C101" s="859"/>
      <c r="D101" s="859"/>
      <c r="E101" s="859"/>
      <c r="F101" s="859"/>
      <c r="G101" s="859"/>
      <c r="H101" s="859"/>
      <c r="I101" s="859"/>
      <c r="J101" s="859"/>
      <c r="K101" s="859"/>
      <c r="L101" s="859"/>
      <c r="M101" s="859"/>
      <c r="N101" s="859"/>
      <c r="O101" s="859"/>
      <c r="P101" s="859"/>
      <c r="Q101" s="859"/>
      <c r="R101" s="859"/>
      <c r="S101" s="859"/>
      <c r="T101" s="859"/>
    </row>
    <row r="102" spans="1:20">
      <c r="A102" s="859"/>
      <c r="B102" s="946" t="s">
        <v>1083</v>
      </c>
      <c r="C102" s="947"/>
      <c r="D102" s="947"/>
      <c r="E102" s="947"/>
      <c r="F102" s="947"/>
      <c r="G102" s="948"/>
      <c r="H102" s="948">
        <f t="shared" ref="H102:S102" si="48">SUM(H98:H100)</f>
        <v>0</v>
      </c>
      <c r="I102" s="948">
        <f>SUM(I98:I100)</f>
        <v>77.184428008574145</v>
      </c>
      <c r="J102" s="948">
        <f t="shared" si="48"/>
        <v>149.1263911334936</v>
      </c>
      <c r="K102" s="948">
        <f t="shared" si="48"/>
        <v>290.58644990865542</v>
      </c>
      <c r="L102" s="948">
        <f t="shared" si="48"/>
        <v>437.36166575751736</v>
      </c>
      <c r="M102" s="948">
        <f t="shared" si="48"/>
        <v>591.68623301558921</v>
      </c>
      <c r="N102" s="948">
        <f t="shared" si="48"/>
        <v>727.32437674873188</v>
      </c>
      <c r="O102" s="948">
        <f t="shared" si="48"/>
        <v>729.79727962967752</v>
      </c>
      <c r="P102" s="948">
        <f t="shared" si="48"/>
        <v>732.27859038041856</v>
      </c>
      <c r="Q102" s="948">
        <f t="shared" si="48"/>
        <v>734.76833758771181</v>
      </c>
      <c r="R102" s="948">
        <f t="shared" si="48"/>
        <v>737.26654993551028</v>
      </c>
      <c r="S102" s="949">
        <f t="shared" si="48"/>
        <v>739.77325620529109</v>
      </c>
      <c r="T102" s="859"/>
    </row>
    <row r="103" spans="1:20">
      <c r="A103" s="859"/>
      <c r="B103" s="751"/>
      <c r="C103" s="751"/>
      <c r="D103" s="751"/>
      <c r="E103" s="751"/>
      <c r="F103" s="751"/>
      <c r="G103" s="751"/>
      <c r="H103" s="751"/>
      <c r="I103" s="751"/>
      <c r="J103" s="751"/>
      <c r="K103" s="751"/>
      <c r="L103" s="751"/>
      <c r="M103" s="751"/>
      <c r="N103" s="751"/>
      <c r="O103" s="751"/>
      <c r="P103" s="751"/>
      <c r="Q103" s="751"/>
      <c r="R103" s="751"/>
      <c r="S103" s="751"/>
      <c r="T103" s="859"/>
    </row>
    <row r="104" spans="1:20">
      <c r="A104" s="859"/>
      <c r="B104" s="946" t="s">
        <v>1084</v>
      </c>
      <c r="C104" s="947"/>
      <c r="D104" s="947"/>
      <c r="E104" s="947"/>
      <c r="F104" s="947"/>
      <c r="G104" s="948"/>
      <c r="H104" s="948">
        <f>H102+H69</f>
        <v>145.20155016078681</v>
      </c>
      <c r="I104" s="948">
        <f>I102+I69</f>
        <v>375.62461949522833</v>
      </c>
      <c r="J104" s="948">
        <f t="shared" ref="J104:R104" si="49">J102+J69</f>
        <v>767.76838982208221</v>
      </c>
      <c r="K104" s="948">
        <f t="shared" si="49"/>
        <v>1281.1127132689155</v>
      </c>
      <c r="L104" s="948">
        <f t="shared" si="49"/>
        <v>1862.8969912513016</v>
      </c>
      <c r="M104" s="948">
        <f t="shared" si="49"/>
        <v>2455.8149718417631</v>
      </c>
      <c r="N104" s="948">
        <f t="shared" si="49"/>
        <v>2717.1326751465667</v>
      </c>
      <c r="O104" s="948">
        <f t="shared" si="49"/>
        <v>2853.7584535054943</v>
      </c>
      <c r="P104" s="948">
        <f t="shared" si="49"/>
        <v>2999.4372265989432</v>
      </c>
      <c r="Q104" s="948">
        <f t="shared" si="49"/>
        <v>3154.7788090600893</v>
      </c>
      <c r="R104" s="948">
        <f t="shared" si="49"/>
        <v>3320.4341273945552</v>
      </c>
      <c r="S104" s="949">
        <f>S102+S69</f>
        <v>3497.097991736624</v>
      </c>
      <c r="T104" s="859"/>
    </row>
    <row r="105" spans="1:20">
      <c r="A105" s="859"/>
      <c r="B105" s="859"/>
      <c r="C105" s="859"/>
      <c r="D105" s="859"/>
      <c r="E105" s="859"/>
      <c r="F105" s="859"/>
      <c r="G105" s="859"/>
      <c r="H105" s="859"/>
      <c r="I105" s="859"/>
      <c r="J105" s="859"/>
      <c r="K105" s="859"/>
      <c r="L105" s="859"/>
      <c r="M105" s="859"/>
      <c r="N105" s="859"/>
      <c r="O105" s="859"/>
      <c r="P105" s="859"/>
      <c r="Q105" s="859"/>
      <c r="R105" s="859"/>
      <c r="S105" s="859"/>
      <c r="T105" s="859"/>
    </row>
    <row r="106" spans="1:20">
      <c r="A106" s="859"/>
      <c r="B106" s="954" t="s">
        <v>1085</v>
      </c>
      <c r="C106" s="858"/>
      <c r="D106" s="858"/>
      <c r="E106" s="955"/>
      <c r="F106" s="955"/>
      <c r="G106" s="955"/>
      <c r="H106" s="956">
        <f>H104*H107</f>
        <v>29.040310032157365</v>
      </c>
      <c r="I106" s="956">
        <f t="shared" ref="I106:R106" si="50">I104*I107</f>
        <v>75.124923899045669</v>
      </c>
      <c r="J106" s="956">
        <f t="shared" si="50"/>
        <v>161.23136186263727</v>
      </c>
      <c r="K106" s="956">
        <f t="shared" si="50"/>
        <v>281.84479691916147</v>
      </c>
      <c r="L106" s="956">
        <f t="shared" si="50"/>
        <v>428.46630798779944</v>
      </c>
      <c r="M106" s="956">
        <f t="shared" si="50"/>
        <v>564.83744352360554</v>
      </c>
      <c r="N106" s="956">
        <f t="shared" si="50"/>
        <v>624.9405152837104</v>
      </c>
      <c r="O106" s="956">
        <f t="shared" si="50"/>
        <v>684.90202884131872</v>
      </c>
      <c r="P106" s="956">
        <f t="shared" si="50"/>
        <v>719.86493438374646</v>
      </c>
      <c r="Q106" s="956">
        <f t="shared" si="50"/>
        <v>757.14691417442157</v>
      </c>
      <c r="R106" s="956">
        <f t="shared" si="50"/>
        <v>830.10853184863902</v>
      </c>
      <c r="S106" s="957">
        <f>S104*S107</f>
        <v>874.27449793415622</v>
      </c>
      <c r="T106" s="859"/>
    </row>
    <row r="107" spans="1:20">
      <c r="A107" s="859"/>
      <c r="B107" s="958" t="s">
        <v>1086</v>
      </c>
      <c r="C107" s="751"/>
      <c r="D107" s="751"/>
      <c r="E107" s="959"/>
      <c r="F107" s="959"/>
      <c r="G107" s="959"/>
      <c r="H107" s="960">
        <v>0.2</v>
      </c>
      <c r="I107" s="961">
        <f>H107</f>
        <v>0.2</v>
      </c>
      <c r="J107" s="962">
        <f>I107+1%</f>
        <v>0.21000000000000002</v>
      </c>
      <c r="K107" s="962">
        <f>J107+1%</f>
        <v>0.22000000000000003</v>
      </c>
      <c r="L107" s="962">
        <f>K107+1%</f>
        <v>0.23000000000000004</v>
      </c>
      <c r="M107" s="961">
        <f>L107</f>
        <v>0.23000000000000004</v>
      </c>
      <c r="N107" s="961">
        <f>M107</f>
        <v>0.23000000000000004</v>
      </c>
      <c r="O107" s="962">
        <f>N107+1%</f>
        <v>0.24000000000000005</v>
      </c>
      <c r="P107" s="961">
        <f>O107</f>
        <v>0.24000000000000005</v>
      </c>
      <c r="Q107" s="961">
        <f>P107</f>
        <v>0.24000000000000005</v>
      </c>
      <c r="R107" s="962">
        <f>Q107+1%</f>
        <v>0.25000000000000006</v>
      </c>
      <c r="S107" s="961">
        <f>R107</f>
        <v>0.25000000000000006</v>
      </c>
      <c r="T107" s="859"/>
    </row>
    <row r="108" spans="1:20">
      <c r="A108" s="859"/>
      <c r="B108" s="859"/>
      <c r="C108" s="859"/>
      <c r="D108" s="859"/>
      <c r="E108" s="963"/>
      <c r="F108" s="963"/>
      <c r="G108" s="963"/>
      <c r="H108" s="963"/>
      <c r="I108" s="963"/>
      <c r="J108" s="964"/>
      <c r="K108" s="859"/>
      <c r="L108" s="859"/>
      <c r="M108" s="859"/>
      <c r="N108" s="859"/>
      <c r="O108" s="859"/>
      <c r="P108" s="859"/>
      <c r="Q108" s="859"/>
      <c r="R108" s="859"/>
      <c r="S108" s="859"/>
      <c r="T108" s="859"/>
    </row>
    <row r="109" spans="1:20" s="859" customFormat="1">
      <c r="B109" s="982" t="s">
        <v>1091</v>
      </c>
      <c r="E109" s="963"/>
      <c r="F109" s="963"/>
      <c r="G109" s="963"/>
      <c r="H109" s="945">
        <f>H69*(1-H107)</f>
        <v>116.16124012862946</v>
      </c>
      <c r="I109" s="945">
        <f t="shared" ref="I109:S109" si="51">I69*(1-I107)</f>
        <v>238.75215318932339</v>
      </c>
      <c r="J109" s="945">
        <f t="shared" si="51"/>
        <v>488.72717896398501</v>
      </c>
      <c r="K109" s="945">
        <f t="shared" si="51"/>
        <v>772.61048542100298</v>
      </c>
      <c r="L109" s="945">
        <f t="shared" si="51"/>
        <v>1097.6622006302139</v>
      </c>
      <c r="M109" s="945">
        <f t="shared" si="51"/>
        <v>1435.3791288961538</v>
      </c>
      <c r="N109" s="945">
        <f t="shared" si="51"/>
        <v>1532.1523897663328</v>
      </c>
      <c r="O109" s="945">
        <f t="shared" si="51"/>
        <v>1614.2104921456207</v>
      </c>
      <c r="P109" s="945">
        <f t="shared" si="51"/>
        <v>1723.0405635260788</v>
      </c>
      <c r="Q109" s="945">
        <f t="shared" si="51"/>
        <v>1839.2079583190068</v>
      </c>
      <c r="R109" s="945">
        <f t="shared" si="51"/>
        <v>1937.3756830942837</v>
      </c>
      <c r="S109" s="945">
        <f t="shared" si="51"/>
        <v>2067.9935516484998</v>
      </c>
    </row>
    <row r="110" spans="1:20" s="859" customFormat="1">
      <c r="B110" s="982" t="s">
        <v>1092</v>
      </c>
      <c r="E110" s="963"/>
      <c r="F110" s="963"/>
      <c r="G110" s="963"/>
      <c r="H110" s="945">
        <f>H102*(1-H107)</f>
        <v>0</v>
      </c>
      <c r="I110" s="945">
        <f t="shared" ref="I110:S110" si="52">I102*(1-I107)</f>
        <v>61.747542406859317</v>
      </c>
      <c r="J110" s="945">
        <f t="shared" si="52"/>
        <v>117.80984899545994</v>
      </c>
      <c r="K110" s="945">
        <f t="shared" si="52"/>
        <v>226.65743092875124</v>
      </c>
      <c r="L110" s="945">
        <f t="shared" si="52"/>
        <v>336.76848263328839</v>
      </c>
      <c r="M110" s="945">
        <f t="shared" si="52"/>
        <v>455.59839942200369</v>
      </c>
      <c r="N110" s="945">
        <f t="shared" si="52"/>
        <v>560.03977009652351</v>
      </c>
      <c r="O110" s="945">
        <f t="shared" si="52"/>
        <v>554.6459325185549</v>
      </c>
      <c r="P110" s="945">
        <f t="shared" si="52"/>
        <v>556.53172868911815</v>
      </c>
      <c r="Q110" s="945">
        <f t="shared" si="52"/>
        <v>558.42393656666093</v>
      </c>
      <c r="R110" s="945">
        <f t="shared" si="52"/>
        <v>552.94991245163271</v>
      </c>
      <c r="S110" s="945">
        <f t="shared" si="52"/>
        <v>554.82994215396832</v>
      </c>
    </row>
    <row r="111" spans="1:20" s="859" customFormat="1" ht="15.75" thickBot="1">
      <c r="B111" s="896" t="s">
        <v>1051</v>
      </c>
      <c r="C111" s="896"/>
      <c r="D111" s="896"/>
      <c r="E111" s="896"/>
      <c r="F111" s="896"/>
      <c r="G111" s="896"/>
      <c r="H111" s="897">
        <f>H109+H110</f>
        <v>116.16124012862946</v>
      </c>
      <c r="I111" s="897">
        <f t="shared" ref="I111:S111" si="53">I109+I110</f>
        <v>300.49969559618273</v>
      </c>
      <c r="J111" s="897">
        <f t="shared" si="53"/>
        <v>606.53702795944491</v>
      </c>
      <c r="K111" s="897">
        <f t="shared" si="53"/>
        <v>999.26791634975416</v>
      </c>
      <c r="L111" s="897">
        <f t="shared" si="53"/>
        <v>1434.4306832635023</v>
      </c>
      <c r="M111" s="897">
        <f t="shared" si="53"/>
        <v>1890.9775283181575</v>
      </c>
      <c r="N111" s="897">
        <f t="shared" si="53"/>
        <v>2092.1921598628564</v>
      </c>
      <c r="O111" s="897">
        <f t="shared" si="53"/>
        <v>2168.8564246641754</v>
      </c>
      <c r="P111" s="897">
        <f t="shared" si="53"/>
        <v>2279.5722922151972</v>
      </c>
      <c r="Q111" s="897">
        <f t="shared" si="53"/>
        <v>2397.6318948856679</v>
      </c>
      <c r="R111" s="897">
        <f t="shared" si="53"/>
        <v>2490.3255955459163</v>
      </c>
      <c r="S111" s="897">
        <f t="shared" si="53"/>
        <v>2622.823493802468</v>
      </c>
    </row>
    <row r="112" spans="1:20">
      <c r="A112" s="859"/>
      <c r="B112" s="859"/>
      <c r="C112" s="859"/>
      <c r="D112" s="859"/>
      <c r="E112" s="963"/>
      <c r="F112" s="963"/>
      <c r="G112" s="963"/>
      <c r="H112" s="963"/>
      <c r="I112" s="963"/>
      <c r="J112" s="964"/>
      <c r="K112" s="859"/>
      <c r="L112" s="859"/>
      <c r="M112" s="859"/>
      <c r="N112" s="859"/>
      <c r="O112" s="859"/>
      <c r="P112" s="859"/>
      <c r="Q112" s="859"/>
      <c r="R112" s="859"/>
      <c r="S112" s="859"/>
      <c r="T112" s="859"/>
    </row>
    <row r="113" spans="1:20">
      <c r="A113" s="859"/>
      <c r="B113" s="967" t="s">
        <v>1087</v>
      </c>
      <c r="C113" s="859"/>
      <c r="D113" s="945"/>
      <c r="E113" s="963"/>
      <c r="F113" s="963"/>
      <c r="G113" s="963"/>
      <c r="H113" s="963"/>
      <c r="I113" s="963"/>
      <c r="J113" s="964"/>
      <c r="K113" s="945"/>
      <c r="L113" s="859"/>
      <c r="M113" s="859"/>
      <c r="N113" s="859"/>
      <c r="O113" s="859"/>
      <c r="P113" s="859"/>
      <c r="Q113" s="859"/>
      <c r="R113" s="859"/>
      <c r="S113" s="945"/>
      <c r="T113" s="859"/>
    </row>
    <row r="114" spans="1:20">
      <c r="A114" s="859"/>
      <c r="B114" s="860" t="s">
        <v>423</v>
      </c>
      <c r="C114" s="863"/>
      <c r="D114" s="968">
        <v>0</v>
      </c>
      <c r="E114" s="969">
        <v>100</v>
      </c>
      <c r="F114" s="969">
        <f>F115</f>
        <v>36.542738</v>
      </c>
      <c r="G114" s="969">
        <f>G115</f>
        <v>89.050909999999988</v>
      </c>
      <c r="H114" s="969">
        <f>H115</f>
        <v>89.050909999999988</v>
      </c>
      <c r="I114" s="969">
        <f>I115</f>
        <v>89.050909999999988</v>
      </c>
      <c r="J114" s="970"/>
      <c r="K114" s="936">
        <v>150</v>
      </c>
      <c r="L114" s="936"/>
      <c r="M114" s="936">
        <v>200</v>
      </c>
      <c r="N114" s="936"/>
      <c r="O114" s="936">
        <v>200</v>
      </c>
      <c r="P114" s="936">
        <v>200</v>
      </c>
      <c r="Q114" s="936">
        <v>200</v>
      </c>
      <c r="R114" s="936">
        <v>200</v>
      </c>
      <c r="S114" s="971">
        <v>200</v>
      </c>
      <c r="T114" s="859"/>
    </row>
    <row r="115" spans="1:20">
      <c r="A115" s="859"/>
      <c r="B115" s="861" t="s">
        <v>424</v>
      </c>
      <c r="C115" s="751"/>
      <c r="D115" s="972">
        <v>0</v>
      </c>
      <c r="E115" s="973">
        <v>100</v>
      </c>
      <c r="F115" s="973">
        <v>36.542738</v>
      </c>
      <c r="G115" s="973">
        <v>89.050909999999988</v>
      </c>
      <c r="H115" s="973">
        <f>G115</f>
        <v>89.050909999999988</v>
      </c>
      <c r="I115" s="973">
        <f>H115</f>
        <v>89.050909999999988</v>
      </c>
      <c r="J115" s="974"/>
      <c r="K115" s="867">
        <v>150</v>
      </c>
      <c r="L115" s="867"/>
      <c r="M115" s="867">
        <v>200</v>
      </c>
      <c r="N115" s="867"/>
      <c r="O115" s="867">
        <v>200</v>
      </c>
      <c r="P115" s="867">
        <v>200</v>
      </c>
      <c r="Q115" s="867">
        <v>200</v>
      </c>
      <c r="R115" s="867">
        <v>200</v>
      </c>
      <c r="S115" s="975">
        <v>200</v>
      </c>
      <c r="T115" s="859"/>
    </row>
    <row r="116" spans="1:20">
      <c r="A116" s="859"/>
      <c r="B116" s="862" t="s">
        <v>425</v>
      </c>
      <c r="C116" s="752"/>
      <c r="D116" s="976">
        <v>0</v>
      </c>
      <c r="E116" s="977">
        <v>0</v>
      </c>
      <c r="F116" s="977">
        <v>0</v>
      </c>
      <c r="G116" s="977">
        <v>0</v>
      </c>
      <c r="H116" s="977">
        <v>0</v>
      </c>
      <c r="I116" s="977">
        <v>0</v>
      </c>
      <c r="J116" s="978"/>
      <c r="K116" s="976">
        <v>0</v>
      </c>
      <c r="L116" s="979"/>
      <c r="M116" s="976">
        <v>0</v>
      </c>
      <c r="N116" s="979"/>
      <c r="O116" s="976">
        <v>0</v>
      </c>
      <c r="P116" s="976">
        <v>0</v>
      </c>
      <c r="Q116" s="976">
        <v>0</v>
      </c>
      <c r="R116" s="976">
        <v>0</v>
      </c>
      <c r="S116" s="980">
        <v>0</v>
      </c>
      <c r="T116" s="859"/>
    </row>
    <row r="117" spans="1:20">
      <c r="A117" s="859"/>
      <c r="B117" s="859"/>
      <c r="C117" s="859"/>
      <c r="D117" s="859"/>
      <c r="E117" s="963"/>
      <c r="F117" s="963"/>
      <c r="G117" s="963"/>
      <c r="H117" s="963"/>
      <c r="I117" s="963"/>
      <c r="J117" s="964"/>
      <c r="K117" s="859"/>
      <c r="L117" s="859"/>
      <c r="M117" s="859"/>
      <c r="N117" s="859"/>
      <c r="O117" s="859"/>
      <c r="P117" s="859"/>
      <c r="Q117" s="859"/>
      <c r="R117" s="859"/>
      <c r="S117" s="859"/>
      <c r="T117" s="859"/>
    </row>
    <row r="118" spans="1:20">
      <c r="A118" s="859"/>
      <c r="B118" s="954" t="s">
        <v>1088</v>
      </c>
      <c r="C118" s="858"/>
      <c r="D118" s="956">
        <f t="shared" ref="D118:S118" si="54">CHOOSE($C$2,D114,D115,D116)</f>
        <v>0</v>
      </c>
      <c r="E118" s="956">
        <f t="shared" si="54"/>
        <v>100</v>
      </c>
      <c r="F118" s="956">
        <f t="shared" si="54"/>
        <v>36.542738</v>
      </c>
      <c r="G118" s="956">
        <f t="shared" si="54"/>
        <v>89.050909999999988</v>
      </c>
      <c r="H118" s="956">
        <f t="shared" si="54"/>
        <v>89.050909999999988</v>
      </c>
      <c r="I118" s="956">
        <f t="shared" si="54"/>
        <v>89.050909999999988</v>
      </c>
      <c r="J118" s="956">
        <f t="shared" si="54"/>
        <v>0</v>
      </c>
      <c r="K118" s="956">
        <f t="shared" si="54"/>
        <v>150</v>
      </c>
      <c r="L118" s="956">
        <f t="shared" si="54"/>
        <v>0</v>
      </c>
      <c r="M118" s="956">
        <f t="shared" si="54"/>
        <v>200</v>
      </c>
      <c r="N118" s="956">
        <f t="shared" si="54"/>
        <v>0</v>
      </c>
      <c r="O118" s="956">
        <f>CHOOSE($C$2,O114,O115,O116)</f>
        <v>200</v>
      </c>
      <c r="P118" s="956">
        <f t="shared" si="54"/>
        <v>200</v>
      </c>
      <c r="Q118" s="956">
        <f t="shared" si="54"/>
        <v>200</v>
      </c>
      <c r="R118" s="956">
        <f t="shared" si="54"/>
        <v>200</v>
      </c>
      <c r="S118" s="957">
        <f t="shared" si="54"/>
        <v>200</v>
      </c>
      <c r="T118" s="859"/>
    </row>
    <row r="119" spans="1:20">
      <c r="A119" s="859"/>
      <c r="B119" s="967"/>
      <c r="C119" s="859"/>
      <c r="D119" s="859"/>
      <c r="E119" s="859"/>
      <c r="F119" s="859"/>
      <c r="G119" s="859"/>
      <c r="H119" s="859"/>
      <c r="I119" s="859"/>
      <c r="J119" s="859"/>
      <c r="K119" s="859"/>
      <c r="L119" s="859"/>
      <c r="M119" s="859"/>
      <c r="N119" s="859"/>
      <c r="O119" s="859"/>
      <c r="P119" s="859"/>
      <c r="Q119" s="859"/>
      <c r="R119" s="859"/>
      <c r="S119" s="945"/>
      <c r="T119" s="859"/>
    </row>
    <row r="120" spans="1:20">
      <c r="A120" s="859"/>
      <c r="B120" s="894" t="s">
        <v>1089</v>
      </c>
      <c r="C120" s="895"/>
      <c r="D120" s="895">
        <v>0</v>
      </c>
      <c r="E120" s="895">
        <v>84.889643463497464</v>
      </c>
      <c r="F120" s="895">
        <v>31.021000000000001</v>
      </c>
      <c r="G120" s="895">
        <v>75.594999999999999</v>
      </c>
      <c r="H120" s="895">
        <v>75.594999999999999</v>
      </c>
      <c r="I120" s="895">
        <v>75.594999999999999</v>
      </c>
      <c r="J120" s="895">
        <v>0</v>
      </c>
      <c r="K120" s="895">
        <v>127.33446519524618</v>
      </c>
      <c r="L120" s="895">
        <v>0</v>
      </c>
      <c r="M120" s="895">
        <v>169.77928692699493</v>
      </c>
      <c r="N120" s="895">
        <v>0</v>
      </c>
      <c r="O120" s="895">
        <v>169.77928692699493</v>
      </c>
      <c r="P120" s="895">
        <v>169.77928692699493</v>
      </c>
      <c r="Q120" s="895">
        <v>169.77928692699493</v>
      </c>
      <c r="R120" s="895">
        <v>169.77928692699493</v>
      </c>
      <c r="S120" s="966">
        <v>169.77928692699493</v>
      </c>
      <c r="T120" s="859"/>
    </row>
    <row r="121" spans="1:20">
      <c r="A121" s="859"/>
      <c r="B121" s="859"/>
      <c r="C121" s="859"/>
      <c r="D121" s="859"/>
      <c r="E121" s="859"/>
      <c r="F121" s="859"/>
      <c r="G121" s="859"/>
      <c r="H121" s="859"/>
      <c r="I121" s="859"/>
      <c r="J121" s="859"/>
      <c r="K121" s="859"/>
      <c r="L121" s="859"/>
      <c r="M121" s="859"/>
      <c r="N121" s="859"/>
      <c r="O121" s="859"/>
      <c r="P121" s="859"/>
      <c r="Q121" s="859"/>
      <c r="R121" s="859"/>
      <c r="S121" s="859"/>
      <c r="T121" s="859"/>
    </row>
    <row r="122" spans="1:20">
      <c r="A122" s="859"/>
      <c r="B122" s="859"/>
      <c r="C122" s="859"/>
      <c r="D122" s="859"/>
      <c r="E122" s="859"/>
      <c r="F122" s="859"/>
      <c r="G122" s="859"/>
      <c r="H122" s="859"/>
      <c r="I122" s="859"/>
      <c r="J122" s="859"/>
      <c r="K122" s="859"/>
      <c r="L122" s="859"/>
      <c r="M122" s="859"/>
      <c r="N122" s="859"/>
      <c r="O122" s="859"/>
      <c r="P122" s="859"/>
      <c r="Q122" s="859"/>
      <c r="R122" s="859"/>
      <c r="S122" s="859"/>
      <c r="T122" s="859"/>
    </row>
    <row r="123" spans="1:20">
      <c r="A123" s="859"/>
      <c r="B123" s="859"/>
      <c r="C123" s="859"/>
      <c r="D123" s="859"/>
      <c r="E123" s="859"/>
      <c r="F123" s="859"/>
      <c r="G123" s="859"/>
      <c r="H123" s="859"/>
      <c r="I123" s="859"/>
      <c r="J123" s="859"/>
      <c r="K123" s="859"/>
      <c r="L123" s="859"/>
      <c r="M123" s="859"/>
      <c r="N123" s="859"/>
      <c r="O123" s="859"/>
      <c r="P123" s="859"/>
      <c r="Q123" s="859"/>
      <c r="R123" s="859"/>
      <c r="S123" s="859"/>
      <c r="T123" s="859"/>
    </row>
    <row r="124" spans="1:20">
      <c r="A124" s="859"/>
      <c r="B124" s="859"/>
      <c r="C124" s="859"/>
      <c r="D124" s="859"/>
      <c r="E124" s="965">
        <f>SUM(E120:S120)</f>
        <v>1488.7058302207133</v>
      </c>
      <c r="F124" s="859"/>
      <c r="G124" s="859"/>
      <c r="H124" s="859"/>
      <c r="I124" s="859"/>
      <c r="J124" s="965"/>
      <c r="K124" s="859"/>
      <c r="L124" s="859"/>
      <c r="M124" s="859"/>
      <c r="N124" s="859"/>
      <c r="O124" s="859"/>
      <c r="P124" s="859"/>
      <c r="Q124" s="859"/>
      <c r="R124" s="859"/>
      <c r="S124" s="859"/>
      <c r="T124" s="859"/>
    </row>
    <row r="125" spans="1:20">
      <c r="A125" s="859"/>
      <c r="B125" s="859"/>
      <c r="C125" s="859"/>
      <c r="D125" s="859"/>
      <c r="E125" s="945">
        <f>1.11*E124</f>
        <v>1652.463471544992</v>
      </c>
      <c r="F125" s="859"/>
      <c r="G125" s="859"/>
      <c r="H125" s="859"/>
      <c r="I125" s="859"/>
      <c r="J125" s="859"/>
      <c r="K125" s="859"/>
      <c r="L125" s="859"/>
      <c r="M125" s="859"/>
      <c r="N125" s="859"/>
      <c r="O125" s="859"/>
      <c r="P125" s="859"/>
      <c r="Q125" s="859"/>
      <c r="R125" s="859"/>
      <c r="S125" s="859"/>
      <c r="T125" s="859"/>
    </row>
    <row r="126" spans="1:20">
      <c r="A126" s="859"/>
      <c r="B126" s="859"/>
      <c r="C126" s="859"/>
      <c r="D126" s="859"/>
      <c r="E126" s="981">
        <f>SUM(E118:S118)</f>
        <v>1753.6954679999999</v>
      </c>
      <c r="F126" s="859"/>
      <c r="G126" s="859"/>
      <c r="H126" s="859"/>
      <c r="I126" s="859"/>
      <c r="J126" s="859"/>
      <c r="K126" s="859"/>
      <c r="L126" s="859"/>
      <c r="M126" s="859"/>
      <c r="N126" s="859"/>
      <c r="O126" s="859"/>
      <c r="P126" s="859"/>
      <c r="Q126" s="859"/>
      <c r="R126" s="859"/>
      <c r="S126" s="859"/>
      <c r="T126" s="859"/>
    </row>
    <row r="127" spans="1:20">
      <c r="A127" s="859"/>
      <c r="B127" s="859"/>
      <c r="C127" s="859"/>
      <c r="D127" s="859"/>
      <c r="E127" s="859"/>
      <c r="F127" s="859"/>
      <c r="G127" s="859"/>
      <c r="H127" s="859"/>
      <c r="I127" s="859"/>
      <c r="J127" s="859"/>
      <c r="K127" s="859"/>
      <c r="L127" s="859"/>
      <c r="M127" s="859"/>
      <c r="N127" s="859"/>
      <c r="O127" s="859"/>
      <c r="P127" s="859"/>
      <c r="Q127" s="859"/>
      <c r="R127" s="859"/>
      <c r="S127" s="859"/>
      <c r="T127" s="859"/>
    </row>
    <row r="128" spans="1:20">
      <c r="A128" s="859"/>
      <c r="B128" s="859"/>
      <c r="C128" s="859"/>
      <c r="D128" s="859"/>
      <c r="E128" s="859"/>
      <c r="F128" s="859"/>
      <c r="G128" s="859"/>
      <c r="H128" s="859"/>
      <c r="I128" s="859"/>
      <c r="J128" s="859"/>
      <c r="K128" s="859"/>
      <c r="L128" s="859"/>
      <c r="M128" s="859"/>
      <c r="N128" s="859"/>
      <c r="O128" s="859"/>
      <c r="P128" s="859"/>
      <c r="Q128" s="859"/>
      <c r="R128" s="859"/>
      <c r="S128" s="859"/>
      <c r="T128" s="859"/>
    </row>
    <row r="129" spans="1:20">
      <c r="A129" s="859"/>
      <c r="B129" s="859"/>
      <c r="C129" s="859"/>
      <c r="D129" s="859"/>
      <c r="E129" s="859"/>
      <c r="F129" s="859"/>
      <c r="G129" s="859"/>
      <c r="H129" s="859"/>
      <c r="I129" s="859"/>
      <c r="J129" s="859"/>
      <c r="K129" s="859"/>
      <c r="L129" s="859"/>
      <c r="M129" s="859"/>
      <c r="N129" s="859"/>
      <c r="O129" s="859"/>
      <c r="P129" s="859"/>
      <c r="Q129" s="859"/>
      <c r="R129" s="859"/>
      <c r="S129" s="859"/>
      <c r="T129" s="859"/>
    </row>
    <row r="130" spans="1:20">
      <c r="A130" s="859"/>
      <c r="B130" s="859"/>
      <c r="C130" s="859"/>
      <c r="D130" s="859"/>
      <c r="E130" s="859"/>
      <c r="F130" s="859"/>
      <c r="G130" s="859"/>
      <c r="H130" s="859"/>
      <c r="I130" s="859"/>
      <c r="J130" s="859"/>
      <c r="K130" s="859"/>
      <c r="L130" s="859"/>
      <c r="M130" s="859"/>
      <c r="N130" s="859"/>
      <c r="O130" s="859"/>
      <c r="P130" s="859"/>
      <c r="Q130" s="859"/>
      <c r="R130" s="859"/>
      <c r="S130" s="859"/>
      <c r="T130" s="859"/>
    </row>
  </sheetData>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3"/>
  <sheetViews>
    <sheetView workbookViewId="0">
      <selection activeCell="B42" sqref="B42"/>
    </sheetView>
  </sheetViews>
  <sheetFormatPr defaultRowHeight="12.75"/>
  <cols>
    <col min="1" max="1" width="29.5703125" style="605" bestFit="1" customWidth="1"/>
    <col min="2" max="2" width="19.85546875" style="1037" customWidth="1"/>
    <col min="3" max="3" width="12" style="605" bestFit="1" customWidth="1"/>
    <col min="4" max="256" width="9.140625" style="605"/>
    <col min="257" max="257" width="29.5703125" style="605" bestFit="1" customWidth="1"/>
    <col min="258" max="258" width="19.85546875" style="605" customWidth="1"/>
    <col min="259" max="259" width="12" style="605" bestFit="1" customWidth="1"/>
    <col min="260" max="512" width="9.140625" style="605"/>
    <col min="513" max="513" width="29.5703125" style="605" bestFit="1" customWidth="1"/>
    <col min="514" max="514" width="19.85546875" style="605" customWidth="1"/>
    <col min="515" max="515" width="12" style="605" bestFit="1" customWidth="1"/>
    <col min="516" max="768" width="9.140625" style="605"/>
    <col min="769" max="769" width="29.5703125" style="605" bestFit="1" customWidth="1"/>
    <col min="770" max="770" width="19.85546875" style="605" customWidth="1"/>
    <col min="771" max="771" width="12" style="605" bestFit="1" customWidth="1"/>
    <col min="772" max="1024" width="9.140625" style="605"/>
    <col min="1025" max="1025" width="29.5703125" style="605" bestFit="1" customWidth="1"/>
    <col min="1026" max="1026" width="19.85546875" style="605" customWidth="1"/>
    <col min="1027" max="1027" width="12" style="605" bestFit="1" customWidth="1"/>
    <col min="1028" max="1280" width="9.140625" style="605"/>
    <col min="1281" max="1281" width="29.5703125" style="605" bestFit="1" customWidth="1"/>
    <col min="1282" max="1282" width="19.85546875" style="605" customWidth="1"/>
    <col min="1283" max="1283" width="12" style="605" bestFit="1" customWidth="1"/>
    <col min="1284" max="1536" width="9.140625" style="605"/>
    <col min="1537" max="1537" width="29.5703125" style="605" bestFit="1" customWidth="1"/>
    <col min="1538" max="1538" width="19.85546875" style="605" customWidth="1"/>
    <col min="1539" max="1539" width="12" style="605" bestFit="1" customWidth="1"/>
    <col min="1540" max="1792" width="9.140625" style="605"/>
    <col min="1793" max="1793" width="29.5703125" style="605" bestFit="1" customWidth="1"/>
    <col min="1794" max="1794" width="19.85546875" style="605" customWidth="1"/>
    <col min="1795" max="1795" width="12" style="605" bestFit="1" customWidth="1"/>
    <col min="1796" max="2048" width="9.140625" style="605"/>
    <col min="2049" max="2049" width="29.5703125" style="605" bestFit="1" customWidth="1"/>
    <col min="2050" max="2050" width="19.85546875" style="605" customWidth="1"/>
    <col min="2051" max="2051" width="12" style="605" bestFit="1" customWidth="1"/>
    <col min="2052" max="2304" width="9.140625" style="605"/>
    <col min="2305" max="2305" width="29.5703125" style="605" bestFit="1" customWidth="1"/>
    <col min="2306" max="2306" width="19.85546875" style="605" customWidth="1"/>
    <col min="2307" max="2307" width="12" style="605" bestFit="1" customWidth="1"/>
    <col min="2308" max="2560" width="9.140625" style="605"/>
    <col min="2561" max="2561" width="29.5703125" style="605" bestFit="1" customWidth="1"/>
    <col min="2562" max="2562" width="19.85546875" style="605" customWidth="1"/>
    <col min="2563" max="2563" width="12" style="605" bestFit="1" customWidth="1"/>
    <col min="2564" max="2816" width="9.140625" style="605"/>
    <col min="2817" max="2817" width="29.5703125" style="605" bestFit="1" customWidth="1"/>
    <col min="2818" max="2818" width="19.85546875" style="605" customWidth="1"/>
    <col min="2819" max="2819" width="12" style="605" bestFit="1" customWidth="1"/>
    <col min="2820" max="3072" width="9.140625" style="605"/>
    <col min="3073" max="3073" width="29.5703125" style="605" bestFit="1" customWidth="1"/>
    <col min="3074" max="3074" width="19.85546875" style="605" customWidth="1"/>
    <col min="3075" max="3075" width="12" style="605" bestFit="1" customWidth="1"/>
    <col min="3076" max="3328" width="9.140625" style="605"/>
    <col min="3329" max="3329" width="29.5703125" style="605" bestFit="1" customWidth="1"/>
    <col min="3330" max="3330" width="19.85546875" style="605" customWidth="1"/>
    <col min="3331" max="3331" width="12" style="605" bestFit="1" customWidth="1"/>
    <col min="3332" max="3584" width="9.140625" style="605"/>
    <col min="3585" max="3585" width="29.5703125" style="605" bestFit="1" customWidth="1"/>
    <col min="3586" max="3586" width="19.85546875" style="605" customWidth="1"/>
    <col min="3587" max="3587" width="12" style="605" bestFit="1" customWidth="1"/>
    <col min="3588" max="3840" width="9.140625" style="605"/>
    <col min="3841" max="3841" width="29.5703125" style="605" bestFit="1" customWidth="1"/>
    <col min="3842" max="3842" width="19.85546875" style="605" customWidth="1"/>
    <col min="3843" max="3843" width="12" style="605" bestFit="1" customWidth="1"/>
    <col min="3844" max="4096" width="9.140625" style="605"/>
    <col min="4097" max="4097" width="29.5703125" style="605" bestFit="1" customWidth="1"/>
    <col min="4098" max="4098" width="19.85546875" style="605" customWidth="1"/>
    <col min="4099" max="4099" width="12" style="605" bestFit="1" customWidth="1"/>
    <col min="4100" max="4352" width="9.140625" style="605"/>
    <col min="4353" max="4353" width="29.5703125" style="605" bestFit="1" customWidth="1"/>
    <col min="4354" max="4354" width="19.85546875" style="605" customWidth="1"/>
    <col min="4355" max="4355" width="12" style="605" bestFit="1" customWidth="1"/>
    <col min="4356" max="4608" width="9.140625" style="605"/>
    <col min="4609" max="4609" width="29.5703125" style="605" bestFit="1" customWidth="1"/>
    <col min="4610" max="4610" width="19.85546875" style="605" customWidth="1"/>
    <col min="4611" max="4611" width="12" style="605" bestFit="1" customWidth="1"/>
    <col min="4612" max="4864" width="9.140625" style="605"/>
    <col min="4865" max="4865" width="29.5703125" style="605" bestFit="1" customWidth="1"/>
    <col min="4866" max="4866" width="19.85546875" style="605" customWidth="1"/>
    <col min="4867" max="4867" width="12" style="605" bestFit="1" customWidth="1"/>
    <col min="4868" max="5120" width="9.140625" style="605"/>
    <col min="5121" max="5121" width="29.5703125" style="605" bestFit="1" customWidth="1"/>
    <col min="5122" max="5122" width="19.85546875" style="605" customWidth="1"/>
    <col min="5123" max="5123" width="12" style="605" bestFit="1" customWidth="1"/>
    <col min="5124" max="5376" width="9.140625" style="605"/>
    <col min="5377" max="5377" width="29.5703125" style="605" bestFit="1" customWidth="1"/>
    <col min="5378" max="5378" width="19.85546875" style="605" customWidth="1"/>
    <col min="5379" max="5379" width="12" style="605" bestFit="1" customWidth="1"/>
    <col min="5380" max="5632" width="9.140625" style="605"/>
    <col min="5633" max="5633" width="29.5703125" style="605" bestFit="1" customWidth="1"/>
    <col min="5634" max="5634" width="19.85546875" style="605" customWidth="1"/>
    <col min="5635" max="5635" width="12" style="605" bestFit="1" customWidth="1"/>
    <col min="5636" max="5888" width="9.140625" style="605"/>
    <col min="5889" max="5889" width="29.5703125" style="605" bestFit="1" customWidth="1"/>
    <col min="5890" max="5890" width="19.85546875" style="605" customWidth="1"/>
    <col min="5891" max="5891" width="12" style="605" bestFit="1" customWidth="1"/>
    <col min="5892" max="6144" width="9.140625" style="605"/>
    <col min="6145" max="6145" width="29.5703125" style="605" bestFit="1" customWidth="1"/>
    <col min="6146" max="6146" width="19.85546875" style="605" customWidth="1"/>
    <col min="6147" max="6147" width="12" style="605" bestFit="1" customWidth="1"/>
    <col min="6148" max="6400" width="9.140625" style="605"/>
    <col min="6401" max="6401" width="29.5703125" style="605" bestFit="1" customWidth="1"/>
    <col min="6402" max="6402" width="19.85546875" style="605" customWidth="1"/>
    <col min="6403" max="6403" width="12" style="605" bestFit="1" customWidth="1"/>
    <col min="6404" max="6656" width="9.140625" style="605"/>
    <col min="6657" max="6657" width="29.5703125" style="605" bestFit="1" customWidth="1"/>
    <col min="6658" max="6658" width="19.85546875" style="605" customWidth="1"/>
    <col min="6659" max="6659" width="12" style="605" bestFit="1" customWidth="1"/>
    <col min="6660" max="6912" width="9.140625" style="605"/>
    <col min="6913" max="6913" width="29.5703125" style="605" bestFit="1" customWidth="1"/>
    <col min="6914" max="6914" width="19.85546875" style="605" customWidth="1"/>
    <col min="6915" max="6915" width="12" style="605" bestFit="1" customWidth="1"/>
    <col min="6916" max="7168" width="9.140625" style="605"/>
    <col min="7169" max="7169" width="29.5703125" style="605" bestFit="1" customWidth="1"/>
    <col min="7170" max="7170" width="19.85546875" style="605" customWidth="1"/>
    <col min="7171" max="7171" width="12" style="605" bestFit="1" customWidth="1"/>
    <col min="7172" max="7424" width="9.140625" style="605"/>
    <col min="7425" max="7425" width="29.5703125" style="605" bestFit="1" customWidth="1"/>
    <col min="7426" max="7426" width="19.85546875" style="605" customWidth="1"/>
    <col min="7427" max="7427" width="12" style="605" bestFit="1" customWidth="1"/>
    <col min="7428" max="7680" width="9.140625" style="605"/>
    <col min="7681" max="7681" width="29.5703125" style="605" bestFit="1" customWidth="1"/>
    <col min="7682" max="7682" width="19.85546875" style="605" customWidth="1"/>
    <col min="7683" max="7683" width="12" style="605" bestFit="1" customWidth="1"/>
    <col min="7684" max="7936" width="9.140625" style="605"/>
    <col min="7937" max="7937" width="29.5703125" style="605" bestFit="1" customWidth="1"/>
    <col min="7938" max="7938" width="19.85546875" style="605" customWidth="1"/>
    <col min="7939" max="7939" width="12" style="605" bestFit="1" customWidth="1"/>
    <col min="7940" max="8192" width="9.140625" style="605"/>
    <col min="8193" max="8193" width="29.5703125" style="605" bestFit="1" customWidth="1"/>
    <col min="8194" max="8194" width="19.85546875" style="605" customWidth="1"/>
    <col min="8195" max="8195" width="12" style="605" bestFit="1" customWidth="1"/>
    <col min="8196" max="8448" width="9.140625" style="605"/>
    <col min="8449" max="8449" width="29.5703125" style="605" bestFit="1" customWidth="1"/>
    <col min="8450" max="8450" width="19.85546875" style="605" customWidth="1"/>
    <col min="8451" max="8451" width="12" style="605" bestFit="1" customWidth="1"/>
    <col min="8452" max="8704" width="9.140625" style="605"/>
    <col min="8705" max="8705" width="29.5703125" style="605" bestFit="1" customWidth="1"/>
    <col min="8706" max="8706" width="19.85546875" style="605" customWidth="1"/>
    <col min="8707" max="8707" width="12" style="605" bestFit="1" customWidth="1"/>
    <col min="8708" max="8960" width="9.140625" style="605"/>
    <col min="8961" max="8961" width="29.5703125" style="605" bestFit="1" customWidth="1"/>
    <col min="8962" max="8962" width="19.85546875" style="605" customWidth="1"/>
    <col min="8963" max="8963" width="12" style="605" bestFit="1" customWidth="1"/>
    <col min="8964" max="9216" width="9.140625" style="605"/>
    <col min="9217" max="9217" width="29.5703125" style="605" bestFit="1" customWidth="1"/>
    <col min="9218" max="9218" width="19.85546875" style="605" customWidth="1"/>
    <col min="9219" max="9219" width="12" style="605" bestFit="1" customWidth="1"/>
    <col min="9220" max="9472" width="9.140625" style="605"/>
    <col min="9473" max="9473" width="29.5703125" style="605" bestFit="1" customWidth="1"/>
    <col min="9474" max="9474" width="19.85546875" style="605" customWidth="1"/>
    <col min="9475" max="9475" width="12" style="605" bestFit="1" customWidth="1"/>
    <col min="9476" max="9728" width="9.140625" style="605"/>
    <col min="9729" max="9729" width="29.5703125" style="605" bestFit="1" customWidth="1"/>
    <col min="9730" max="9730" width="19.85546875" style="605" customWidth="1"/>
    <col min="9731" max="9731" width="12" style="605" bestFit="1" customWidth="1"/>
    <col min="9732" max="9984" width="9.140625" style="605"/>
    <col min="9985" max="9985" width="29.5703125" style="605" bestFit="1" customWidth="1"/>
    <col min="9986" max="9986" width="19.85546875" style="605" customWidth="1"/>
    <col min="9987" max="9987" width="12" style="605" bestFit="1" customWidth="1"/>
    <col min="9988" max="10240" width="9.140625" style="605"/>
    <col min="10241" max="10241" width="29.5703125" style="605" bestFit="1" customWidth="1"/>
    <col min="10242" max="10242" width="19.85546875" style="605" customWidth="1"/>
    <col min="10243" max="10243" width="12" style="605" bestFit="1" customWidth="1"/>
    <col min="10244" max="10496" width="9.140625" style="605"/>
    <col min="10497" max="10497" width="29.5703125" style="605" bestFit="1" customWidth="1"/>
    <col min="10498" max="10498" width="19.85546875" style="605" customWidth="1"/>
    <col min="10499" max="10499" width="12" style="605" bestFit="1" customWidth="1"/>
    <col min="10500" max="10752" width="9.140625" style="605"/>
    <col min="10753" max="10753" width="29.5703125" style="605" bestFit="1" customWidth="1"/>
    <col min="10754" max="10754" width="19.85546875" style="605" customWidth="1"/>
    <col min="10755" max="10755" width="12" style="605" bestFit="1" customWidth="1"/>
    <col min="10756" max="11008" width="9.140625" style="605"/>
    <col min="11009" max="11009" width="29.5703125" style="605" bestFit="1" customWidth="1"/>
    <col min="11010" max="11010" width="19.85546875" style="605" customWidth="1"/>
    <col min="11011" max="11011" width="12" style="605" bestFit="1" customWidth="1"/>
    <col min="11012" max="11264" width="9.140625" style="605"/>
    <col min="11265" max="11265" width="29.5703125" style="605" bestFit="1" customWidth="1"/>
    <col min="11266" max="11266" width="19.85546875" style="605" customWidth="1"/>
    <col min="11267" max="11267" width="12" style="605" bestFit="1" customWidth="1"/>
    <col min="11268" max="11520" width="9.140625" style="605"/>
    <col min="11521" max="11521" width="29.5703125" style="605" bestFit="1" customWidth="1"/>
    <col min="11522" max="11522" width="19.85546875" style="605" customWidth="1"/>
    <col min="11523" max="11523" width="12" style="605" bestFit="1" customWidth="1"/>
    <col min="11524" max="11776" width="9.140625" style="605"/>
    <col min="11777" max="11777" width="29.5703125" style="605" bestFit="1" customWidth="1"/>
    <col min="11778" max="11778" width="19.85546875" style="605" customWidth="1"/>
    <col min="11779" max="11779" width="12" style="605" bestFit="1" customWidth="1"/>
    <col min="11780" max="12032" width="9.140625" style="605"/>
    <col min="12033" max="12033" width="29.5703125" style="605" bestFit="1" customWidth="1"/>
    <col min="12034" max="12034" width="19.85546875" style="605" customWidth="1"/>
    <col min="12035" max="12035" width="12" style="605" bestFit="1" customWidth="1"/>
    <col min="12036" max="12288" width="9.140625" style="605"/>
    <col min="12289" max="12289" width="29.5703125" style="605" bestFit="1" customWidth="1"/>
    <col min="12290" max="12290" width="19.85546875" style="605" customWidth="1"/>
    <col min="12291" max="12291" width="12" style="605" bestFit="1" customWidth="1"/>
    <col min="12292" max="12544" width="9.140625" style="605"/>
    <col min="12545" max="12545" width="29.5703125" style="605" bestFit="1" customWidth="1"/>
    <col min="12546" max="12546" width="19.85546875" style="605" customWidth="1"/>
    <col min="12547" max="12547" width="12" style="605" bestFit="1" customWidth="1"/>
    <col min="12548" max="12800" width="9.140625" style="605"/>
    <col min="12801" max="12801" width="29.5703125" style="605" bestFit="1" customWidth="1"/>
    <col min="12802" max="12802" width="19.85546875" style="605" customWidth="1"/>
    <col min="12803" max="12803" width="12" style="605" bestFit="1" customWidth="1"/>
    <col min="12804" max="13056" width="9.140625" style="605"/>
    <col min="13057" max="13057" width="29.5703125" style="605" bestFit="1" customWidth="1"/>
    <col min="13058" max="13058" width="19.85546875" style="605" customWidth="1"/>
    <col min="13059" max="13059" width="12" style="605" bestFit="1" customWidth="1"/>
    <col min="13060" max="13312" width="9.140625" style="605"/>
    <col min="13313" max="13313" width="29.5703125" style="605" bestFit="1" customWidth="1"/>
    <col min="13314" max="13314" width="19.85546875" style="605" customWidth="1"/>
    <col min="13315" max="13315" width="12" style="605" bestFit="1" customWidth="1"/>
    <col min="13316" max="13568" width="9.140625" style="605"/>
    <col min="13569" max="13569" width="29.5703125" style="605" bestFit="1" customWidth="1"/>
    <col min="13570" max="13570" width="19.85546875" style="605" customWidth="1"/>
    <col min="13571" max="13571" width="12" style="605" bestFit="1" customWidth="1"/>
    <col min="13572" max="13824" width="9.140625" style="605"/>
    <col min="13825" max="13825" width="29.5703125" style="605" bestFit="1" customWidth="1"/>
    <col min="13826" max="13826" width="19.85546875" style="605" customWidth="1"/>
    <col min="13827" max="13827" width="12" style="605" bestFit="1" customWidth="1"/>
    <col min="13828" max="14080" width="9.140625" style="605"/>
    <col min="14081" max="14081" width="29.5703125" style="605" bestFit="1" customWidth="1"/>
    <col min="14082" max="14082" width="19.85546875" style="605" customWidth="1"/>
    <col min="14083" max="14083" width="12" style="605" bestFit="1" customWidth="1"/>
    <col min="14084" max="14336" width="9.140625" style="605"/>
    <col min="14337" max="14337" width="29.5703125" style="605" bestFit="1" customWidth="1"/>
    <col min="14338" max="14338" width="19.85546875" style="605" customWidth="1"/>
    <col min="14339" max="14339" width="12" style="605" bestFit="1" customWidth="1"/>
    <col min="14340" max="14592" width="9.140625" style="605"/>
    <col min="14593" max="14593" width="29.5703125" style="605" bestFit="1" customWidth="1"/>
    <col min="14594" max="14594" width="19.85546875" style="605" customWidth="1"/>
    <col min="14595" max="14595" width="12" style="605" bestFit="1" customWidth="1"/>
    <col min="14596" max="14848" width="9.140625" style="605"/>
    <col min="14849" max="14849" width="29.5703125" style="605" bestFit="1" customWidth="1"/>
    <col min="14850" max="14850" width="19.85546875" style="605" customWidth="1"/>
    <col min="14851" max="14851" width="12" style="605" bestFit="1" customWidth="1"/>
    <col min="14852" max="15104" width="9.140625" style="605"/>
    <col min="15105" max="15105" width="29.5703125" style="605" bestFit="1" customWidth="1"/>
    <col min="15106" max="15106" width="19.85546875" style="605" customWidth="1"/>
    <col min="15107" max="15107" width="12" style="605" bestFit="1" customWidth="1"/>
    <col min="15108" max="15360" width="9.140625" style="605"/>
    <col min="15361" max="15361" width="29.5703125" style="605" bestFit="1" customWidth="1"/>
    <col min="15362" max="15362" width="19.85546875" style="605" customWidth="1"/>
    <col min="15363" max="15363" width="12" style="605" bestFit="1" customWidth="1"/>
    <col min="15364" max="15616" width="9.140625" style="605"/>
    <col min="15617" max="15617" width="29.5703125" style="605" bestFit="1" customWidth="1"/>
    <col min="15618" max="15618" width="19.85546875" style="605" customWidth="1"/>
    <col min="15619" max="15619" width="12" style="605" bestFit="1" customWidth="1"/>
    <col min="15620" max="15872" width="9.140625" style="605"/>
    <col min="15873" max="15873" width="29.5703125" style="605" bestFit="1" customWidth="1"/>
    <col min="15874" max="15874" width="19.85546875" style="605" customWidth="1"/>
    <col min="15875" max="15875" width="12" style="605" bestFit="1" customWidth="1"/>
    <col min="15876" max="16128" width="9.140625" style="605"/>
    <col min="16129" max="16129" width="29.5703125" style="605" bestFit="1" customWidth="1"/>
    <col min="16130" max="16130" width="19.85546875" style="605" customWidth="1"/>
    <col min="16131" max="16131" width="12" style="605" bestFit="1" customWidth="1"/>
    <col min="16132" max="16384" width="9.140625" style="605"/>
  </cols>
  <sheetData>
    <row r="1" spans="1:2">
      <c r="A1" s="605" t="s">
        <v>1422</v>
      </c>
      <c r="B1" s="1036">
        <v>6.1</v>
      </c>
    </row>
    <row r="2" spans="1:2">
      <c r="A2" s="605" t="s">
        <v>1423</v>
      </c>
      <c r="B2" s="1040">
        <v>43203.475069444445</v>
      </c>
    </row>
    <row r="3" spans="1:2">
      <c r="A3" s="605" t="s">
        <v>1424</v>
      </c>
      <c r="B3" s="1037" t="s">
        <v>1119</v>
      </c>
    </row>
    <row r="4" spans="1:2">
      <c r="A4" s="605" t="s">
        <v>1425</v>
      </c>
      <c r="B4" s="1037" t="s">
        <v>1426</v>
      </c>
    </row>
    <row r="5" spans="1:2">
      <c r="A5" s="605" t="s">
        <v>1427</v>
      </c>
      <c r="B5" s="1037" t="s">
        <v>1428</v>
      </c>
    </row>
    <row r="6" spans="1:2">
      <c r="A6" s="605" t="s">
        <v>1429</v>
      </c>
    </row>
    <row r="7" spans="1:2">
      <c r="A7" s="605" t="s">
        <v>1430</v>
      </c>
      <c r="B7" s="1037" t="s">
        <v>680</v>
      </c>
    </row>
    <row r="8" spans="1:2">
      <c r="A8" s="605" t="s">
        <v>1431</v>
      </c>
      <c r="B8" s="1037" t="s">
        <v>1432</v>
      </c>
    </row>
    <row r="9" spans="1:2">
      <c r="A9" s="605" t="s">
        <v>1433</v>
      </c>
      <c r="B9" s="1037" t="s">
        <v>1470</v>
      </c>
    </row>
    <row r="10" spans="1:2">
      <c r="A10" s="605" t="s">
        <v>1434</v>
      </c>
    </row>
    <row r="11" spans="1:2">
      <c r="A11" s="605" t="s">
        <v>1435</v>
      </c>
    </row>
    <row r="12" spans="1:2">
      <c r="A12" s="605" t="s">
        <v>1436</v>
      </c>
    </row>
    <row r="13" spans="1:2">
      <c r="A13" s="605" t="s">
        <v>1437</v>
      </c>
    </row>
    <row r="14" spans="1:2">
      <c r="A14" s="605" t="s">
        <v>1438</v>
      </c>
    </row>
    <row r="15" spans="1:2">
      <c r="A15" s="605" t="s">
        <v>1439</v>
      </c>
    </row>
    <row r="16" spans="1:2">
      <c r="A16" s="605" t="s">
        <v>1440</v>
      </c>
    </row>
    <row r="17" spans="1:4">
      <c r="A17" s="605" t="s">
        <v>1441</v>
      </c>
      <c r="B17" s="1037" t="s">
        <v>1471</v>
      </c>
    </row>
    <row r="18" spans="1:4">
      <c r="A18" s="605" t="s">
        <v>1442</v>
      </c>
      <c r="B18" s="1037" t="s">
        <v>1120</v>
      </c>
    </row>
    <row r="19" spans="1:4">
      <c r="A19" s="605" t="s">
        <v>1443</v>
      </c>
      <c r="B19" s="1037" t="s">
        <v>679</v>
      </c>
    </row>
    <row r="20" spans="1:4">
      <c r="A20" s="605" t="s">
        <v>1444</v>
      </c>
      <c r="B20" s="1038">
        <v>375558103</v>
      </c>
    </row>
    <row r="21" spans="1:4">
      <c r="A21" s="605" t="s">
        <v>1445</v>
      </c>
      <c r="B21" s="1037" t="s">
        <v>679</v>
      </c>
    </row>
    <row r="22" spans="1:4">
      <c r="A22" s="605" t="s">
        <v>1446</v>
      </c>
      <c r="B22" s="1038">
        <v>2369174</v>
      </c>
    </row>
    <row r="23" spans="1:4">
      <c r="A23" s="605" t="s">
        <v>689</v>
      </c>
      <c r="B23" s="1036">
        <v>75.09</v>
      </c>
    </row>
    <row r="24" spans="1:4">
      <c r="A24" s="605" t="s">
        <v>688</v>
      </c>
      <c r="B24" s="1037" t="s">
        <v>678</v>
      </c>
      <c r="D24" s="605" t="s">
        <v>740</v>
      </c>
    </row>
    <row r="25" spans="1:4">
      <c r="A25" s="605" t="s">
        <v>1447</v>
      </c>
      <c r="B25" s="1037" t="s">
        <v>1474</v>
      </c>
    </row>
    <row r="26" spans="1:4">
      <c r="A26" s="605" t="s">
        <v>1448</v>
      </c>
      <c r="B26" s="1037">
        <v>0</v>
      </c>
    </row>
    <row r="27" spans="1:4">
      <c r="A27" s="605" t="s">
        <v>1449</v>
      </c>
      <c r="B27" s="1037" t="s">
        <v>1450</v>
      </c>
    </row>
    <row r="28" spans="1:4">
      <c r="A28" s="605" t="s">
        <v>1451</v>
      </c>
      <c r="B28" s="1037" t="s">
        <v>1452</v>
      </c>
    </row>
    <row r="29" spans="1:4">
      <c r="A29" s="605" t="s">
        <v>1453</v>
      </c>
    </row>
    <row r="30" spans="1:4">
      <c r="A30" s="605" t="s">
        <v>1454</v>
      </c>
    </row>
    <row r="31" spans="1:4">
      <c r="A31" s="605" t="s">
        <v>1455</v>
      </c>
    </row>
    <row r="32" spans="1:4">
      <c r="A32" s="605" t="s">
        <v>1456</v>
      </c>
      <c r="B32" s="1036"/>
    </row>
    <row r="33" spans="1:2">
      <c r="A33" s="605" t="s">
        <v>1457</v>
      </c>
      <c r="B33" s="1036"/>
    </row>
    <row r="34" spans="1:2">
      <c r="A34" s="605" t="s">
        <v>1458</v>
      </c>
      <c r="B34" s="1036"/>
    </row>
    <row r="35" spans="1:2">
      <c r="A35" s="605" t="s">
        <v>1459</v>
      </c>
      <c r="B35" s="1037">
        <v>1000000</v>
      </c>
    </row>
    <row r="36" spans="1:2">
      <c r="A36" s="605" t="s">
        <v>1460</v>
      </c>
      <c r="B36" s="1037" t="s">
        <v>1472</v>
      </c>
    </row>
    <row r="37" spans="1:2">
      <c r="A37" s="605" t="s">
        <v>1461</v>
      </c>
      <c r="B37" s="1037" t="s">
        <v>1462</v>
      </c>
    </row>
    <row r="38" spans="1:2">
      <c r="A38" s="605" t="s">
        <v>1463</v>
      </c>
      <c r="B38" s="1037" t="s">
        <v>1464</v>
      </c>
    </row>
    <row r="39" spans="1:2">
      <c r="A39" s="605" t="s">
        <v>1465</v>
      </c>
      <c r="B39" s="1037" t="s">
        <v>1473</v>
      </c>
    </row>
    <row r="40" spans="1:2">
      <c r="A40" s="605" t="s">
        <v>1466</v>
      </c>
      <c r="B40" s="1037">
        <v>1500004768</v>
      </c>
    </row>
    <row r="41" spans="1:2">
      <c r="A41" s="605" t="s">
        <v>1467</v>
      </c>
      <c r="B41" s="1037">
        <v>1</v>
      </c>
    </row>
    <row r="42" spans="1:2">
      <c r="A42" s="1039" t="s">
        <v>1468</v>
      </c>
    </row>
    <row r="43" spans="1:2">
      <c r="A43" s="605" t="s">
        <v>1469</v>
      </c>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13"/>
  <sheetViews>
    <sheetView workbookViewId="0">
      <selection activeCell="E11" sqref="E11"/>
    </sheetView>
  </sheetViews>
  <sheetFormatPr defaultRowHeight="12.75"/>
  <cols>
    <col min="1" max="1" width="28.5703125" style="605" bestFit="1" customWidth="1"/>
    <col min="2" max="256" width="9.140625" style="605"/>
    <col min="257" max="257" width="28.5703125" style="605" bestFit="1" customWidth="1"/>
    <col min="258" max="512" width="9.140625" style="605"/>
    <col min="513" max="513" width="28.5703125" style="605" bestFit="1" customWidth="1"/>
    <col min="514" max="768" width="9.140625" style="605"/>
    <col min="769" max="769" width="28.5703125" style="605" bestFit="1" customWidth="1"/>
    <col min="770" max="1024" width="9.140625" style="605"/>
    <col min="1025" max="1025" width="28.5703125" style="605" bestFit="1" customWidth="1"/>
    <col min="1026" max="1280" width="9.140625" style="605"/>
    <col min="1281" max="1281" width="28.5703125" style="605" bestFit="1" customWidth="1"/>
    <col min="1282" max="1536" width="9.140625" style="605"/>
    <col min="1537" max="1537" width="28.5703125" style="605" bestFit="1" customWidth="1"/>
    <col min="1538" max="1792" width="9.140625" style="605"/>
    <col min="1793" max="1793" width="28.5703125" style="605" bestFit="1" customWidth="1"/>
    <col min="1794" max="2048" width="9.140625" style="605"/>
    <col min="2049" max="2049" width="28.5703125" style="605" bestFit="1" customWidth="1"/>
    <col min="2050" max="2304" width="9.140625" style="605"/>
    <col min="2305" max="2305" width="28.5703125" style="605" bestFit="1" customWidth="1"/>
    <col min="2306" max="2560" width="9.140625" style="605"/>
    <col min="2561" max="2561" width="28.5703125" style="605" bestFit="1" customWidth="1"/>
    <col min="2562" max="2816" width="9.140625" style="605"/>
    <col min="2817" max="2817" width="28.5703125" style="605" bestFit="1" customWidth="1"/>
    <col min="2818" max="3072" width="9.140625" style="605"/>
    <col min="3073" max="3073" width="28.5703125" style="605" bestFit="1" customWidth="1"/>
    <col min="3074" max="3328" width="9.140625" style="605"/>
    <col min="3329" max="3329" width="28.5703125" style="605" bestFit="1" customWidth="1"/>
    <col min="3330" max="3584" width="9.140625" style="605"/>
    <col min="3585" max="3585" width="28.5703125" style="605" bestFit="1" customWidth="1"/>
    <col min="3586" max="3840" width="9.140625" style="605"/>
    <col min="3841" max="3841" width="28.5703125" style="605" bestFit="1" customWidth="1"/>
    <col min="3842" max="4096" width="9.140625" style="605"/>
    <col min="4097" max="4097" width="28.5703125" style="605" bestFit="1" customWidth="1"/>
    <col min="4098" max="4352" width="9.140625" style="605"/>
    <col min="4353" max="4353" width="28.5703125" style="605" bestFit="1" customWidth="1"/>
    <col min="4354" max="4608" width="9.140625" style="605"/>
    <col min="4609" max="4609" width="28.5703125" style="605" bestFit="1" customWidth="1"/>
    <col min="4610" max="4864" width="9.140625" style="605"/>
    <col min="4865" max="4865" width="28.5703125" style="605" bestFit="1" customWidth="1"/>
    <col min="4866" max="5120" width="9.140625" style="605"/>
    <col min="5121" max="5121" width="28.5703125" style="605" bestFit="1" customWidth="1"/>
    <col min="5122" max="5376" width="9.140625" style="605"/>
    <col min="5377" max="5377" width="28.5703125" style="605" bestFit="1" customWidth="1"/>
    <col min="5378" max="5632" width="9.140625" style="605"/>
    <col min="5633" max="5633" width="28.5703125" style="605" bestFit="1" customWidth="1"/>
    <col min="5634" max="5888" width="9.140625" style="605"/>
    <col min="5889" max="5889" width="28.5703125" style="605" bestFit="1" customWidth="1"/>
    <col min="5890" max="6144" width="9.140625" style="605"/>
    <col min="6145" max="6145" width="28.5703125" style="605" bestFit="1" customWidth="1"/>
    <col min="6146" max="6400" width="9.140625" style="605"/>
    <col min="6401" max="6401" width="28.5703125" style="605" bestFit="1" customWidth="1"/>
    <col min="6402" max="6656" width="9.140625" style="605"/>
    <col min="6657" max="6657" width="28.5703125" style="605" bestFit="1" customWidth="1"/>
    <col min="6658" max="6912" width="9.140625" style="605"/>
    <col min="6913" max="6913" width="28.5703125" style="605" bestFit="1" customWidth="1"/>
    <col min="6914" max="7168" width="9.140625" style="605"/>
    <col min="7169" max="7169" width="28.5703125" style="605" bestFit="1" customWidth="1"/>
    <col min="7170" max="7424" width="9.140625" style="605"/>
    <col min="7425" max="7425" width="28.5703125" style="605" bestFit="1" customWidth="1"/>
    <col min="7426" max="7680" width="9.140625" style="605"/>
    <col min="7681" max="7681" width="28.5703125" style="605" bestFit="1" customWidth="1"/>
    <col min="7682" max="7936" width="9.140625" style="605"/>
    <col min="7937" max="7937" width="28.5703125" style="605" bestFit="1" customWidth="1"/>
    <col min="7938" max="8192" width="9.140625" style="605"/>
    <col min="8193" max="8193" width="28.5703125" style="605" bestFit="1" customWidth="1"/>
    <col min="8194" max="8448" width="9.140625" style="605"/>
    <col min="8449" max="8449" width="28.5703125" style="605" bestFit="1" customWidth="1"/>
    <col min="8450" max="8704" width="9.140625" style="605"/>
    <col min="8705" max="8705" width="28.5703125" style="605" bestFit="1" customWidth="1"/>
    <col min="8706" max="8960" width="9.140625" style="605"/>
    <col min="8961" max="8961" width="28.5703125" style="605" bestFit="1" customWidth="1"/>
    <col min="8962" max="9216" width="9.140625" style="605"/>
    <col min="9217" max="9217" width="28.5703125" style="605" bestFit="1" customWidth="1"/>
    <col min="9218" max="9472" width="9.140625" style="605"/>
    <col min="9473" max="9473" width="28.5703125" style="605" bestFit="1" customWidth="1"/>
    <col min="9474" max="9728" width="9.140625" style="605"/>
    <col min="9729" max="9729" width="28.5703125" style="605" bestFit="1" customWidth="1"/>
    <col min="9730" max="9984" width="9.140625" style="605"/>
    <col min="9985" max="9985" width="28.5703125" style="605" bestFit="1" customWidth="1"/>
    <col min="9986" max="10240" width="9.140625" style="605"/>
    <col min="10241" max="10241" width="28.5703125" style="605" bestFit="1" customWidth="1"/>
    <col min="10242" max="10496" width="9.140625" style="605"/>
    <col min="10497" max="10497" width="28.5703125" style="605" bestFit="1" customWidth="1"/>
    <col min="10498" max="10752" width="9.140625" style="605"/>
    <col min="10753" max="10753" width="28.5703125" style="605" bestFit="1" customWidth="1"/>
    <col min="10754" max="11008" width="9.140625" style="605"/>
    <col min="11009" max="11009" width="28.5703125" style="605" bestFit="1" customWidth="1"/>
    <col min="11010" max="11264" width="9.140625" style="605"/>
    <col min="11265" max="11265" width="28.5703125" style="605" bestFit="1" customWidth="1"/>
    <col min="11266" max="11520" width="9.140625" style="605"/>
    <col min="11521" max="11521" width="28.5703125" style="605" bestFit="1" customWidth="1"/>
    <col min="11522" max="11776" width="9.140625" style="605"/>
    <col min="11777" max="11777" width="28.5703125" style="605" bestFit="1" customWidth="1"/>
    <col min="11778" max="12032" width="9.140625" style="605"/>
    <col min="12033" max="12033" width="28.5703125" style="605" bestFit="1" customWidth="1"/>
    <col min="12034" max="12288" width="9.140625" style="605"/>
    <col min="12289" max="12289" width="28.5703125" style="605" bestFit="1" customWidth="1"/>
    <col min="12290" max="12544" width="9.140625" style="605"/>
    <col min="12545" max="12545" width="28.5703125" style="605" bestFit="1" customWidth="1"/>
    <col min="12546" max="12800" width="9.140625" style="605"/>
    <col min="12801" max="12801" width="28.5703125" style="605" bestFit="1" customWidth="1"/>
    <col min="12802" max="13056" width="9.140625" style="605"/>
    <col min="13057" max="13057" width="28.5703125" style="605" bestFit="1" customWidth="1"/>
    <col min="13058" max="13312" width="9.140625" style="605"/>
    <col min="13313" max="13313" width="28.5703125" style="605" bestFit="1" customWidth="1"/>
    <col min="13314" max="13568" width="9.140625" style="605"/>
    <col min="13569" max="13569" width="28.5703125" style="605" bestFit="1" customWidth="1"/>
    <col min="13570" max="13824" width="9.140625" style="605"/>
    <col min="13825" max="13825" width="28.5703125" style="605" bestFit="1" customWidth="1"/>
    <col min="13826" max="14080" width="9.140625" style="605"/>
    <col min="14081" max="14081" width="28.5703125" style="605" bestFit="1" customWidth="1"/>
    <col min="14082" max="14336" width="9.140625" style="605"/>
    <col min="14337" max="14337" width="28.5703125" style="605" bestFit="1" customWidth="1"/>
    <col min="14338" max="14592" width="9.140625" style="605"/>
    <col min="14593" max="14593" width="28.5703125" style="605" bestFit="1" customWidth="1"/>
    <col min="14594" max="14848" width="9.140625" style="605"/>
    <col min="14849" max="14849" width="28.5703125" style="605" bestFit="1" customWidth="1"/>
    <col min="14850" max="15104" width="9.140625" style="605"/>
    <col min="15105" max="15105" width="28.5703125" style="605" bestFit="1" customWidth="1"/>
    <col min="15106" max="15360" width="9.140625" style="605"/>
    <col min="15361" max="15361" width="28.5703125" style="605" bestFit="1" customWidth="1"/>
    <col min="15362" max="15616" width="9.140625" style="605"/>
    <col min="15617" max="15617" width="28.5703125" style="605" bestFit="1" customWidth="1"/>
    <col min="15618" max="15872" width="9.140625" style="605"/>
    <col min="15873" max="15873" width="28.5703125" style="605" bestFit="1" customWidth="1"/>
    <col min="15874" max="16128" width="9.140625" style="605"/>
    <col min="16129" max="16129" width="28.5703125" style="605" bestFit="1" customWidth="1"/>
    <col min="16130" max="16384" width="9.140625" style="605"/>
  </cols>
  <sheetData>
    <row r="1" spans="1:1">
      <c r="A1" s="1041" t="s">
        <v>1475</v>
      </c>
    </row>
    <row r="2" spans="1:1">
      <c r="A2" s="1041" t="s">
        <v>1480</v>
      </c>
    </row>
    <row r="3" spans="1:1">
      <c r="A3" s="1041" t="s">
        <v>1481</v>
      </c>
    </row>
    <row r="4" spans="1:1">
      <c r="A4" s="1041" t="s">
        <v>1482</v>
      </c>
    </row>
    <row r="5" spans="1:1">
      <c r="A5" s="1041" t="s">
        <v>1483</v>
      </c>
    </row>
    <row r="6" spans="1:1">
      <c r="A6" s="1041" t="s">
        <v>1476</v>
      </c>
    </row>
    <row r="7" spans="1:1">
      <c r="A7" s="1041" t="s">
        <v>1484</v>
      </c>
    </row>
    <row r="8" spans="1:1">
      <c r="A8" s="1041" t="s">
        <v>1485</v>
      </c>
    </row>
    <row r="9" spans="1:1">
      <c r="A9" s="1041" t="s">
        <v>1486</v>
      </c>
    </row>
    <row r="10" spans="1:1">
      <c r="A10" s="1041" t="s">
        <v>1477</v>
      </c>
    </row>
    <row r="11" spans="1:1">
      <c r="A11" s="1041" t="s">
        <v>1487</v>
      </c>
    </row>
    <row r="12" spans="1:1">
      <c r="A12" s="1041" t="s">
        <v>1478</v>
      </c>
    </row>
    <row r="13" spans="1:1">
      <c r="A13" s="1041" t="s">
        <v>1479</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3ebc0a2a-f6aa-4855-bd87-d5b2645b3577</GUID>
    <SOURCE_ALTADDRESS>$B$2:$O$50</SOURCE_ALTADDRESS>
    <SOURCETYPE>Table</SOURCETYPE>
    <SOURCE_OBJECTNAME>Linking_Range_19</SOURCE_OBJECTNAME>
    <OBJECTTYPE>Native</OBJECTTYPE>
    <SOURCE_SHEETCODE>Sheet18</SOURCE_SHEETCODE>
    <SOURCE_SHEETNAME>Variance</SOURCE_SHEETNAME>
    <SOURCEAPPLICATION>EXCEL_SOURCE</SOURCEAPPLICATION>
    <UPDATEDAT>2/3/2015 7:35:10 PM</UPDATEDAT>
    <SOURCE_ISOUTOFDATE>False</SOURCE_ISOUTOFDATE>
    <SOURCE_WORKBOOKNAME>GILD_MH.xlsm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/MSResearch/Content/ExternalAssets/2015-02/Images/hWXnSXr4YUq_pm737dYFw--.png</TARGET_BINARYFULLNAME>
    <TARGET_STORYFULLNAME>/MSResearch/Content/ExternalAssets/2015-02/Sections/20150203_073507_Linking_Range_19.xml</TARGET_STORYFULLNAME>
    <TARGET_UUID>ab6f2f8c-ac05-11e4-946e-d93333148876</TARGET_UUID>
  </Link>
  <Link>
    <GUID>e16114d0-bd6d-4b44-b442-cca98f2c3e19</GUID>
    <SOURCE_ALTADDRESS>$B$1:$CT$88</SOURCE_ALTADDRESS>
    <SOURCETYPE>Table</SOURCETYPE>
    <SOURCE_OBJECTNAME>Linking_Range_20</SOURCE_OBJECTNAME>
    <OBJECTTYPE>Native</OBJECTTYPE>
    <SOURCE_SHEETCODE>Sheet5</SOURCE_SHEETCODE>
    <SOURCE_SHEETNAME>REVS</SOURCE_SHEETNAME>
    <SOURCEAPPLICATION>EXCEL_SOURCE</SOURCEAPPLICATION>
    <UPDATEDAT>2/10/2015 5:53:07 PM</UPDATEDAT>
    <SOURCE_ISOUTOFDATE>False</SOURCE_ISOUTOFDATE>
    <SOURCE_WORKBOOKNAME>GILD_MH.xlsm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/MSResearch/Content/ExternalAssets/2015-02/Images/vxI6saza3yxo_tmjSXLhA--.png</TARGET_BINARYFULLNAME>
    <TARGET_STORYFULLNAME>/MSResearch/Content/ExternalAssets/2015-02/Sections/20150203_073802_Linking_Range_2.xml</TARGET_STORYFULLNAME>
    <TARGET_UUID>141cd78c-ac06-11e4-946e-d93333148876</TARGET_UUID>
    <TRANSPARENTBACKGROUND>False</TRANSPARENTBACKGROUND>
    <TRANSPARENTPLOTAREA>False</TRANSPARENTPLOTAREA>
  </Link>
  <Link>
    <GUID>64046bd5-b725-467b-ba61-a882c5751bca</GUID>
    <SOURCE_ALTADDRESS>$B$1:$CT$97</SOURCE_ALTADDRESS>
    <SOURCETYPE>Table</SOURCETYPE>
    <SOURCE_OBJECTNAME>Linking_Range_18</SOURCE_OBJECTNAME>
    <OBJECTTYPE>Native</OBJECTTYPE>
    <SOURCE_SHEETCODE>Sheet2</SOURCE_SHEETCODE>
    <SOURCE_SHEETNAME>IS</SOURCE_SHEETNAME>
    <SOURCEAPPLICATION>EXCEL_SOURCE</SOURCEAPPLICATION>
    <UPDATEDAT>4/6/2015 6:39:24 PM</UPDATEDAT>
    <SOURCE_ISOUTOFDATE>False</SOURCE_ISOUTOFDATE>
    <SOURCE_WORKBOOKNAME>GILD_MH.xlsm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/MSResearch/Content/ExternalAssets/2014-12/Images/63EHwAtuWAOr2rVI7kYQ--.png</TARGET_BINARYFULLNAME>
    <TARGET_STORYFULLNAME>/MSResearch/Content/ExternalAssets/2014-12/Sections/20141230_035546_Linking_Range_18.xml</TARGET_STORYFULLNAME>
    <TARGET_UUID>39f663ee-9066-11e4-ad2f-712a6db2d15f</TARGET_UUID>
    <TRANSPARENTBACKGROUND>False</TRANSPARENTBACKGROUND>
    <TRANSPARENTPLOTAREA>False</TRANSPARENTPLOTAREA>
    <LINKSTATUS>Unknown</LINKSTATUS>
    <EXTRACTSOURCEMODE>CopyToClipboard</EXTRACTSOURCEMODE>
  </Link>
  <Link>
    <GUID>18d64726-46a4-40d4-977d-b87c3fe45992</GUID>
    <SOURCE_ALTADDRESS>$B$2:$N$49</SOURCE_ALTADDRESS>
    <SOURCETYPE>Table</SOURCETYPE>
    <SOURCE_OBJECTNAME>Linking_Range_2</SOURCE_OBJECTNAME>
    <OBJECTTYPE>Native</OBJECTTYPE>
    <SOURCE_SHEETCODE>Sheet18</SOURCE_SHEETCODE>
    <SOURCE_SHEETNAME>Variance</SOURCE_SHEETNAME>
    <SOURCEAPPLICATION>EXCEL_SOURCE</SOURCEAPPLICATION>
    <UPDATEDAT>4/30/2015 4:23:57 PM</UPDATEDAT>
    <SOURCE_ISOUTOFDATE>False</SOURCE_ISOUTOFDATE>
    <SOURCE_WORKBOOKNAME>GILD_MH.xlsm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/MSResearch/Content/ExternalAssets/2015-04/Images/Bond91xug0yR7GUFjKmMeA--.png</TARGET_BINARYFULLNAME>
    <TARGET_STORYFULLNAME>/MSResearch/Content/ExternalAssets/2015-04/Sections/20150430_042153_Linking_Range_2.xml</TARGET_STORYFULLNAME>
    <TARGET_UUID>8aa9a94e-ef76-11e4-aeba-9bba02fefb2a</TARGET_UUID>
    <TRANSPARENTBACKGROUND>False</TRANSPARENTBACKGROUND>
    <TRANSPARENTPLOTAREA>False</TRANSPARENTPLOTAREA>
  </Link>
  <Link>
    <GUID>c52f4bc3-efc9-4fe3-8967-22301fd25eab</GUID>
    <SOURCETYPE>Chart</SOURCETYPE>
    <SOURCE_OBJECTNAME>MWA_Risk_Reward</SOURCE_OBJECTNAME>
    <SOURCE_SHEETCODE>MWRSSData</SOURCE_SHEETCODE>
    <SOURCE_SHEETNAME>MWA RR</SOURCE_SHEETNAME>
    <OBJECTTYPE>Native</OBJECTTYPE>
    <SOURCEAPPLICATION>EXCEL_SOURCE</SOURCEAPPLICATION>
    <UPDATEDAT>4/30/2015 7:54:26 PM</UPDATEDAT>
    <SOURCE_ISOUTOFDATE>False</SOURCE_ISOUTOFDATE>
    <SOURCE_WORKBOOKNAME>GILD_MH.xlsm</SOURCE_WORKBOOKNAME>
    <SOURCE_WORKBOOKPATH>\\MSAD\ROOT\NA\NY\LIB\ER\HEALTH\Biotech\Harrison\Models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/MSResearch/Content/ExternalAssets/2014-12/Images/RXqVEpDCYk6PjgexzQFQXw--.png</TARGET_BINARYFULLNAME>
    <TARGET_STORYFULLNAME>/MSResearch/Content/ExternalAssets/2014-12/Sections/20141230_124848_MWA_Risk_Reward.xml</TARGET_STORYFULLNAME>
    <TARGET_UUID>1b8cf8d8-904c-11e4-ad2f-712a6db2d15f</TARGET_UUID>
    <LINKSTATUS>Unknown</LINKSTATUS>
    <HIDEGRIDLINES>False</HIDEGRIDLINES>
    <EXTRACTSOURCEMODE>CopyToClipboard</EXTRACTSOURCEMODE>
  </Link>
  <Link>
    <GUID>4674d823-1d36-40b2-be28-8e7bf523d5d5</GUID>
    <SOURCE_ALTADDRESS>$B$1:$CT$104</SOURCE_ALTADDRESS>
    <SOURCETYPE>Table</SOURCETYPE>
    <SOURCE_OBJECTNAME>Linking_Range_21</SOURCE_OBJECTNAME>
    <OBJECTTYPE>Native</OBJECTTYPE>
    <SOURCE_SHEETCODE>Sheet5</SOURCE_SHEETCODE>
    <SOURCE_SHEETNAME>REVS</SOURCE_SHEETNAME>
    <SOURCEAPPLICATION>EXCEL_SOURCE</SOURCEAPPLICATION>
    <UPDATEDAT>4/30/2015 7:55:45 PM</UPDATEDAT>
    <SOURCE_ISOUTOFDATE>False</SOURCE_ISOUTOFDATE>
    <SOURCE_WORKBOOKNAME>GILD_MH.xlsm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/MSResearch/Content/ExternalAssets/2015-04/Images/MQj2uxghy0Ws1FmjH4yS4Q--.png</TARGET_BINARYFULLNAME>
    <TARGET_STORYFULLNAME>/MSResearch/Content/ExternalAssets/2015-04/Sections/20150430_075542_Linking_Range_21.xml</TARGET_STORYFULLNAME>
    <TARGET_UUID>692caf3c-ef94-11e4-aeba-9bba02fefb2a</TARGET_UUID>
  </Link>
  <Link>
    <GUID>084fef91-86cb-484e-ac3d-c4863e717751</GUID>
    <SOURCE_ALTADDRESS>$B$1:$CT$102</SOURCE_ALTADDRESS>
    <SOURCETYPE>Table</SOURCETYPE>
    <SOURCE_OBJECTNAME>Linking_Range_22</SOURCE_OBJECTNAME>
    <OBJECTTYPE>Native</OBJECTTYPE>
    <SOURCE_SHEETCODE>Sheet2</SOURCE_SHEETCODE>
    <SOURCE_SHEETNAME>IS</SOURCE_SHEETNAME>
    <SOURCEAPPLICATION>EXCEL_SOURCE</SOURCEAPPLICATION>
    <UPDATEDAT>4/30/2015 7:56:19 PM</UPDATEDAT>
    <SOURCE_ISOUTOFDATE>False</SOURCE_ISOUTOFDATE>
    <SOURCE_WORKBOOKNAME>GILD_MH.xlsm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/MSResearch/Content/ExternalAssets/2015-04/Images/8Nh7Q5XTgUKoVwFBwF9f0w--.png</TARGET_BINARYFULLNAME>
    <TARGET_STORYFULLNAME>/MSResearch/Content/ExternalAssets/2015-04/Sections/20150430_075616_Linking_Range_22.xml</TARGET_STORYFULLNAME>
    <TARGET_UUID>7d69e3fc-ef94-11e4-aeba-9bba02fefb2a</TARGET_UUID>
  </Link>
  <Link>
    <GUID>4f75c99d-6d10-4ac2-92c8-1c5cee3cde19</GUID>
    <SOURCE_ALTADDRESS>$B$1:$V$42</SOURCE_ALTADDRESS>
    <SOURCETYPE>Table</SOURCETYPE>
    <SOURCE_OBJECTNAME>Linking_Range_17</SOURCE_OBJECTNAME>
    <OBJECTTYPE>Native</OBJECTTYPE>
    <SOURCE_SHEETCODE>Sheet3</SOURCE_SHEETCODE>
    <SOURCE_SHEETNAME>BS</SOURCE_SHEETNAME>
    <SOURCEAPPLICATION>EXCEL_SOURCE</SOURCEAPPLICATION>
    <UPDATEDAT>4/30/2015 7:56:53 PM</UPDATEDAT>
    <SOURCE_ISOUTOFDATE>False</SOURCE_ISOUTOFDATE>
    <SOURCE_WORKBOOKNAME>GILD_MH.xlsm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/MSResearch/Content/ExternalAssets/2014-12/Images/Fq4w5CMKj2H3Y8mBJL2pw--.png</TARGET_BINARYFULLNAME>
    <TARGET_STORYFULLNAME>/MSResearch/Content/ExternalAssets/2014-12/Sections/20141230_035426_Linking_Range_17.xml</TARGET_STORYFULLNAME>
    <TARGET_UUID>0ab28cd4-9066-11e4-ad2f-712a6db2d15f</TARGET_UUID>
    <TRANSPARENTBACKGROUND>False</TRANSPARENTBACKGROUND>
    <TRANSPARENTPLOTAREA>False</TRANSPARENTPLOTAREA>
    <LINKSTATUS>Unknown</LINKSTATUS>
    <EXTRACTSOURCEMODE>CopyToClipboard</EXTRACTSOURCEMODE>
  </Link>
  <Link>
    <GUID>13804e8c-4327-4ab9-a53c-49858208075a</GUID>
    <SOURCE_ALTADDRESS>$B$1:$V$49</SOURCE_ALTADDRESS>
    <SOURCETYPE>Table</SOURCETYPE>
    <SOURCE_OBJECTNAME>Linking_Range_16</SOURCE_OBJECTNAME>
    <OBJECTTYPE>Native</OBJECTTYPE>
    <SOURCE_SHEETCODE>Sheet4</SOURCE_SHEETCODE>
    <SOURCE_SHEETNAME>CF</SOURCE_SHEETNAME>
    <SOURCEAPPLICATION>EXCEL_SOURCE</SOURCEAPPLICATION>
    <UPDATEDAT>4/30/2015 7:57:31 PM</UPDATEDAT>
    <SOURCE_ISOUTOFDATE>False</SOURCE_ISOUTOFDATE>
    <SOURCE_WORKBOOKNAME>GILD_MH.xlsm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/MSResearch/Content/ExternalAssets/2014-12/Images/JuXoKRMC_ESXYdrb6N461g--.png</TARGET_BINARYFULLNAME>
    <TARGET_STORYFULLNAME>/MSResearch/Content/ExternalAssets/2014-12/Sections/20141230_035341_Linking_Range_16.xml</TARGET_STORYFULLNAME>
    <TARGET_UUID>ef9a94d2-9065-11e4-ad2f-712a6db2d15f</TARGET_UUID>
    <TRANSPARENTBACKGROUND>False</TRANSPARENTBACKGROUND>
    <TRANSPARENTPLOTAREA>False</TRANSPARENTPLOTAREA>
    <LINKSTATUS>Unknown</LINKSTATUS>
    <EXTRACTSOURCEMODE>CopyToClipboard</EXTRACTSOURCEMODE>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05E48FD2-3FEA-4FBE-89B2-317078766078}">
  <ds:schemaRefs>
    <ds:schemaRef ds:uri="thomsonreuters.linking.metadata"/>
  </ds:schemaRefs>
</ds:datastoreItem>
</file>

<file path=customXml/itemProps2.xml><?xml version="1.0" encoding="utf-8"?>
<ds:datastoreItem xmlns:ds="http://schemas.openxmlformats.org/officeDocument/2006/customXml" ds:itemID="{B5342F7D-2F17-4F63-B226-A3D9FAF85D28}">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110</vt:i4>
      </vt:variant>
    </vt:vector>
  </HeadingPairs>
  <TitlesOfParts>
    <vt:vector size="130" baseType="lpstr">
      <vt:lpstr>ImportantDisclosures</vt:lpstr>
      <vt:lpstr>DCF</vt:lpstr>
      <vt:lpstr>IS</vt:lpstr>
      <vt:lpstr>REVS</vt:lpstr>
      <vt:lpstr>BS</vt:lpstr>
      <vt:lpstr>CF</vt:lpstr>
      <vt:lpstr>DEBT</vt:lpstr>
      <vt:lpstr>HIV Model</vt:lpstr>
      <vt:lpstr>US HCV</vt:lpstr>
      <vt:lpstr>EU HCV</vt:lpstr>
      <vt:lpstr>JPN HCV</vt:lpstr>
      <vt:lpstr>US ALL</vt:lpstr>
      <vt:lpstr>US DLBCL</vt:lpstr>
      <vt:lpstr>US FL</vt:lpstr>
      <vt:lpstr>US CLL</vt:lpstr>
      <vt:lpstr>US BCMA</vt:lpstr>
      <vt:lpstr>Crohns</vt:lpstr>
      <vt:lpstr>RA</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Linking_13</vt:lpstr>
      <vt:lpstr>Linking_14</vt:lpstr>
      <vt:lpstr>Linking_15</vt:lpstr>
      <vt:lpstr>Linking_16</vt:lpstr>
      <vt:lpstr>Linking_18</vt:lpstr>
      <vt:lpstr>Linking_2</vt:lpstr>
      <vt:lpstr>Linking_20</vt:lpstr>
      <vt:lpstr>Linking_21</vt:lpstr>
      <vt:lpstr>Linking_22</vt:lpstr>
      <vt:lpstr>Linking_23</vt:lpstr>
      <vt:lpstr>Linking_25</vt:lpstr>
      <vt:lpstr>Linking_26</vt:lpstr>
      <vt:lpstr>Linking_27</vt:lpstr>
      <vt:lpstr>Linking_3</vt:lpstr>
      <vt:lpstr>Linking_4</vt:lpstr>
      <vt:lpstr>Linking_5</vt:lpstr>
      <vt:lpstr>Linking_6</vt:lpstr>
      <vt:lpstr>Linking_7</vt:lpstr>
      <vt:lpstr>Linking_8</vt:lpstr>
      <vt:lpstr>Linking_9</vt:lpstr>
      <vt:lpstr>Linking_Range_1</vt:lpstr>
      <vt:lpstr>Linking_Range_10</vt:lpstr>
      <vt:lpstr>Linking_Range_11</vt:lpstr>
      <vt:lpstr>Linking_Range_12</vt:lpstr>
      <vt:lpstr>Linking_Range_15</vt:lpstr>
      <vt:lpstr>Linking_Range_16</vt:lpstr>
      <vt:lpstr>Linking_Range_17</vt:lpstr>
      <vt:lpstr>Linking_Range_18</vt:lpstr>
      <vt:lpstr>Linking_Range_20</vt:lpstr>
      <vt:lpstr>Linking_Range_21</vt:lpstr>
      <vt:lpstr>Linking_Range_22</vt:lpstr>
      <vt:lpstr>Linking_Range_3</vt:lpstr>
      <vt:lpstr>Linking_Range_4</vt:lpstr>
      <vt:lpstr>Linking_Range_5</vt:lpstr>
      <vt:lpstr>Linking_Range_6</vt:lpstr>
      <vt:lpstr>Linking_Range_7</vt:lpstr>
      <vt:lpstr>Linking_Range_8</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2013-12-12T21:04:40Z</dcterms:created>
  <dc:creator>Harrison, Matthew (Research)</dc:creator>
  <cp:lastModifiedBy>Purohit, Vikram (Research)</cp:lastModifiedBy>
  <cp:lastPrinted>2018-02-07T01:32:43Z</cp:lastPrinted>
  <dcterms:modified xsi:type="dcterms:W3CDTF">2018-04-13T15:24:07Z</dcterms:modified>
  <dc:title>Gilead Model</dc:title>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22</vt:lpwstr>
  </property>
  <property fmtid="{D5CDD505-2E9C-101B-9397-08002B2CF9AE}" name="{A44787D4-0540-4523-9961-78E4036D8C6D}" pid="3">
    <vt:lpwstr>{C8168028-2A81-42D4-9A9B-08FC61E7F562}</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761569</vt:lpwstr>
  </property>
  <property fmtid="{D5CDD505-2E9C-101B-9397-08002B2CF9AE}" name="ERModPubCompanyName" pid="7">
    <vt:lpwstr>Gilead Sciences Inc.</vt:lpwstr>
  </property>
  <property fmtid="{D5CDD505-2E9C-101B-9397-08002B2CF9AE}" name="MSDH34TAG" pid="8">
    <vt:lpwstr>.TEZUF76X5TAHATHESADREYAK-00-INB160+*94600-06=b9c7cebc/-3f2e/-11e8/-b3f7/-7a79cfe26848,MD=20180413113302/-0400,ZZ=000Z-c824.</vt:lpwstr>
  </property>
</Properties>
</file>